
<file path=[Content_Types].xml><?xml version="1.0" encoding="utf-8"?>
<Types xmlns="http://schemas.openxmlformats.org/package/2006/content-types">
  <Default Extension="bin" ContentType="application/vnd.openxmlformats-officedocument.spreadsheetml.printerSettings"/>
  <Default Extension="data" ContentType="application/vnd.openxmlformats-officedocument.model+data"/>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pivotCache/pivotCacheDefinition1.xml" ContentType="application/vnd.openxmlformats-officedocument.spreadsheetml.pivotCacheDefinition+xml"/>
  <Override PartName="/xl/pivotCache/pivotCacheRecords1.xml" ContentType="application/vnd.openxmlformats-officedocument.spreadsheetml.pivotCacheRecords+xml"/>
  <Override PartName="/xl/pivotCache/pivotCacheDefinition2.xml" ContentType="application/vnd.openxmlformats-officedocument.spreadsheetml.pivotCacheDefinition+xml"/>
  <Override PartName="/xl/pivotCache/pivotCacheRecords2.xml" ContentType="application/vnd.openxmlformats-officedocument.spreadsheetml.pivotCacheRecords+xml"/>
  <Override PartName="/xl/pivotCache/pivotCacheDefinition3.xml" ContentType="application/vnd.openxmlformats-officedocument.spreadsheetml.pivotCacheDefinition+xml"/>
  <Override PartName="/xl/pivotCache/pivotCacheRecords3.xml" ContentType="application/vnd.openxmlformats-officedocument.spreadsheetml.pivotCacheRecords+xml"/>
  <Override PartName="/xl/pivotCache/pivotCacheDefinition4.xml" ContentType="application/vnd.openxmlformats-officedocument.spreadsheetml.pivotCacheDefinition+xml"/>
  <Override PartName="/xl/pivotCache/pivotCacheDefinition5.xml" ContentType="application/vnd.openxmlformats-officedocument.spreadsheetml.pivotCacheDefinition+xml"/>
  <Override PartName="/xl/pivotCache/pivotCacheDefinition6.xml" ContentType="application/vnd.openxmlformats-officedocument.spreadsheetml.pivotCacheDefinition+xml"/>
  <Override PartName="/xl/pivotCache/pivotCacheDefinition7.xml" ContentType="application/vnd.openxmlformats-officedocument.spreadsheetml.pivotCacheDefinition+xml"/>
  <Override PartName="/xl/pivotCache/pivotCacheDefinition8.xml" ContentType="application/vnd.openxmlformats-officedocument.spreadsheetml.pivotCacheDefinition+xml"/>
  <Override PartName="/xl/pivotCache/pivotCacheDefinition9.xml" ContentType="application/vnd.openxmlformats-officedocument.spreadsheetml.pivotCacheDefinition+xml"/>
  <Override PartName="/xl/pivotCache/pivotCacheDefinition10.xml" ContentType="application/vnd.openxmlformats-officedocument.spreadsheetml.pivotCacheDefinition+xml"/>
  <Override PartName="/xl/pivotCache/pivotCacheDefinition11.xml" ContentType="application/vnd.openxmlformats-officedocument.spreadsheetml.pivotCacheDefinition+xml"/>
  <Override PartName="/xl/pivotCache/pivotCacheDefinition12.xml" ContentType="application/vnd.openxmlformats-officedocument.spreadsheetml.pivotCacheDefinition+xml"/>
  <Override PartName="/xl/pivotCache/pivotCacheDefinition13.xml" ContentType="application/vnd.openxmlformats-officedocument.spreadsheetml.pivotCacheDefinition+xml"/>
  <Override PartName="/xl/pivotCache/pivotCacheDefinition14.xml" ContentType="application/vnd.openxmlformats-officedocument.spreadsheetml.pivotCacheDefinition+xml"/>
  <Override PartName="/xl/pivotCache/pivotCacheDefinition15.xml" ContentType="application/vnd.openxmlformats-officedocument.spreadsheetml.pivotCacheDefinition+xml"/>
  <Override PartName="/xl/pivotCache/pivotCacheDefinition16.xml" ContentType="application/vnd.openxmlformats-officedocument.spreadsheetml.pivotCacheDefinition+xml"/>
  <Override PartName="/xl/pivotCache/pivotCacheDefinition17.xml" ContentType="application/vnd.openxmlformats-officedocument.spreadsheetml.pivotCacheDefinition+xml"/>
  <Override PartName="/xl/pivotCache/pivotCacheDefinition18.xml" ContentType="application/vnd.openxmlformats-officedocument.spreadsheetml.pivotCacheDefinition+xml"/>
  <Override PartName="/xl/pivotCache/pivotCacheDefinition19.xml" ContentType="application/vnd.openxmlformats-officedocument.spreadsheetml.pivotCacheDefinition+xml"/>
  <Override PartName="/xl/pivotCache/pivotCacheDefinition20.xml" ContentType="application/vnd.openxmlformats-officedocument.spreadsheetml.pivotCacheDefinition+xml"/>
  <Override PartName="/xl/pivotCache/pivotCacheDefinition21.xml" ContentType="application/vnd.openxmlformats-officedocument.spreadsheetml.pivotCacheDefinition+xml"/>
  <Override PartName="/xl/pivotCache/pivotCacheDefinition22.xml" ContentType="application/vnd.openxmlformats-officedocument.spreadsheetml.pivotCacheDefinition+xml"/>
  <Override PartName="/xl/pivotCache/pivotCacheDefinition23.xml" ContentType="application/vnd.openxmlformats-officedocument.spreadsheetml.pivotCacheDefinition+xml"/>
  <Override PartName="/xl/pivotCache/pivotCacheDefinition24.xml" ContentType="application/vnd.openxmlformats-officedocument.spreadsheetml.pivotCacheDefinition+xml"/>
  <Override PartName="/xl/pivotCache/pivotCacheDefinition25.xml" ContentType="application/vnd.openxmlformats-officedocument.spreadsheetml.pivotCacheDefinition+xml"/>
  <Override PartName="/xl/pivotCache/pivotCacheDefinition26.xml" ContentType="application/vnd.openxmlformats-officedocument.spreadsheetml.pivotCacheDefinition+xml"/>
  <Override PartName="/xl/pivotCache/pivotCacheDefinition27.xml" ContentType="application/vnd.openxmlformats-officedocument.spreadsheetml.pivotCacheDefinition+xml"/>
  <Override PartName="/xl/pivotCache/pivotCacheDefinition28.xml" ContentType="application/vnd.openxmlformats-officedocument.spreadsheetml.pivotCacheDefinition+xml"/>
  <Override PartName="/xl/pivotCache/pivotCacheDefinition29.xml" ContentType="application/vnd.openxmlformats-officedocument.spreadsheetml.pivotCacheDefinition+xml"/>
  <Override PartName="/xl/pivotCache/pivotCacheDefinition30.xml" ContentType="application/vnd.openxmlformats-officedocument.spreadsheetml.pivotCacheDefinition+xml"/>
  <Override PartName="/xl/pivotCache/pivotCacheDefinition31.xml" ContentType="application/vnd.openxmlformats-officedocument.spreadsheetml.pivotCacheDefinition+xml"/>
  <Override PartName="/xl/pivotCache/pivotCacheDefinition32.xml" ContentType="application/vnd.openxmlformats-officedocument.spreadsheetml.pivotCacheDefinition+xml"/>
  <Override PartName="/xl/pivotCache/pivotCacheDefinition33.xml" ContentType="application/vnd.openxmlformats-officedocument.spreadsheetml.pivotCacheDefinition+xml"/>
  <Override PartName="/xl/pivotCache/pivotCacheDefinition34.xml" ContentType="application/vnd.openxmlformats-officedocument.spreadsheetml.pivotCacheDefinition+xml"/>
  <Override PartName="/xl/pivotCache/pivotCacheDefinition35.xml" ContentType="application/vnd.openxmlformats-officedocument.spreadsheetml.pivotCacheDefinition+xml"/>
  <Override PartName="/xl/pivotCache/pivotCacheDefinition36.xml" ContentType="application/vnd.openxmlformats-officedocument.spreadsheetml.pivotCacheDefinition+xml"/>
  <Override PartName="/xl/pivotCache/pivotCacheDefinition37.xml" ContentType="application/vnd.openxmlformats-officedocument.spreadsheetml.pivotCacheDefinition+xml"/>
  <Override PartName="/xl/pivotCache/pivotCacheDefinition38.xml" ContentType="application/vnd.openxmlformats-officedocument.spreadsheetml.pivotCacheDefinition+xml"/>
  <Override PartName="/xl/pivotCache/pivotCacheDefinition39.xml" ContentType="application/vnd.openxmlformats-officedocument.spreadsheetml.pivotCacheDefinition+xml"/>
  <Override PartName="/xl/pivotCache/pivotCacheDefinition40.xml" ContentType="application/vnd.openxmlformats-officedocument.spreadsheetml.pivotCacheDefinition+xml"/>
  <Override PartName="/xl/pivotCache/pivotCacheDefinition41.xml" ContentType="application/vnd.openxmlformats-officedocument.spreadsheetml.pivotCacheDefinition+xml"/>
  <Override PartName="/xl/pivotCache/pivotCacheDefinition42.xml" ContentType="application/vnd.openxmlformats-officedocument.spreadsheetml.pivotCacheDefinition+xml"/>
  <Override PartName="/xl/pivotCache/pivotCacheDefinition43.xml" ContentType="application/vnd.openxmlformats-officedocument.spreadsheetml.pivotCacheDefinition+xml"/>
  <Override PartName="/xl/pivotCache/pivotCacheDefinition44.xml" ContentType="application/vnd.openxmlformats-officedocument.spreadsheetml.pivotCacheDefinition+xml"/>
  <Override PartName="/xl/pivotCache/pivotCacheDefinition45.xml" ContentType="application/vnd.openxmlformats-officedocument.spreadsheetml.pivotCacheDefinition+xml"/>
  <Override PartName="/xl/pivotCache/pivotCacheDefinition46.xml" ContentType="application/vnd.openxmlformats-officedocument.spreadsheetml.pivotCacheDefinition+xml"/>
  <Override PartName="/xl/pivotCache/pivotCacheDefinition47.xml" ContentType="application/vnd.openxmlformats-officedocument.spreadsheetml.pivotCacheDefinition+xml"/>
  <Override PartName="/xl/pivotCache/pivotCacheDefinition48.xml" ContentType="application/vnd.openxmlformats-officedocument.spreadsheetml.pivotCacheDefinition+xml"/>
  <Override PartName="/xl/pivotCache/pivotCacheDefinition49.xml" ContentType="application/vnd.openxmlformats-officedocument.spreadsheetml.pivotCacheDefinition+xml"/>
  <Override PartName="/xl/pivotCache/pivotCacheDefinition50.xml" ContentType="application/vnd.openxmlformats-officedocument.spreadsheetml.pivotCacheDefinition+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charts/chart1.xml" ContentType="application/vnd.openxmlformats-officedocument.drawingml.chart+xml"/>
  <Override PartName="/xl/theme/themeOverride1.xml" ContentType="application/vnd.openxmlformats-officedocument.themeOverride+xml"/>
  <Override PartName="/xl/charts/chart2.xml" ContentType="application/vnd.openxmlformats-officedocument.drawingml.chart+xml"/>
  <Override PartName="/xl/theme/themeOverride2.xml" ContentType="application/vnd.openxmlformats-officedocument.themeOverride+xml"/>
  <Override PartName="/xl/charts/chart3.xml" ContentType="application/vnd.openxmlformats-officedocument.drawingml.chart+xml"/>
  <Override PartName="/xl/theme/themeOverride3.xml" ContentType="application/vnd.openxmlformats-officedocument.themeOverride+xml"/>
  <Override PartName="/xl/drawings/drawing2.xml" ContentType="application/vnd.openxmlformats-officedocument.drawingml.chartshapes+xml"/>
  <Override PartName="/xl/charts/chart4.xml" ContentType="application/vnd.openxmlformats-officedocument.drawingml.chart+xml"/>
  <Override PartName="/xl/theme/themeOverride4.xml" ContentType="application/vnd.openxmlformats-officedocument.themeOverride+xml"/>
  <Override PartName="/xl/drawings/drawing3.xml" ContentType="application/vnd.openxmlformats-officedocument.drawingml.chartshapes+xml"/>
  <Override PartName="/xl/charts/chart5.xml" ContentType="application/vnd.openxmlformats-officedocument.drawingml.chart+xml"/>
  <Override PartName="/xl/theme/themeOverride5.xml" ContentType="application/vnd.openxmlformats-officedocument.themeOverride+xml"/>
  <Override PartName="/xl/drawings/drawing4.xml" ContentType="application/vnd.openxmlformats-officedocument.drawingml.chartshapes+xml"/>
  <Override PartName="/xl/charts/chart6.xml" ContentType="application/vnd.openxmlformats-officedocument.drawingml.chart+xml"/>
  <Override PartName="/xl/theme/themeOverride6.xml" ContentType="application/vnd.openxmlformats-officedocument.themeOverride+xml"/>
  <Override PartName="/xl/drawings/drawing5.xml" ContentType="application/vnd.openxmlformats-officedocument.drawingml.chartshapes+xml"/>
  <Override PartName="/xl/charts/chart7.xml" ContentType="application/vnd.openxmlformats-officedocument.drawingml.chart+xml"/>
  <Override PartName="/xl/theme/themeOverride7.xml" ContentType="application/vnd.openxmlformats-officedocument.themeOverride+xml"/>
  <Override PartName="/xl/charts/chart8.xml" ContentType="application/vnd.openxmlformats-officedocument.drawingml.chart+xml"/>
  <Override PartName="/xl/theme/themeOverride8.xml" ContentType="application/vnd.openxmlformats-officedocument.themeOverride+xml"/>
  <Override PartName="/xl/charts/chart9.xml" ContentType="application/vnd.openxmlformats-officedocument.drawingml.chart+xml"/>
  <Override PartName="/xl/theme/themeOverride9.xml" ContentType="application/vnd.openxmlformats-officedocument.themeOverride+xml"/>
  <Override PartName="/xl/charts/chart10.xml" ContentType="application/vnd.openxmlformats-officedocument.drawingml.chart+xml"/>
  <Override PartName="/xl/theme/themeOverride10.xml" ContentType="application/vnd.openxmlformats-officedocument.themeOverride+xml"/>
  <Override PartName="/xl/drawings/drawing6.xml" ContentType="application/vnd.openxmlformats-officedocument.drawingml.chartshapes+xml"/>
  <Override PartName="/xl/charts/chart11.xml" ContentType="application/vnd.openxmlformats-officedocument.drawingml.chart+xml"/>
  <Override PartName="/xl/theme/themeOverride11.xml" ContentType="application/vnd.openxmlformats-officedocument.themeOverride+xml"/>
  <Override PartName="/xl/drawings/drawing7.xml" ContentType="application/vnd.openxmlformats-officedocument.drawingml.chartshapes+xml"/>
  <Override PartName="/xl/charts/chart12.xml" ContentType="application/vnd.openxmlformats-officedocument.drawingml.chart+xml"/>
  <Override PartName="/xl/theme/themeOverride12.xml" ContentType="application/vnd.openxmlformats-officedocument.themeOverride+xml"/>
  <Override PartName="/xl/drawings/drawing8.xml" ContentType="application/vnd.openxmlformats-officedocument.drawingml.chartshapes+xml"/>
  <Override PartName="/xl/charts/chart13.xml" ContentType="application/vnd.openxmlformats-officedocument.drawingml.chart+xml"/>
  <Override PartName="/xl/theme/themeOverride13.xml" ContentType="application/vnd.openxmlformats-officedocument.themeOverride+xml"/>
  <Override PartName="/xl/drawings/drawing9.xml" ContentType="application/vnd.openxmlformats-officedocument.drawingml.chartshapes+xml"/>
  <Override PartName="/xl/charts/chart14.xml" ContentType="application/vnd.openxmlformats-officedocument.drawingml.chart+xml"/>
  <Override PartName="/xl/theme/themeOverride14.xml" ContentType="application/vnd.openxmlformats-officedocument.themeOverride+xml"/>
  <Override PartName="/xl/drawings/drawing10.xml" ContentType="application/vnd.openxmlformats-officedocument.drawingml.chartshapes+xml"/>
  <Override PartName="/xl/charts/chart15.xml" ContentType="application/vnd.openxmlformats-officedocument.drawingml.chart+xml"/>
  <Override PartName="/xl/theme/themeOverride15.xml" ContentType="application/vnd.openxmlformats-officedocument.themeOverride+xml"/>
  <Override PartName="/xl/drawings/drawing11.xml" ContentType="application/vnd.openxmlformats-officedocument.drawingml.chartshapes+xml"/>
  <Override PartName="/xl/charts/chart16.xml" ContentType="application/vnd.openxmlformats-officedocument.drawingml.chart+xml"/>
  <Override PartName="/xl/theme/themeOverride16.xml" ContentType="application/vnd.openxmlformats-officedocument.themeOverride+xml"/>
  <Override PartName="/xl/drawings/drawing12.xml" ContentType="application/vnd.openxmlformats-officedocument.drawingml.chartshapes+xml"/>
  <Override PartName="/xl/charts/chart17.xml" ContentType="application/vnd.openxmlformats-officedocument.drawingml.chart+xml"/>
  <Override PartName="/xl/theme/themeOverride17.xml" ContentType="application/vnd.openxmlformats-officedocument.themeOverride+xml"/>
  <Override PartName="/xl/drawings/drawing13.xml" ContentType="application/vnd.openxmlformats-officedocument.drawingml.chartshapes+xml"/>
  <Override PartName="/xl/charts/chart18.xml" ContentType="application/vnd.openxmlformats-officedocument.drawingml.chart+xml"/>
  <Override PartName="/xl/theme/themeOverride18.xml" ContentType="application/vnd.openxmlformats-officedocument.themeOverride+xml"/>
  <Override PartName="/xl/drawings/drawing14.xml" ContentType="application/vnd.openxmlformats-officedocument.drawingml.chartshapes+xml"/>
  <Override PartName="/xl/charts/chart19.xml" ContentType="application/vnd.openxmlformats-officedocument.drawingml.chart+xml"/>
  <Override PartName="/xl/theme/themeOverride19.xml" ContentType="application/vnd.openxmlformats-officedocument.themeOverride+xml"/>
  <Override PartName="/xl/drawings/drawing15.xml" ContentType="application/vnd.openxmlformats-officedocument.drawingml.chartshapes+xml"/>
  <Override PartName="/xl/charts/chart20.xml" ContentType="application/vnd.openxmlformats-officedocument.drawingml.chart+xml"/>
  <Override PartName="/xl/theme/themeOverride20.xml" ContentType="application/vnd.openxmlformats-officedocument.themeOverride+xml"/>
  <Override PartName="/xl/charts/chart21.xml" ContentType="application/vnd.openxmlformats-officedocument.drawingml.chart+xml"/>
  <Override PartName="/xl/theme/themeOverride21.xml" ContentType="application/vnd.openxmlformats-officedocument.themeOverride+xml"/>
  <Override PartName="/xl/drawings/drawing16.xml" ContentType="application/vnd.openxmlformats-officedocument.drawingml.chartshapes+xml"/>
  <Override PartName="/xl/charts/chart22.xml" ContentType="application/vnd.openxmlformats-officedocument.drawingml.chart+xml"/>
  <Override PartName="/xl/theme/themeOverride22.xml" ContentType="application/vnd.openxmlformats-officedocument.themeOverride+xml"/>
  <Override PartName="/xl/drawings/drawing17.xml" ContentType="application/vnd.openxmlformats-officedocument.drawingml.chartshapes+xml"/>
  <Override PartName="/xl/charts/chart23.xml" ContentType="application/vnd.openxmlformats-officedocument.drawingml.chart+xml"/>
  <Override PartName="/xl/theme/themeOverride23.xml" ContentType="application/vnd.openxmlformats-officedocument.themeOverride+xml"/>
  <Override PartName="/xl/drawings/drawing18.xml" ContentType="application/vnd.openxmlformats-officedocument.drawingml.chartshapes+xml"/>
  <Override PartName="/xl/charts/chart24.xml" ContentType="application/vnd.openxmlformats-officedocument.drawingml.chart+xml"/>
  <Override PartName="/xl/theme/themeOverride24.xml" ContentType="application/vnd.openxmlformats-officedocument.themeOverride+xml"/>
  <Override PartName="/xl/drawings/drawing19.xml" ContentType="application/vnd.openxmlformats-officedocument.drawingml.chartshapes+xml"/>
  <Override PartName="/xl/charts/chart25.xml" ContentType="application/vnd.openxmlformats-officedocument.drawingml.chart+xml"/>
  <Override PartName="/xl/theme/themeOverride25.xml" ContentType="application/vnd.openxmlformats-officedocument.themeOverride+xml"/>
  <Override PartName="/xl/drawings/drawing20.xml" ContentType="application/vnd.openxmlformats-officedocument.drawingml.chartshapes+xml"/>
  <Override PartName="/xl/charts/chart26.xml" ContentType="application/vnd.openxmlformats-officedocument.drawingml.chart+xml"/>
  <Override PartName="/xl/theme/themeOverride26.xml" ContentType="application/vnd.openxmlformats-officedocument.themeOverride+xml"/>
  <Override PartName="/xl/drawings/drawing21.xml" ContentType="application/vnd.openxmlformats-officedocument.drawingml.chartshapes+xml"/>
  <Override PartName="/xl/charts/chart27.xml" ContentType="application/vnd.openxmlformats-officedocument.drawingml.chart+xml"/>
  <Override PartName="/xl/theme/themeOverride27.xml" ContentType="application/vnd.openxmlformats-officedocument.themeOverride+xml"/>
  <Override PartName="/xl/drawings/drawing22.xml" ContentType="application/vnd.openxmlformats-officedocument.drawingml.chartshapes+xml"/>
  <Override PartName="/xl/pivotTables/pivotTable1.xml" ContentType="application/vnd.openxmlformats-officedocument.spreadsheetml.pivotTable+xml"/>
  <Override PartName="/xl/pivotTables/pivotTable2.xml" ContentType="application/vnd.openxmlformats-officedocument.spreadsheetml.pivotTable+xml"/>
  <Override PartName="/xl/pivotTables/pivotTable3.xml" ContentType="application/vnd.openxmlformats-officedocument.spreadsheetml.pivotTable+xml"/>
  <Override PartName="/xl/pivotTables/pivotTable4.xml" ContentType="application/vnd.openxmlformats-officedocument.spreadsheetml.pivotTable+xml"/>
  <Override PartName="/xl/pivotTables/pivotTable5.xml" ContentType="application/vnd.openxmlformats-officedocument.spreadsheetml.pivotTable+xml"/>
  <Override PartName="/xl/pivotTables/pivotTable6.xml" ContentType="application/vnd.openxmlformats-officedocument.spreadsheetml.pivotTable+xml"/>
  <Override PartName="/xl/pivotTables/pivotTable7.xml" ContentType="application/vnd.openxmlformats-officedocument.spreadsheetml.pivotTable+xml"/>
  <Override PartName="/xl/pivotTables/pivotTable8.xml" ContentType="application/vnd.openxmlformats-officedocument.spreadsheetml.pivotTable+xml"/>
  <Override PartName="/xl/pivotTables/pivotTable9.xml" ContentType="application/vnd.openxmlformats-officedocument.spreadsheetml.pivotTable+xml"/>
  <Override PartName="/xl/pivotTables/pivotTable10.xml" ContentType="application/vnd.openxmlformats-officedocument.spreadsheetml.pivotTable+xml"/>
  <Override PartName="/xl/pivotTables/pivotTable11.xml" ContentType="application/vnd.openxmlformats-officedocument.spreadsheetml.pivotTable+xml"/>
  <Override PartName="/xl/pivotTables/pivotTable12.xml" ContentType="application/vnd.openxmlformats-officedocument.spreadsheetml.pivotTable+xml"/>
  <Override PartName="/xl/pivotTables/pivotTable13.xml" ContentType="application/vnd.openxmlformats-officedocument.spreadsheetml.pivotTable+xml"/>
  <Override PartName="/xl/pivotTables/pivotTable14.xml" ContentType="application/vnd.openxmlformats-officedocument.spreadsheetml.pivotTable+xml"/>
  <Override PartName="/xl/drawings/drawing23.xml" ContentType="application/vnd.openxmlformats-officedocument.drawing+xml"/>
  <Override PartName="/xl/pivotTables/pivotTable15.xml" ContentType="application/vnd.openxmlformats-officedocument.spreadsheetml.pivotTable+xml"/>
  <Override PartName="/xl/pivotTables/pivotTable16.xml" ContentType="application/vnd.openxmlformats-officedocument.spreadsheetml.pivotTable+xml"/>
  <Override PartName="/xl/pivotTables/pivotTable17.xml" ContentType="application/vnd.openxmlformats-officedocument.spreadsheetml.pivotTable+xml"/>
  <Override PartName="/xl/pivotTables/pivotTable18.xml" ContentType="application/vnd.openxmlformats-officedocument.spreadsheetml.pivotTable+xml"/>
  <Override PartName="/xl/pivotTables/pivotTable19.xml" ContentType="application/vnd.openxmlformats-officedocument.spreadsheetml.pivotTable+xml"/>
  <Override PartName="/xl/pivotTables/pivotTable20.xml" ContentType="application/vnd.openxmlformats-officedocument.spreadsheetml.pivotTable+xml"/>
  <Override PartName="/xl/pivotTables/pivotTable21.xml" ContentType="application/vnd.openxmlformats-officedocument.spreadsheetml.pivotTable+xml"/>
  <Override PartName="/xl/pivotTables/pivotTable22.xml" ContentType="application/vnd.openxmlformats-officedocument.spreadsheetml.pivotTable+xml"/>
  <Override PartName="/xl/pivotTables/pivotTable23.xml" ContentType="application/vnd.openxmlformats-officedocument.spreadsheetml.pivotTable+xml"/>
  <Override PartName="/xl/pivotTables/pivotTable24.xml" ContentType="application/vnd.openxmlformats-officedocument.spreadsheetml.pivotTable+xml"/>
  <Override PartName="/xl/pivotTables/pivotTable25.xml" ContentType="application/vnd.openxmlformats-officedocument.spreadsheetml.pivotTable+xml"/>
  <Override PartName="/xl/pivotTables/pivotTable26.xml" ContentType="application/vnd.openxmlformats-officedocument.spreadsheetml.pivotTable+xml"/>
  <Override PartName="/xl/pivotTables/pivotTable27.xml" ContentType="application/vnd.openxmlformats-officedocument.spreadsheetml.pivotTable+xml"/>
  <Override PartName="/xl/pivotTables/pivotTable28.xml" ContentType="application/vnd.openxmlformats-officedocument.spreadsheetml.pivotTable+xml"/>
  <Override PartName="/xl/pivotTables/pivotTable29.xml" ContentType="application/vnd.openxmlformats-officedocument.spreadsheetml.pivotTable+xml"/>
  <Override PartName="/xl/pivotTables/pivotTable30.xml" ContentType="application/vnd.openxmlformats-officedocument.spreadsheetml.pivotTable+xml"/>
  <Override PartName="/xl/pivotTables/pivotTable31.xml" ContentType="application/vnd.openxmlformats-officedocument.spreadsheetml.pivotTable+xml"/>
  <Override PartName="/xl/pivotTables/pivotTable32.xml" ContentType="application/vnd.openxmlformats-officedocument.spreadsheetml.pivotTable+xml"/>
  <Override PartName="/xl/pivotTables/pivotTable33.xml" ContentType="application/vnd.openxmlformats-officedocument.spreadsheetml.pivotTable+xml"/>
  <Override PartName="/xl/pivotTables/pivotTable34.xml" ContentType="application/vnd.openxmlformats-officedocument.spreadsheetml.pivotTable+xml"/>
  <Override PartName="/xl/pivotTables/pivotTable35.xml" ContentType="application/vnd.openxmlformats-officedocument.spreadsheetml.pivotTable+xml"/>
  <Override PartName="/xl/pivotTables/pivotTable36.xml" ContentType="application/vnd.openxmlformats-officedocument.spreadsheetml.pivotTable+xml"/>
  <Override PartName="/xl/pivotTables/pivotTable37.xml" ContentType="application/vnd.openxmlformats-officedocument.spreadsheetml.pivotTable+xml"/>
  <Override PartName="/xl/pivotTables/pivotTable38.xml" ContentType="application/vnd.openxmlformats-officedocument.spreadsheetml.pivotTable+xml"/>
  <Override PartName="/xl/pivotTables/pivotTable39.xml" ContentType="application/vnd.openxmlformats-officedocument.spreadsheetml.pivotTable+xml"/>
  <Override PartName="/xl/pivotTables/pivotTable40.xml" ContentType="application/vnd.openxmlformats-officedocument.spreadsheetml.pivotTable+xml"/>
  <Override PartName="/xl/pivotTables/pivotTable41.xml" ContentType="application/vnd.openxmlformats-officedocument.spreadsheetml.pivotTable+xml"/>
  <Override PartName="/xl/pivotTables/pivotTable42.xml" ContentType="application/vnd.openxmlformats-officedocument.spreadsheetml.pivotTable+xml"/>
  <Override PartName="/xl/pivotTables/pivotTable43.xml" ContentType="application/vnd.openxmlformats-officedocument.spreadsheetml.pivotTable+xml"/>
  <Override PartName="/xl/pivotTables/pivotTable44.xml" ContentType="application/vnd.openxmlformats-officedocument.spreadsheetml.pivotTable+xml"/>
  <Override PartName="/xl/pivotTables/pivotTable45.xml" ContentType="application/vnd.openxmlformats-officedocument.spreadsheetml.pivotTable+xml"/>
  <Override PartName="/xl/pivotTables/pivotTable46.xml" ContentType="application/vnd.openxmlformats-officedocument.spreadsheetml.pivotTable+xml"/>
  <Override PartName="/xl/pivotTables/pivotTable47.xml" ContentType="application/vnd.openxmlformats-officedocument.spreadsheetml.pivotTable+xml"/>
  <Override PartName="/xl/pivotTables/pivotTable48.xml" ContentType="application/vnd.openxmlformats-officedocument.spreadsheetml.pivotTable+xml"/>
  <Override PartName="/xl/pivotTables/pivotTable49.xml" ContentType="application/vnd.openxmlformats-officedocument.spreadsheetml.pivotTable+xml"/>
  <Override PartName="/xl/pivotTables/pivotTable50.xml" ContentType="application/vnd.openxmlformats-officedocument.spreadsheetml.pivotTable+xml"/>
  <Override PartName="/xl/drawings/drawing24.xml" ContentType="application/vnd.openxmlformats-officedocument.drawing+xml"/>
  <Override PartName="/xl/charts/chart28.xml" ContentType="application/vnd.openxmlformats-officedocument.drawingml.chart+xml"/>
  <Override PartName="/xl/theme/themeOverride28.xml" ContentType="application/vnd.openxmlformats-officedocument.themeOverride+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customXml/itemProps6.xml" ContentType="application/vnd.openxmlformats-officedocument.customXmlProperties+xml"/>
  <Override PartName="/customXml/itemProps7.xml" ContentType="application/vnd.openxmlformats-officedocument.customXmlProperties+xml"/>
  <Override PartName="/customXml/itemProps8.xml" ContentType="application/vnd.openxmlformats-officedocument.customXmlProperties+xml"/>
  <Override PartName="/customXml/itemProps9.xml" ContentType="application/vnd.openxmlformats-officedocument.customXmlProperties+xml"/>
  <Override PartName="/customXml/itemProps10.xml" ContentType="application/vnd.openxmlformats-officedocument.customXmlProperties+xml"/>
  <Override PartName="/customXml/itemProps11.xml" ContentType="application/vnd.openxmlformats-officedocument.customXmlProperties+xml"/>
  <Override PartName="/customXml/itemProps12.xml" ContentType="application/vnd.openxmlformats-officedocument.customXmlProperties+xml"/>
  <Override PartName="/customXml/itemProps13.xml" ContentType="application/vnd.openxmlformats-officedocument.customXmlProperties+xml"/>
  <Override PartName="/customXml/itemProps14.xml" ContentType="application/vnd.openxmlformats-officedocument.customXmlProperties+xml"/>
  <Override PartName="/customXml/itemProps15.xml" ContentType="application/vnd.openxmlformats-officedocument.customXmlProperties+xml"/>
  <Override PartName="/customXml/itemProps16.xml" ContentType="application/vnd.openxmlformats-officedocument.customXmlProperties+xml"/>
  <Override PartName="/customXml/itemProps17.xml" ContentType="application/vnd.openxmlformats-officedocument.customXmlProperties+xml"/>
  <Override PartName="/customXml/itemProps18.xml" ContentType="application/vnd.openxmlformats-officedocument.customXmlProperties+xml"/>
  <Override PartName="/customXml/itemProps19.xml" ContentType="application/vnd.openxmlformats-officedocument.customXmlProperties+xml"/>
  <Override PartName="/customXml/itemProps20.xml" ContentType="application/vnd.openxmlformats-officedocument.customXmlProperties+xml"/>
  <Override PartName="/customXml/itemProps21.xml" ContentType="application/vnd.openxmlformats-officedocument.customXmlProperties+xml"/>
  <Override PartName="/customXml/itemProps22.xml" ContentType="application/vnd.openxmlformats-officedocument.customXmlProperties+xml"/>
  <Override PartName="/customXml/itemProps23.xml" ContentType="application/vnd.openxmlformats-officedocument.customXmlProperties+xml"/>
  <Override PartName="/customXml/itemProps24.xml" ContentType="application/vnd.openxmlformats-officedocument.customXmlProperties+xml"/>
  <Override PartName="/customXml/itemProps25.xml" ContentType="application/vnd.openxmlformats-officedocument.customXmlProperties+xml"/>
  <Override PartName="/customXml/itemProps26.xml" ContentType="application/vnd.openxmlformats-officedocument.customXmlProperties+xml"/>
  <Override PartName="/customXml/itemProps27.xml" ContentType="application/vnd.openxmlformats-officedocument.customXmlProperties+xml"/>
  <Override PartName="/customXml/itemProps28.xml" ContentType="application/vnd.openxmlformats-officedocument.customXmlProperties+xml"/>
  <Override PartName="/customXml/itemProps29.xml" ContentType="application/vnd.openxmlformats-officedocument.customXmlProperties+xml"/>
  <Override PartName="/customXml/itemProps30.xml" ContentType="application/vnd.openxmlformats-officedocument.customXmlProperties+xml"/>
  <Override PartName="/customXml/itemProps31.xml" ContentType="application/vnd.openxmlformats-officedocument.customXmlProperties+xml"/>
  <Override PartName="/customXml/itemProps32.xml" ContentType="application/vnd.openxmlformats-officedocument.customXmlProperties+xml"/>
  <Override PartName="/customXml/itemProps33.xml" ContentType="application/vnd.openxmlformats-officedocument.customXmlProperties+xml"/>
  <Override PartName="/customXml/itemProps34.xml" ContentType="application/vnd.openxmlformats-officedocument.customXmlProperties+xml"/>
  <Override PartName="/customXml/itemProps35.xml" ContentType="application/vnd.openxmlformats-officedocument.customXmlProperties+xml"/>
  <Override PartName="/customXml/itemProps36.xml" ContentType="application/vnd.openxmlformats-officedocument.customXmlProperties+xml"/>
  <Override PartName="/customXml/itemProps37.xml" ContentType="application/vnd.openxmlformats-officedocument.customXmlProperties+xml"/>
  <Override PartName="/customXml/itemProps38.xml" ContentType="application/vnd.openxmlformats-officedocument.customXmlProperties+xml"/>
  <Override PartName="/customXml/itemProps39.xml" ContentType="application/vnd.openxmlformats-officedocument.customXmlProperties+xml"/>
  <Override PartName="/customXml/itemProps40.xml" ContentType="application/vnd.openxmlformats-officedocument.customXmlProperties+xml"/>
  <Override PartName="/customXml/itemProps41.xml" ContentType="application/vnd.openxmlformats-officedocument.customXmlProperties+xml"/>
  <Override PartName="/customXml/itemProps42.xml" ContentType="application/vnd.openxmlformats-officedocument.customXmlProperties+xml"/>
  <Override PartName="/customXml/itemProps43.xml" ContentType="application/vnd.openxmlformats-officedocument.customXmlProperties+xml"/>
  <Override PartName="/customXml/itemProps44.xml" ContentType="application/vnd.openxmlformats-officedocument.customXmlProperties+xml"/>
  <Override PartName="/customXml/itemProps45.xml" ContentType="application/vnd.openxmlformats-officedocument.customXmlProperties+xml"/>
  <Override PartName="/customXml/itemProps46.xml" ContentType="application/vnd.openxmlformats-officedocument.customXmlProperties+xml"/>
  <Override PartName="/customXml/itemProps47.xml" ContentType="application/vnd.openxmlformats-officedocument.customXmlProperties+xml"/>
  <Override PartName="/customXml/itemProps48.xml" ContentType="application/vnd.openxmlformats-officedocument.customXmlProperties+xml"/>
  <Override PartName="/customXml/itemProps49.xml" ContentType="application/vnd.openxmlformats-officedocument.customXmlProperties+xml"/>
  <Override PartName="/customXml/itemProps50.xml" ContentType="application/vnd.openxmlformats-officedocument.customXmlProperties+xml"/>
  <Override PartName="/customXml/itemProps51.xml" ContentType="application/vnd.openxmlformats-officedocument.customXmlProperties+xml"/>
  <Override PartName="/customXml/itemProps52.xml" ContentType="application/vnd.openxmlformats-officedocument.customXmlProperties+xml"/>
  <Override PartName="/customXml/itemProps53.xml" ContentType="application/vnd.openxmlformats-officedocument.customXmlProperties+xml"/>
  <Override PartName="/customXml/itemProps54.xml" ContentType="application/vnd.openxmlformats-officedocument.customXmlProperties+xml"/>
  <Override PartName="/customXml/itemProps55.xml" ContentType="application/vnd.openxmlformats-officedocument.customXmlProperties+xml"/>
  <Override PartName="/customXml/itemProps56.xml" ContentType="application/vnd.openxmlformats-officedocument.customXmlProperties+xml"/>
  <Override PartName="/customXml/itemProps57.xml" ContentType="application/vnd.openxmlformats-officedocument.customXmlProperties+xml"/>
  <Override PartName="/customXml/itemProps58.xml" ContentType="application/vnd.openxmlformats-officedocument.customXmlProperties+xml"/>
  <Override PartName="/customXml/itemProps59.xml" ContentType="application/vnd.openxmlformats-officedocument.customXmlProperties+xml"/>
  <Override PartName="/customXml/itemProps60.xml" ContentType="application/vnd.openxmlformats-officedocument.customXmlProperties+xml"/>
  <Override PartName="/customXml/itemProps61.xml" ContentType="application/vnd.openxmlformats-officedocument.customXmlProperties+xml"/>
  <Override PartName="/customXml/itemProps62.xml" ContentType="application/vnd.openxmlformats-officedocument.customXmlProperties+xml"/>
  <Override PartName="/customXml/itemProps63.xml" ContentType="application/vnd.openxmlformats-officedocument.customXmlProperties+xml"/>
  <Override PartName="/customXml/itemProps64.xml" ContentType="application/vnd.openxmlformats-officedocument.customXmlProperties+xml"/>
  <Override PartName="/customXml/itemProps65.xml" ContentType="application/vnd.openxmlformats-officedocument.customXmlProperties+xml"/>
  <Override PartName="/customXml/itemProps66.xml" ContentType="application/vnd.openxmlformats-officedocument.customXmlProperties+xml"/>
  <Override PartName="/customXml/itemProps67.xml" ContentType="application/vnd.openxmlformats-officedocument.customXmlProperties+xml"/>
  <Override PartName="/customXml/itemProps68.xml" ContentType="application/vnd.openxmlformats-officedocument.customXmlProperties+xml"/>
  <Override PartName="/customXml/itemProps69.xml" ContentType="application/vnd.openxmlformats-officedocument.customXmlProperties+xml"/>
  <Override PartName="/customXml/itemProps70.xml" ContentType="application/vnd.openxmlformats-officedocument.customXmlProperties+xml"/>
  <Override PartName="/customXml/itemProps71.xml" ContentType="application/vnd.openxmlformats-officedocument.customXmlProperties+xml"/>
  <Override PartName="/customXml/itemProps72.xml" ContentType="application/vnd.openxmlformats-officedocument.customXmlProperties+xml"/>
  <Override PartName="/customXml/itemProps73.xml" ContentType="application/vnd.openxmlformats-officedocument.customXmlProperties+xml"/>
  <Override PartName="/customXml/itemProps74.xml" ContentType="application/vnd.openxmlformats-officedocument.customXmlProperties+xml"/>
  <Override PartName="/customXml/itemProps75.xml" ContentType="application/vnd.openxmlformats-officedocument.customXmlProperties+xml"/>
  <Override PartName="/customXml/itemProps76.xml" ContentType="application/vnd.openxmlformats-officedocument.customXmlProperties+xml"/>
  <Override PartName="/customXml/itemProps77.xml" ContentType="application/vnd.openxmlformats-officedocument.customXmlProperties+xml"/>
  <Override PartName="/customXml/itemProps78.xml" ContentType="application/vnd.openxmlformats-officedocument.customXmlProperties+xml"/>
  <Override PartName="/customXml/itemProps79.xml" ContentType="application/vnd.openxmlformats-officedocument.customXmlProperties+xml"/>
  <Override PartName="/customXml/itemProps80.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324"/>
  <workbookPr hidePivotFieldList="1"/>
  <mc:AlternateContent xmlns:mc="http://schemas.openxmlformats.org/markup-compatibility/2006">
    <mc:Choice Requires="x15">
      <x15ac:absPath xmlns:x15ac="http://schemas.microsoft.com/office/spreadsheetml/2010/11/ac" url="C:\Users\RoryWood\Downloads\"/>
    </mc:Choice>
  </mc:AlternateContent>
  <xr:revisionPtr revIDLastSave="0" documentId="8_{B32479F7-421E-4D67-AE7D-FAB2F3EC878B}" xr6:coauthVersionLast="47" xr6:coauthVersionMax="47" xr10:uidLastSave="{00000000-0000-0000-0000-000000000000}"/>
  <workbookProtection workbookAlgorithmName="SHA-512" workbookHashValue="O9yPhzqu3KHrjkHfzMDP7lrp7YSOPQQ49HdDI9UlQ1xa9ge5+Q2LJ5su/xd4px4MAW9wl/rDn8vXSq1Fz26XDQ==" workbookSaltValue="vJSINFObPWtrwlba0tmBrQ==" workbookSpinCount="100000" lockStructure="1"/>
  <bookViews>
    <workbookView xWindow="-110" yWindow="-110" windowWidth="22780" windowHeight="14540" xr2:uid="{00000000-000D-0000-FFFF-FFFF00000000}"/>
  </bookViews>
  <sheets>
    <sheet name="Summary" sheetId="1" r:id="rId1"/>
    <sheet name="A&amp;E diverts" sheetId="3" r:id="rId2"/>
    <sheet name="G&amp;A bed avail." sheetId="12" state="hidden" r:id="rId3"/>
    <sheet name="G&amp;A bed occ." sheetId="4" state="hidden" r:id="rId4"/>
    <sheet name="Long stay" sheetId="5" state="hidden" r:id="rId5"/>
    <sheet name="D&amp;V" sheetId="6" state="hidden" r:id="rId6"/>
    <sheet name="Critical care" sheetId="8" state="hidden" r:id="rId7"/>
    <sheet name="PICU" sheetId="10" state="hidden" r:id="rId8"/>
    <sheet name="NICU" sheetId="11" state="hidden" r:id="rId9"/>
    <sheet name="Ambulance" sheetId="7" r:id="rId10"/>
    <sheet name="Covid patients in hospital" sheetId="16" state="hidden" r:id="rId11"/>
    <sheet name="Covid MV beds" sheetId="18" state="hidden" r:id="rId12"/>
    <sheet name="Covid new admissions" sheetId="19" state="hidden" r:id="rId13"/>
    <sheet name="Delayed discharges" sheetId="17" state="hidden" r:id="rId14"/>
    <sheet name="Flu" sheetId="13" state="hidden" r:id="rId15"/>
    <sheet name="RSV" sheetId="15" state="hidden" r:id="rId16"/>
    <sheet name="Sheet2" sheetId="14" state="hidden" r:id="rId17"/>
  </sheets>
  <externalReferences>
    <externalReference r:id="rId18"/>
    <externalReference r:id="rId19"/>
  </externalReferences>
  <calcPr calcId="191028"/>
  <pivotCaches>
    <pivotCache cacheId="0" r:id="rId20"/>
    <pivotCache cacheId="1" r:id="rId21"/>
    <pivotCache cacheId="2" r:id="rId22"/>
    <pivotCache cacheId="3" r:id="rId23"/>
    <pivotCache cacheId="4" r:id="rId24"/>
    <pivotCache cacheId="5" r:id="rId25"/>
    <pivotCache cacheId="6" r:id="rId26"/>
    <pivotCache cacheId="7" r:id="rId27"/>
    <pivotCache cacheId="8" r:id="rId28"/>
    <pivotCache cacheId="9" r:id="rId29"/>
    <pivotCache cacheId="10" r:id="rId30"/>
    <pivotCache cacheId="11" r:id="rId31"/>
    <pivotCache cacheId="12" r:id="rId32"/>
    <pivotCache cacheId="13" r:id="rId33"/>
    <pivotCache cacheId="14" r:id="rId34"/>
    <pivotCache cacheId="15" r:id="rId35"/>
    <pivotCache cacheId="16" r:id="rId36"/>
    <pivotCache cacheId="17" r:id="rId37"/>
    <pivotCache cacheId="18" r:id="rId38"/>
    <pivotCache cacheId="19" r:id="rId39"/>
    <pivotCache cacheId="20" r:id="rId40"/>
    <pivotCache cacheId="21" r:id="rId41"/>
    <pivotCache cacheId="22" r:id="rId42"/>
    <pivotCache cacheId="23" r:id="rId43"/>
    <pivotCache cacheId="24" r:id="rId44"/>
    <pivotCache cacheId="25" r:id="rId45"/>
    <pivotCache cacheId="26" r:id="rId46"/>
    <pivotCache cacheId="27" r:id="rId47"/>
    <pivotCache cacheId="28" r:id="rId48"/>
    <pivotCache cacheId="29" r:id="rId49"/>
    <pivotCache cacheId="30" r:id="rId50"/>
    <pivotCache cacheId="31" r:id="rId51"/>
    <pivotCache cacheId="32" r:id="rId52"/>
    <pivotCache cacheId="33" r:id="rId53"/>
    <pivotCache cacheId="34" r:id="rId54"/>
    <pivotCache cacheId="35" r:id="rId55"/>
    <pivotCache cacheId="36" r:id="rId56"/>
    <pivotCache cacheId="37" r:id="rId57"/>
    <pivotCache cacheId="38" r:id="rId58"/>
    <pivotCache cacheId="39" r:id="rId59"/>
    <pivotCache cacheId="40" r:id="rId60"/>
    <pivotCache cacheId="41" r:id="rId61"/>
    <pivotCache cacheId="42" r:id="rId62"/>
    <pivotCache cacheId="43" r:id="rId63"/>
    <pivotCache cacheId="44" r:id="rId64"/>
    <pivotCache cacheId="45" r:id="rId65"/>
    <pivotCache cacheId="46" r:id="rId66"/>
    <pivotCache cacheId="47" r:id="rId67"/>
    <pivotCache cacheId="48" r:id="rId68"/>
    <pivotCache cacheId="49" r:id="rId69"/>
  </pivotCaches>
  <extLs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Winter daily sitreps_1df812bb-9fc3-4674-8d41-60c6726a8ef3" name="Winter daily sitreps" connection="e-base.nhsproviders.org"/>
          <x15:modelTable id="Ambulance - Winter Sitreps_6e4e8eb1-5366-41cb-b761-c809773328aa" name="Ambulance - Winter Sitreps" connection="e-base.nhsproviders.org"/>
          <x15:modelTable id="Discharge weekly winter sitreps_08a83ec6-a6c8-4b5e-a72f-c3805cae97b6" name="Discharge weekly winter sitreps" connection="e-base.nhsproviders.org"/>
          <x15:modelTable id="Winter bed occ over 14 days" name="Winter bed occ over 14 days" connection="Connection"/>
        </x15:modelTables>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BL158" i="7" l="1"/>
  <c r="N4" i="7" l="1"/>
  <c r="AB17" i="4"/>
  <c r="AB8" i="4"/>
  <c r="AX6" i="12"/>
  <c r="D24" i="1" s="1"/>
  <c r="BG7" i="7"/>
  <c r="BG8" i="7"/>
  <c r="BG9" i="7"/>
  <c r="BG10" i="7"/>
  <c r="BG11" i="7"/>
  <c r="BG12" i="7"/>
  <c r="BG13" i="7"/>
  <c r="BG14" i="7"/>
  <c r="BG15" i="7"/>
  <c r="BG16" i="7"/>
  <c r="BG17" i="7"/>
  <c r="BG18" i="7"/>
  <c r="BG19" i="7"/>
  <c r="BG6" i="7"/>
  <c r="BF7" i="7"/>
  <c r="BF8" i="7"/>
  <c r="BF9" i="7"/>
  <c r="BF10" i="7"/>
  <c r="BF11" i="7"/>
  <c r="BF12" i="7"/>
  <c r="BF13" i="7"/>
  <c r="BF14" i="7"/>
  <c r="BF15" i="7"/>
  <c r="BF16" i="7"/>
  <c r="BF17" i="7"/>
  <c r="BF18" i="7"/>
  <c r="BF19" i="7"/>
  <c r="BF6" i="7"/>
  <c r="BE7" i="7"/>
  <c r="BE8" i="7"/>
  <c r="BE9" i="7"/>
  <c r="BE10" i="7"/>
  <c r="BE11" i="7"/>
  <c r="BE12" i="7"/>
  <c r="BE13" i="7"/>
  <c r="BE14" i="7"/>
  <c r="BE15" i="7"/>
  <c r="BE16" i="7"/>
  <c r="BE17" i="7"/>
  <c r="BE18" i="7"/>
  <c r="BE19" i="7"/>
  <c r="BE6" i="7"/>
  <c r="BD7" i="7"/>
  <c r="BD8" i="7"/>
  <c r="BD9" i="7"/>
  <c r="BD10" i="7"/>
  <c r="BD11" i="7"/>
  <c r="BD12" i="7"/>
  <c r="BD13" i="7"/>
  <c r="BD14" i="7"/>
  <c r="BD15" i="7"/>
  <c r="BD16" i="7"/>
  <c r="BD17" i="7"/>
  <c r="BD18" i="7"/>
  <c r="BD19" i="7"/>
  <c r="BD6" i="7"/>
  <c r="BC7" i="7"/>
  <c r="BC8" i="7"/>
  <c r="BC9" i="7"/>
  <c r="BC10" i="7"/>
  <c r="BC11" i="7"/>
  <c r="BC12" i="7"/>
  <c r="BC13" i="7"/>
  <c r="BC14" i="7"/>
  <c r="BC15" i="7"/>
  <c r="BC16" i="7"/>
  <c r="BC17" i="7"/>
  <c r="BC18" i="7"/>
  <c r="BC19" i="7"/>
  <c r="BC6" i="7"/>
  <c r="BB7" i="7"/>
  <c r="BB8" i="7"/>
  <c r="BB9" i="7"/>
  <c r="BB10" i="7"/>
  <c r="BB11" i="7"/>
  <c r="BB12" i="7"/>
  <c r="BB13" i="7"/>
  <c r="BB14" i="7"/>
  <c r="BB15" i="7"/>
  <c r="BB16" i="7"/>
  <c r="BB17" i="7"/>
  <c r="BB18" i="7"/>
  <c r="BB19" i="7"/>
  <c r="BB6" i="7"/>
  <c r="BA7" i="7"/>
  <c r="BA8" i="7"/>
  <c r="BA9" i="7"/>
  <c r="BA10" i="7"/>
  <c r="BA11" i="7"/>
  <c r="BA12" i="7"/>
  <c r="BA13" i="7"/>
  <c r="BA14" i="7"/>
  <c r="BA15" i="7"/>
  <c r="BA16" i="7"/>
  <c r="BA17" i="7"/>
  <c r="BA18" i="7"/>
  <c r="BA19" i="7"/>
  <c r="BA6" i="7"/>
  <c r="AZ7" i="7"/>
  <c r="AZ8" i="7"/>
  <c r="AZ9" i="7"/>
  <c r="AZ10" i="7"/>
  <c r="AZ11" i="7"/>
  <c r="AZ12" i="7"/>
  <c r="AZ13" i="7"/>
  <c r="AZ14" i="7"/>
  <c r="AZ15" i="7"/>
  <c r="AZ16" i="7"/>
  <c r="AZ17" i="7"/>
  <c r="AZ18" i="7"/>
  <c r="AZ19" i="7"/>
  <c r="AZ6" i="7"/>
  <c r="BY158" i="7"/>
  <c r="BX158" i="7"/>
  <c r="BW158" i="7"/>
  <c r="BV158" i="7"/>
  <c r="BU158" i="7"/>
  <c r="BT158" i="7"/>
  <c r="BS158" i="7"/>
  <c r="BR158" i="7"/>
  <c r="BQ158" i="7"/>
  <c r="BP158" i="7"/>
  <c r="BO158" i="7"/>
  <c r="BN158" i="7"/>
  <c r="BM158" i="7"/>
  <c r="BT19" i="11"/>
  <c r="BS19" i="11"/>
  <c r="BR19" i="11"/>
  <c r="BQ19" i="11"/>
  <c r="BP19" i="11"/>
  <c r="BO19" i="11"/>
  <c r="BN19" i="11"/>
  <c r="BM19" i="11"/>
  <c r="BT18" i="11"/>
  <c r="BS18" i="11"/>
  <c r="BR18" i="11"/>
  <c r="BQ18" i="11"/>
  <c r="BP18" i="11"/>
  <c r="BO18" i="11"/>
  <c r="BN18" i="11"/>
  <c r="BM18" i="11"/>
  <c r="BT17" i="11"/>
  <c r="BS17" i="11"/>
  <c r="BR17" i="11"/>
  <c r="BQ17" i="11"/>
  <c r="BP17" i="11"/>
  <c r="BO17" i="11"/>
  <c r="BN17" i="11"/>
  <c r="BM17" i="11"/>
  <c r="BT16" i="11"/>
  <c r="BS16" i="11"/>
  <c r="BR16" i="11"/>
  <c r="BQ16" i="11"/>
  <c r="BP16" i="11"/>
  <c r="BO16" i="11"/>
  <c r="BN16" i="11"/>
  <c r="BM16" i="11"/>
  <c r="BT15" i="11"/>
  <c r="BS15" i="11"/>
  <c r="BR15" i="11"/>
  <c r="BQ15" i="11"/>
  <c r="BP15" i="11"/>
  <c r="BO15" i="11"/>
  <c r="BN15" i="11"/>
  <c r="BM15" i="11"/>
  <c r="BT14" i="11"/>
  <c r="BS14" i="11"/>
  <c r="BR14" i="11"/>
  <c r="BQ14" i="11"/>
  <c r="BP14" i="11"/>
  <c r="BO14" i="11"/>
  <c r="BN14" i="11"/>
  <c r="BM14" i="11"/>
  <c r="BT13" i="11"/>
  <c r="BS13" i="11"/>
  <c r="BR13" i="11"/>
  <c r="BQ13" i="11"/>
  <c r="BP13" i="11"/>
  <c r="BO13" i="11"/>
  <c r="BN13" i="11"/>
  <c r="BM13" i="11"/>
  <c r="BT12" i="11"/>
  <c r="BS12" i="11"/>
  <c r="BR12" i="11"/>
  <c r="BQ12" i="11"/>
  <c r="BP12" i="11"/>
  <c r="BO12" i="11"/>
  <c r="BN12" i="11"/>
  <c r="BM12" i="11"/>
  <c r="BT11" i="11"/>
  <c r="BS11" i="11"/>
  <c r="BR11" i="11"/>
  <c r="BQ11" i="11"/>
  <c r="BP11" i="11"/>
  <c r="BO11" i="11"/>
  <c r="BN11" i="11"/>
  <c r="BM11" i="11"/>
  <c r="BT10" i="11"/>
  <c r="BS10" i="11"/>
  <c r="BR10" i="11"/>
  <c r="BQ10" i="11"/>
  <c r="BP10" i="11"/>
  <c r="BO10" i="11"/>
  <c r="BN10" i="11"/>
  <c r="BM10" i="11"/>
  <c r="BT9" i="11"/>
  <c r="BS9" i="11"/>
  <c r="BR9" i="11"/>
  <c r="BQ9" i="11"/>
  <c r="BP9" i="11"/>
  <c r="BO9" i="11"/>
  <c r="BN9" i="11"/>
  <c r="BM9" i="11"/>
  <c r="BT8" i="11"/>
  <c r="BS8" i="11"/>
  <c r="BR8" i="11"/>
  <c r="BQ8" i="11"/>
  <c r="BP8" i="11"/>
  <c r="BO8" i="11"/>
  <c r="BN8" i="11"/>
  <c r="BM8" i="11"/>
  <c r="BT7" i="11"/>
  <c r="BS7" i="11"/>
  <c r="BR7" i="11"/>
  <c r="BQ7" i="11"/>
  <c r="BP7" i="11"/>
  <c r="BO7" i="11"/>
  <c r="BN7" i="11"/>
  <c r="BM7" i="11"/>
  <c r="BT6" i="11"/>
  <c r="BS6" i="11"/>
  <c r="BR6" i="11"/>
  <c r="BQ6" i="11"/>
  <c r="BP6" i="11"/>
  <c r="BO6" i="11"/>
  <c r="BN6" i="11"/>
  <c r="BM6" i="11"/>
  <c r="BU19" i="10"/>
  <c r="BT19" i="10"/>
  <c r="BS19" i="10"/>
  <c r="BR19" i="10"/>
  <c r="BQ19" i="10"/>
  <c r="BP19" i="10"/>
  <c r="BO19" i="10"/>
  <c r="BN19" i="10"/>
  <c r="BU18" i="10"/>
  <c r="BT18" i="10"/>
  <c r="BS18" i="10"/>
  <c r="BR18" i="10"/>
  <c r="BQ18" i="10"/>
  <c r="BP18" i="10"/>
  <c r="BO18" i="10"/>
  <c r="BN18" i="10"/>
  <c r="BU17" i="10"/>
  <c r="BT17" i="10"/>
  <c r="BS17" i="10"/>
  <c r="BR17" i="10"/>
  <c r="BQ17" i="10"/>
  <c r="BP17" i="10"/>
  <c r="BO17" i="10"/>
  <c r="BN17" i="10"/>
  <c r="BU16" i="10"/>
  <c r="BT16" i="10"/>
  <c r="BS16" i="10"/>
  <c r="BR16" i="10"/>
  <c r="BQ16" i="10"/>
  <c r="BP16" i="10"/>
  <c r="BO16" i="10"/>
  <c r="BN16" i="10"/>
  <c r="BU15" i="10"/>
  <c r="BT15" i="10"/>
  <c r="BS15" i="10"/>
  <c r="BR15" i="10"/>
  <c r="BQ15" i="10"/>
  <c r="BP15" i="10"/>
  <c r="BO15" i="10"/>
  <c r="BN15" i="10"/>
  <c r="BU14" i="10"/>
  <c r="BT14" i="10"/>
  <c r="BS14" i="10"/>
  <c r="BR14" i="10"/>
  <c r="BQ14" i="10"/>
  <c r="BP14" i="10"/>
  <c r="BO14" i="10"/>
  <c r="BN14" i="10"/>
  <c r="BU13" i="10"/>
  <c r="BT13" i="10"/>
  <c r="BS13" i="10"/>
  <c r="BR13" i="10"/>
  <c r="BQ13" i="10"/>
  <c r="BP13" i="10"/>
  <c r="BO13" i="10"/>
  <c r="BN13" i="10"/>
  <c r="BU12" i="10"/>
  <c r="BT12" i="10"/>
  <c r="BS12" i="10"/>
  <c r="BR12" i="10"/>
  <c r="BQ12" i="10"/>
  <c r="BP12" i="10"/>
  <c r="BO12" i="10"/>
  <c r="BN12" i="10"/>
  <c r="BU11" i="10"/>
  <c r="BT11" i="10"/>
  <c r="BS11" i="10"/>
  <c r="BR11" i="10"/>
  <c r="BQ11" i="10"/>
  <c r="BP11" i="10"/>
  <c r="BO11" i="10"/>
  <c r="BN11" i="10"/>
  <c r="BU10" i="10"/>
  <c r="BT10" i="10"/>
  <c r="BS10" i="10"/>
  <c r="BR10" i="10"/>
  <c r="BQ10" i="10"/>
  <c r="BP10" i="10"/>
  <c r="BO10" i="10"/>
  <c r="BN10" i="10"/>
  <c r="BU9" i="10"/>
  <c r="BT9" i="10"/>
  <c r="BS9" i="10"/>
  <c r="BR9" i="10"/>
  <c r="BQ9" i="10"/>
  <c r="BP9" i="10"/>
  <c r="BO9" i="10"/>
  <c r="BN9" i="10"/>
  <c r="BU8" i="10"/>
  <c r="BT8" i="10"/>
  <c r="BS8" i="10"/>
  <c r="BR8" i="10"/>
  <c r="BQ8" i="10"/>
  <c r="BP8" i="10"/>
  <c r="BO8" i="10"/>
  <c r="BN8" i="10"/>
  <c r="BU7" i="10"/>
  <c r="BT7" i="10"/>
  <c r="BS7" i="10"/>
  <c r="BR7" i="10"/>
  <c r="BQ7" i="10"/>
  <c r="BP7" i="10"/>
  <c r="BO7" i="10"/>
  <c r="BN7" i="10"/>
  <c r="BU6" i="10"/>
  <c r="BT6" i="10"/>
  <c r="BS6" i="10"/>
  <c r="BR6" i="10"/>
  <c r="BQ6" i="10"/>
  <c r="BP6" i="10"/>
  <c r="BO6" i="10"/>
  <c r="BN6" i="10"/>
  <c r="BU19" i="8"/>
  <c r="BT19" i="8"/>
  <c r="BS19" i="8"/>
  <c r="BR19" i="8"/>
  <c r="BQ19" i="8"/>
  <c r="BP19" i="8"/>
  <c r="BO19" i="8"/>
  <c r="BN19" i="8"/>
  <c r="BU18" i="8"/>
  <c r="BT18" i="8"/>
  <c r="BS18" i="8"/>
  <c r="BR18" i="8"/>
  <c r="BQ18" i="8"/>
  <c r="BP18" i="8"/>
  <c r="BO18" i="8"/>
  <c r="BN18" i="8"/>
  <c r="BU17" i="8"/>
  <c r="BT17" i="8"/>
  <c r="BS17" i="8"/>
  <c r="BR17" i="8"/>
  <c r="BQ17" i="8"/>
  <c r="BP17" i="8"/>
  <c r="BO17" i="8"/>
  <c r="BN17" i="8"/>
  <c r="BU16" i="8"/>
  <c r="BT16" i="8"/>
  <c r="BS16" i="8"/>
  <c r="BR16" i="8"/>
  <c r="BQ16" i="8"/>
  <c r="BP16" i="8"/>
  <c r="BO16" i="8"/>
  <c r="BN16" i="8"/>
  <c r="BU15" i="8"/>
  <c r="BT15" i="8"/>
  <c r="BS15" i="8"/>
  <c r="BR15" i="8"/>
  <c r="BQ15" i="8"/>
  <c r="BP15" i="8"/>
  <c r="BO15" i="8"/>
  <c r="BN15" i="8"/>
  <c r="BU14" i="8"/>
  <c r="BT14" i="8"/>
  <c r="BS14" i="8"/>
  <c r="BR14" i="8"/>
  <c r="BQ14" i="8"/>
  <c r="BP14" i="8"/>
  <c r="BO14" i="8"/>
  <c r="BN14" i="8"/>
  <c r="BU13" i="8"/>
  <c r="BT13" i="8"/>
  <c r="BS13" i="8"/>
  <c r="BR13" i="8"/>
  <c r="BQ13" i="8"/>
  <c r="BP13" i="8"/>
  <c r="BO13" i="8"/>
  <c r="BN13" i="8"/>
  <c r="BU12" i="8"/>
  <c r="BT12" i="8"/>
  <c r="BS12" i="8"/>
  <c r="BR12" i="8"/>
  <c r="BQ12" i="8"/>
  <c r="BP12" i="8"/>
  <c r="BO12" i="8"/>
  <c r="BN12" i="8"/>
  <c r="BU11" i="8"/>
  <c r="BT11" i="8"/>
  <c r="BS11" i="8"/>
  <c r="BR11" i="8"/>
  <c r="BQ11" i="8"/>
  <c r="BP11" i="8"/>
  <c r="BO11" i="8"/>
  <c r="BN11" i="8"/>
  <c r="BU10" i="8"/>
  <c r="BT10" i="8"/>
  <c r="BS10" i="8"/>
  <c r="BR10" i="8"/>
  <c r="BQ10" i="8"/>
  <c r="BP10" i="8"/>
  <c r="BO10" i="8"/>
  <c r="BN10" i="8"/>
  <c r="BU9" i="8"/>
  <c r="BT9" i="8"/>
  <c r="BS9" i="8"/>
  <c r="BR9" i="8"/>
  <c r="BQ9" i="8"/>
  <c r="BP9" i="8"/>
  <c r="BO9" i="8"/>
  <c r="BN9" i="8"/>
  <c r="BU8" i="8"/>
  <c r="BT8" i="8"/>
  <c r="BS8" i="8"/>
  <c r="BR8" i="8"/>
  <c r="BQ8" i="8"/>
  <c r="BP8" i="8"/>
  <c r="BO8" i="8"/>
  <c r="BN8" i="8"/>
  <c r="BU7" i="8"/>
  <c r="BT7" i="8"/>
  <c r="BS7" i="8"/>
  <c r="BR7" i="8"/>
  <c r="BQ7" i="8"/>
  <c r="BP7" i="8"/>
  <c r="BO7" i="8"/>
  <c r="BN7" i="8"/>
  <c r="BU6" i="8"/>
  <c r="BT6" i="8"/>
  <c r="BS6" i="8"/>
  <c r="BR6" i="8"/>
  <c r="BQ6" i="8"/>
  <c r="BP6" i="8"/>
  <c r="BO6" i="8"/>
  <c r="BN6" i="8"/>
  <c r="BW19" i="6"/>
  <c r="BV19" i="6"/>
  <c r="BU19" i="6"/>
  <c r="BT19" i="6"/>
  <c r="BS19" i="6"/>
  <c r="BR19" i="6"/>
  <c r="BQ19" i="6"/>
  <c r="BP19" i="6"/>
  <c r="BW18" i="6"/>
  <c r="BV18" i="6"/>
  <c r="BU18" i="6"/>
  <c r="BT18" i="6"/>
  <c r="BS18" i="6"/>
  <c r="BR18" i="6"/>
  <c r="BQ18" i="6"/>
  <c r="BP18" i="6"/>
  <c r="BW17" i="6"/>
  <c r="BV17" i="6"/>
  <c r="BU17" i="6"/>
  <c r="BT17" i="6"/>
  <c r="BS17" i="6"/>
  <c r="BR17" i="6"/>
  <c r="BQ17" i="6"/>
  <c r="BP17" i="6"/>
  <c r="BW16" i="6"/>
  <c r="BV16" i="6"/>
  <c r="BU16" i="6"/>
  <c r="BT16" i="6"/>
  <c r="BS16" i="6"/>
  <c r="BR16" i="6"/>
  <c r="BQ16" i="6"/>
  <c r="BP16" i="6"/>
  <c r="BW15" i="6"/>
  <c r="BV15" i="6"/>
  <c r="BU15" i="6"/>
  <c r="BT15" i="6"/>
  <c r="BS15" i="6"/>
  <c r="BR15" i="6"/>
  <c r="BQ15" i="6"/>
  <c r="BP15" i="6"/>
  <c r="BW14" i="6"/>
  <c r="BV14" i="6"/>
  <c r="BU14" i="6"/>
  <c r="BT14" i="6"/>
  <c r="BS14" i="6"/>
  <c r="BR14" i="6"/>
  <c r="BQ14" i="6"/>
  <c r="BP14" i="6"/>
  <c r="BW13" i="6"/>
  <c r="BV13" i="6"/>
  <c r="BU13" i="6"/>
  <c r="BT13" i="6"/>
  <c r="BS13" i="6"/>
  <c r="BR13" i="6"/>
  <c r="BQ13" i="6"/>
  <c r="BP13" i="6"/>
  <c r="BW12" i="6"/>
  <c r="BV12" i="6"/>
  <c r="BU12" i="6"/>
  <c r="BT12" i="6"/>
  <c r="BS12" i="6"/>
  <c r="BR12" i="6"/>
  <c r="BQ12" i="6"/>
  <c r="BP12" i="6"/>
  <c r="BW11" i="6"/>
  <c r="BV11" i="6"/>
  <c r="BU11" i="6"/>
  <c r="BT11" i="6"/>
  <c r="BS11" i="6"/>
  <c r="BR11" i="6"/>
  <c r="BQ11" i="6"/>
  <c r="BP11" i="6"/>
  <c r="BW10" i="6"/>
  <c r="BV10" i="6"/>
  <c r="BU10" i="6"/>
  <c r="BT10" i="6"/>
  <c r="BS10" i="6"/>
  <c r="BR10" i="6"/>
  <c r="BQ10" i="6"/>
  <c r="BP10" i="6"/>
  <c r="BW9" i="6"/>
  <c r="BV9" i="6"/>
  <c r="BU9" i="6"/>
  <c r="BT9" i="6"/>
  <c r="BS9" i="6"/>
  <c r="BR9" i="6"/>
  <c r="BQ9" i="6"/>
  <c r="BP9" i="6"/>
  <c r="BW8" i="6"/>
  <c r="BV8" i="6"/>
  <c r="BU8" i="6"/>
  <c r="BT8" i="6"/>
  <c r="BS8" i="6"/>
  <c r="BR8" i="6"/>
  <c r="BQ8" i="6"/>
  <c r="BP8" i="6"/>
  <c r="BW7" i="6"/>
  <c r="BV7" i="6"/>
  <c r="BU7" i="6"/>
  <c r="BT7" i="6"/>
  <c r="BS7" i="6"/>
  <c r="BR7" i="6"/>
  <c r="BQ7" i="6"/>
  <c r="BP7" i="6"/>
  <c r="BW6" i="6"/>
  <c r="BV6" i="6"/>
  <c r="BU6" i="6"/>
  <c r="BT6" i="6"/>
  <c r="BS6" i="6"/>
  <c r="BR6" i="6"/>
  <c r="BQ6" i="6"/>
  <c r="BP6" i="6"/>
  <c r="Z17" i="6"/>
  <c r="Y17" i="6"/>
  <c r="X17" i="6"/>
  <c r="W17" i="6"/>
  <c r="V17" i="6"/>
  <c r="U17" i="6"/>
  <c r="T17" i="6"/>
  <c r="S17" i="6"/>
  <c r="Z16" i="6"/>
  <c r="Y16" i="6"/>
  <c r="X16" i="6"/>
  <c r="W16" i="6"/>
  <c r="V16" i="6"/>
  <c r="U16" i="6"/>
  <c r="T16" i="6"/>
  <c r="S16" i="6"/>
  <c r="Z15" i="6"/>
  <c r="Y15" i="6"/>
  <c r="X15" i="6"/>
  <c r="W15" i="6"/>
  <c r="V15" i="6"/>
  <c r="U15" i="6"/>
  <c r="T15" i="6"/>
  <c r="S15" i="6"/>
  <c r="Z14" i="6"/>
  <c r="Y14" i="6"/>
  <c r="X14" i="6"/>
  <c r="W14" i="6"/>
  <c r="V14" i="6"/>
  <c r="U14" i="6"/>
  <c r="T14" i="6"/>
  <c r="S14" i="6"/>
  <c r="Z13" i="6"/>
  <c r="Y13" i="6"/>
  <c r="X13" i="6"/>
  <c r="W13" i="6"/>
  <c r="V13" i="6"/>
  <c r="U13" i="6"/>
  <c r="T13" i="6"/>
  <c r="S13" i="6"/>
  <c r="Z12" i="6"/>
  <c r="Y12" i="6"/>
  <c r="X12" i="6"/>
  <c r="W12" i="6"/>
  <c r="V12" i="6"/>
  <c r="U12" i="6"/>
  <c r="T12" i="6"/>
  <c r="S12" i="6"/>
  <c r="Z11" i="6"/>
  <c r="Y11" i="6"/>
  <c r="X11" i="6"/>
  <c r="W11" i="6"/>
  <c r="V11" i="6"/>
  <c r="U11" i="6"/>
  <c r="T11" i="6"/>
  <c r="S11" i="6"/>
  <c r="Z10" i="6"/>
  <c r="Y10" i="6"/>
  <c r="X10" i="6"/>
  <c r="W10" i="6"/>
  <c r="V10" i="6"/>
  <c r="U10" i="6"/>
  <c r="T10" i="6"/>
  <c r="S10" i="6"/>
  <c r="Z9" i="6"/>
  <c r="Y9" i="6"/>
  <c r="X9" i="6"/>
  <c r="W9" i="6"/>
  <c r="V9" i="6"/>
  <c r="U9" i="6"/>
  <c r="T9" i="6"/>
  <c r="S9" i="6"/>
  <c r="Z8" i="6"/>
  <c r="Y8" i="6"/>
  <c r="X8" i="6"/>
  <c r="W8" i="6"/>
  <c r="V8" i="6"/>
  <c r="U8" i="6"/>
  <c r="T8" i="6"/>
  <c r="S8" i="6"/>
  <c r="Z7" i="6"/>
  <c r="Y7" i="6"/>
  <c r="X7" i="6"/>
  <c r="W7" i="6"/>
  <c r="V7" i="6"/>
  <c r="U7" i="6"/>
  <c r="T7" i="6"/>
  <c r="S7" i="6"/>
  <c r="Z6" i="6"/>
  <c r="Y6" i="6"/>
  <c r="X6" i="6"/>
  <c r="W6" i="6"/>
  <c r="V6" i="6"/>
  <c r="U6" i="6"/>
  <c r="T6" i="6"/>
  <c r="S6" i="6"/>
  <c r="Z5" i="6"/>
  <c r="Y5" i="6"/>
  <c r="X5" i="6"/>
  <c r="W5" i="6"/>
  <c r="V5" i="6"/>
  <c r="U5" i="6"/>
  <c r="T5" i="6"/>
  <c r="S5" i="6"/>
  <c r="Z4" i="6"/>
  <c r="Y4" i="6"/>
  <c r="X4" i="6"/>
  <c r="W4" i="6"/>
  <c r="V4" i="6"/>
  <c r="U4" i="6"/>
  <c r="T4" i="6"/>
  <c r="S4" i="6"/>
  <c r="AP148" i="6"/>
  <c r="AO148" i="6"/>
  <c r="AN148" i="6"/>
  <c r="AM148" i="6"/>
  <c r="AL148" i="6"/>
  <c r="AK148" i="6"/>
  <c r="AJ148" i="6"/>
  <c r="AI148" i="6"/>
  <c r="AH148" i="6"/>
  <c r="AG148" i="6"/>
  <c r="AF148" i="6"/>
  <c r="AE148" i="6"/>
  <c r="AD148" i="6"/>
  <c r="AC148" i="6"/>
  <c r="CN149" i="6"/>
  <c r="CM149" i="6"/>
  <c r="CL149" i="6"/>
  <c r="CK149" i="6"/>
  <c r="CJ149" i="6"/>
  <c r="CI149" i="6"/>
  <c r="CH149" i="6"/>
  <c r="CG149" i="6"/>
  <c r="CF149" i="6"/>
  <c r="CE149" i="6"/>
  <c r="CD149" i="6"/>
  <c r="CC149" i="6"/>
  <c r="CB149" i="6"/>
  <c r="CA149" i="6"/>
  <c r="BJ18" i="5"/>
  <c r="BI18" i="5"/>
  <c r="BH18" i="5"/>
  <c r="BG18" i="5"/>
  <c r="BF18" i="5"/>
  <c r="BE18" i="5"/>
  <c r="BD18" i="5"/>
  <c r="BC18" i="5"/>
  <c r="BJ17" i="5"/>
  <c r="BI17" i="5"/>
  <c r="BH17" i="5"/>
  <c r="BG17" i="5"/>
  <c r="BF17" i="5"/>
  <c r="BE17" i="5"/>
  <c r="BD17" i="5"/>
  <c r="BC17" i="5"/>
  <c r="BJ16" i="5"/>
  <c r="BI16" i="5"/>
  <c r="BH16" i="5"/>
  <c r="BG16" i="5"/>
  <c r="BF16" i="5"/>
  <c r="BE16" i="5"/>
  <c r="BD16" i="5"/>
  <c r="BC16" i="5"/>
  <c r="BJ15" i="5"/>
  <c r="BI15" i="5"/>
  <c r="BH15" i="5"/>
  <c r="BG15" i="5"/>
  <c r="BF15" i="5"/>
  <c r="BE15" i="5"/>
  <c r="BD15" i="5"/>
  <c r="BC15" i="5"/>
  <c r="BJ14" i="5"/>
  <c r="BI14" i="5"/>
  <c r="BH14" i="5"/>
  <c r="BG14" i="5"/>
  <c r="BF14" i="5"/>
  <c r="BE14" i="5"/>
  <c r="BD14" i="5"/>
  <c r="BC14" i="5"/>
  <c r="BJ13" i="5"/>
  <c r="BI13" i="5"/>
  <c r="BH13" i="5"/>
  <c r="BG13" i="5"/>
  <c r="BF13" i="5"/>
  <c r="BE13" i="5"/>
  <c r="BD13" i="5"/>
  <c r="BC13" i="5"/>
  <c r="BJ12" i="5"/>
  <c r="BI12" i="5"/>
  <c r="BH12" i="5"/>
  <c r="BG12" i="5"/>
  <c r="BF12" i="5"/>
  <c r="BE12" i="5"/>
  <c r="BD12" i="5"/>
  <c r="BC12" i="5"/>
  <c r="BJ11" i="5"/>
  <c r="BI11" i="5"/>
  <c r="BH11" i="5"/>
  <c r="BG11" i="5"/>
  <c r="BF11" i="5"/>
  <c r="BE11" i="5"/>
  <c r="BD11" i="5"/>
  <c r="BC11" i="5"/>
  <c r="BJ10" i="5"/>
  <c r="BI10" i="5"/>
  <c r="BH10" i="5"/>
  <c r="BG10" i="5"/>
  <c r="BF10" i="5"/>
  <c r="BE10" i="5"/>
  <c r="BD10" i="5"/>
  <c r="BC10" i="5"/>
  <c r="BJ9" i="5"/>
  <c r="BI9" i="5"/>
  <c r="BH9" i="5"/>
  <c r="BG9" i="5"/>
  <c r="BF9" i="5"/>
  <c r="BE9" i="5"/>
  <c r="BD9" i="5"/>
  <c r="BC9" i="5"/>
  <c r="BJ8" i="5"/>
  <c r="BI8" i="5"/>
  <c r="BH8" i="5"/>
  <c r="BG8" i="5"/>
  <c r="BF8" i="5"/>
  <c r="BE8" i="5"/>
  <c r="BD8" i="5"/>
  <c r="BC8" i="5"/>
  <c r="BJ7" i="5"/>
  <c r="BI7" i="5"/>
  <c r="BH7" i="5"/>
  <c r="BG7" i="5"/>
  <c r="BF7" i="5"/>
  <c r="BE7" i="5"/>
  <c r="BD7" i="5"/>
  <c r="BC7" i="5"/>
  <c r="BJ6" i="5"/>
  <c r="BI6" i="5"/>
  <c r="BH6" i="5"/>
  <c r="BG6" i="5"/>
  <c r="BF6" i="5"/>
  <c r="BE6" i="5"/>
  <c r="BD6" i="5"/>
  <c r="BC6" i="5"/>
  <c r="BJ5" i="5"/>
  <c r="BI5" i="5"/>
  <c r="BH5" i="5"/>
  <c r="BG5" i="5"/>
  <c r="BF5" i="5"/>
  <c r="BE5" i="5"/>
  <c r="BD5" i="5"/>
  <c r="BC5" i="5"/>
  <c r="AN18" i="5"/>
  <c r="AM18" i="5"/>
  <c r="AL18" i="5"/>
  <c r="AK18" i="5"/>
  <c r="AJ18" i="5"/>
  <c r="AI18" i="5"/>
  <c r="AH18" i="5"/>
  <c r="AG18" i="5"/>
  <c r="AN17" i="5"/>
  <c r="AM17" i="5"/>
  <c r="AL17" i="5"/>
  <c r="AK17" i="5"/>
  <c r="AJ17" i="5"/>
  <c r="AI17" i="5"/>
  <c r="AH17" i="5"/>
  <c r="AG17" i="5"/>
  <c r="AN16" i="5"/>
  <c r="AM16" i="5"/>
  <c r="AL16" i="5"/>
  <c r="AK16" i="5"/>
  <c r="AJ16" i="5"/>
  <c r="AI16" i="5"/>
  <c r="AH16" i="5"/>
  <c r="AG16" i="5"/>
  <c r="AN15" i="5"/>
  <c r="AM15" i="5"/>
  <c r="AL15" i="5"/>
  <c r="AK15" i="5"/>
  <c r="AJ15" i="5"/>
  <c r="AI15" i="5"/>
  <c r="AH15" i="5"/>
  <c r="AG15" i="5"/>
  <c r="AN14" i="5"/>
  <c r="AM14" i="5"/>
  <c r="AL14" i="5"/>
  <c r="AK14" i="5"/>
  <c r="AJ14" i="5"/>
  <c r="AI14" i="5"/>
  <c r="AH14" i="5"/>
  <c r="AG14" i="5"/>
  <c r="AN13" i="5"/>
  <c r="AM13" i="5"/>
  <c r="AL13" i="5"/>
  <c r="AK13" i="5"/>
  <c r="AJ13" i="5"/>
  <c r="AI13" i="5"/>
  <c r="AH13" i="5"/>
  <c r="AG13" i="5"/>
  <c r="AN12" i="5"/>
  <c r="AM12" i="5"/>
  <c r="AL12" i="5"/>
  <c r="AK12" i="5"/>
  <c r="AJ12" i="5"/>
  <c r="AI12" i="5"/>
  <c r="AH12" i="5"/>
  <c r="AG12" i="5"/>
  <c r="AN11" i="5"/>
  <c r="AM11" i="5"/>
  <c r="AL11" i="5"/>
  <c r="AK11" i="5"/>
  <c r="AJ11" i="5"/>
  <c r="AI11" i="5"/>
  <c r="AH11" i="5"/>
  <c r="AG11" i="5"/>
  <c r="AN10" i="5"/>
  <c r="AM10" i="5"/>
  <c r="AL10" i="5"/>
  <c r="AK10" i="5"/>
  <c r="AJ10" i="5"/>
  <c r="AI10" i="5"/>
  <c r="AH10" i="5"/>
  <c r="AG10" i="5"/>
  <c r="AN9" i="5"/>
  <c r="AM9" i="5"/>
  <c r="AL9" i="5"/>
  <c r="AK9" i="5"/>
  <c r="AJ9" i="5"/>
  <c r="AI9" i="5"/>
  <c r="AH9" i="5"/>
  <c r="AG9" i="5"/>
  <c r="AN8" i="5"/>
  <c r="AM8" i="5"/>
  <c r="AL8" i="5"/>
  <c r="AK8" i="5"/>
  <c r="AJ8" i="5"/>
  <c r="AI8" i="5"/>
  <c r="AH8" i="5"/>
  <c r="AG8" i="5"/>
  <c r="AN7" i="5"/>
  <c r="AM7" i="5"/>
  <c r="AL7" i="5"/>
  <c r="AK7" i="5"/>
  <c r="AJ7" i="5"/>
  <c r="AI7" i="5"/>
  <c r="AH7" i="5"/>
  <c r="AG7" i="5"/>
  <c r="AN6" i="5"/>
  <c r="AM6" i="5"/>
  <c r="AL6" i="5"/>
  <c r="AK6" i="5"/>
  <c r="AJ6" i="5"/>
  <c r="AI6" i="5"/>
  <c r="AH6" i="5"/>
  <c r="AG6" i="5"/>
  <c r="AN5" i="5"/>
  <c r="AM5" i="5"/>
  <c r="AL5" i="5"/>
  <c r="AK5" i="5"/>
  <c r="AJ5" i="5"/>
  <c r="AI5" i="5"/>
  <c r="AH5" i="5"/>
  <c r="AG5" i="5"/>
  <c r="T18" i="5"/>
  <c r="S18" i="5"/>
  <c r="R18" i="5"/>
  <c r="Q18" i="5"/>
  <c r="P18" i="5"/>
  <c r="O18" i="5"/>
  <c r="N18" i="5"/>
  <c r="M18" i="5"/>
  <c r="T17" i="5"/>
  <c r="S17" i="5"/>
  <c r="R17" i="5"/>
  <c r="Q17" i="5"/>
  <c r="P17" i="5"/>
  <c r="O17" i="5"/>
  <c r="N17" i="5"/>
  <c r="M17" i="5"/>
  <c r="T16" i="5"/>
  <c r="S16" i="5"/>
  <c r="R16" i="5"/>
  <c r="Q16" i="5"/>
  <c r="P16" i="5"/>
  <c r="O16" i="5"/>
  <c r="N16" i="5"/>
  <c r="M16" i="5"/>
  <c r="T15" i="5"/>
  <c r="S15" i="5"/>
  <c r="R15" i="5"/>
  <c r="Q15" i="5"/>
  <c r="P15" i="5"/>
  <c r="O15" i="5"/>
  <c r="N15" i="5"/>
  <c r="M15" i="5"/>
  <c r="T14" i="5"/>
  <c r="S14" i="5"/>
  <c r="R14" i="5"/>
  <c r="Q14" i="5"/>
  <c r="P14" i="5"/>
  <c r="O14" i="5"/>
  <c r="N14" i="5"/>
  <c r="M14" i="5"/>
  <c r="T13" i="5"/>
  <c r="S13" i="5"/>
  <c r="R13" i="5"/>
  <c r="Q13" i="5"/>
  <c r="P13" i="5"/>
  <c r="O13" i="5"/>
  <c r="N13" i="5"/>
  <c r="M13" i="5"/>
  <c r="T12" i="5"/>
  <c r="S12" i="5"/>
  <c r="R12" i="5"/>
  <c r="Q12" i="5"/>
  <c r="P12" i="5"/>
  <c r="O12" i="5"/>
  <c r="N12" i="5"/>
  <c r="M12" i="5"/>
  <c r="T11" i="5"/>
  <c r="S11" i="5"/>
  <c r="R11" i="5"/>
  <c r="Q11" i="5"/>
  <c r="P11" i="5"/>
  <c r="O11" i="5"/>
  <c r="N11" i="5"/>
  <c r="M11" i="5"/>
  <c r="T10" i="5"/>
  <c r="S10" i="5"/>
  <c r="R10" i="5"/>
  <c r="Q10" i="5"/>
  <c r="P10" i="5"/>
  <c r="O10" i="5"/>
  <c r="N10" i="5"/>
  <c r="M10" i="5"/>
  <c r="T9" i="5"/>
  <c r="S9" i="5"/>
  <c r="R9" i="5"/>
  <c r="Q9" i="5"/>
  <c r="P9" i="5"/>
  <c r="O9" i="5"/>
  <c r="N9" i="5"/>
  <c r="M9" i="5"/>
  <c r="T8" i="5"/>
  <c r="S8" i="5"/>
  <c r="R8" i="5"/>
  <c r="Q8" i="5"/>
  <c r="P8" i="5"/>
  <c r="O8" i="5"/>
  <c r="N8" i="5"/>
  <c r="M8" i="5"/>
  <c r="T7" i="5"/>
  <c r="S7" i="5"/>
  <c r="R7" i="5"/>
  <c r="Q7" i="5"/>
  <c r="P7" i="5"/>
  <c r="O7" i="5"/>
  <c r="N7" i="5"/>
  <c r="M7" i="5"/>
  <c r="T6" i="5"/>
  <c r="S6" i="5"/>
  <c r="R6" i="5"/>
  <c r="Q6" i="5"/>
  <c r="P6" i="5"/>
  <c r="O6" i="5"/>
  <c r="N6" i="5"/>
  <c r="M6" i="5"/>
  <c r="T5" i="5"/>
  <c r="S5" i="5"/>
  <c r="R5" i="5"/>
  <c r="Q5" i="5"/>
  <c r="P5" i="5"/>
  <c r="O5" i="5"/>
  <c r="N5" i="5"/>
  <c r="M5" i="5"/>
  <c r="V4" i="3" l="1"/>
  <c r="Q5" i="3"/>
  <c r="R5" i="3"/>
  <c r="S5" i="3"/>
  <c r="T5" i="3"/>
  <c r="U5" i="3"/>
  <c r="Q6" i="3"/>
  <c r="R6" i="3"/>
  <c r="S6" i="3"/>
  <c r="T6" i="3"/>
  <c r="U6" i="3"/>
  <c r="Q7" i="3"/>
  <c r="R7" i="3"/>
  <c r="S7" i="3"/>
  <c r="T7" i="3"/>
  <c r="U7" i="3"/>
  <c r="Q8" i="3"/>
  <c r="R8" i="3"/>
  <c r="S8" i="3"/>
  <c r="T8" i="3"/>
  <c r="U8" i="3"/>
  <c r="Q9" i="3"/>
  <c r="R9" i="3"/>
  <c r="S9" i="3"/>
  <c r="T9" i="3"/>
  <c r="U9" i="3"/>
  <c r="Q10" i="3"/>
  <c r="R10" i="3"/>
  <c r="S10" i="3"/>
  <c r="T10" i="3"/>
  <c r="U10" i="3"/>
  <c r="Q11" i="3"/>
  <c r="R11" i="3"/>
  <c r="S11" i="3"/>
  <c r="T11" i="3"/>
  <c r="U11" i="3"/>
  <c r="Q12" i="3"/>
  <c r="R12" i="3"/>
  <c r="S12" i="3"/>
  <c r="T12" i="3"/>
  <c r="U12" i="3"/>
  <c r="Q13" i="3"/>
  <c r="R13" i="3"/>
  <c r="S13" i="3"/>
  <c r="T13" i="3"/>
  <c r="U13" i="3"/>
  <c r="Q14" i="3"/>
  <c r="R14" i="3"/>
  <c r="S14" i="3"/>
  <c r="T14" i="3"/>
  <c r="U14" i="3"/>
  <c r="Q15" i="3"/>
  <c r="R15" i="3"/>
  <c r="S15" i="3"/>
  <c r="T15" i="3"/>
  <c r="U15" i="3"/>
  <c r="Q16" i="3"/>
  <c r="R16" i="3"/>
  <c r="S16" i="3"/>
  <c r="T16" i="3"/>
  <c r="U16" i="3"/>
  <c r="Q17" i="3"/>
  <c r="R17" i="3"/>
  <c r="S17" i="3"/>
  <c r="T17" i="3"/>
  <c r="U17" i="3"/>
  <c r="AM151" i="4"/>
  <c r="AN151" i="4"/>
  <c r="AO151" i="4"/>
  <c r="AP151" i="4"/>
  <c r="AQ151" i="4"/>
  <c r="AR151" i="4"/>
  <c r="AS151" i="4"/>
  <c r="AT151" i="4"/>
  <c r="AU151" i="4"/>
  <c r="AV151" i="4"/>
  <c r="AW151" i="4"/>
  <c r="AX151" i="4"/>
  <c r="AY151" i="4"/>
  <c r="AZ151" i="4"/>
  <c r="AM152" i="4"/>
  <c r="AN152" i="4"/>
  <c r="AO152" i="4"/>
  <c r="AP152" i="4"/>
  <c r="AQ152" i="4"/>
  <c r="AR152" i="4"/>
  <c r="AS152" i="4"/>
  <c r="AT152" i="4"/>
  <c r="AU152" i="4"/>
  <c r="AV152" i="4"/>
  <c r="AW152" i="4"/>
  <c r="AX152" i="4"/>
  <c r="AY152" i="4"/>
  <c r="AZ152" i="4"/>
  <c r="AM153" i="4"/>
  <c r="AN153" i="4"/>
  <c r="AO153" i="4"/>
  <c r="AP153" i="4"/>
  <c r="AQ153" i="4"/>
  <c r="AR153" i="4"/>
  <c r="AS153" i="4"/>
  <c r="AT153" i="4"/>
  <c r="AU153" i="4"/>
  <c r="AV153" i="4"/>
  <c r="AW153" i="4"/>
  <c r="AX153" i="4"/>
  <c r="AY153" i="4"/>
  <c r="AZ153" i="4"/>
  <c r="AM154" i="4"/>
  <c r="AN154" i="4"/>
  <c r="AO154" i="4"/>
  <c r="AP154" i="4"/>
  <c r="AQ154" i="4"/>
  <c r="AR154" i="4"/>
  <c r="AS154" i="4"/>
  <c r="AT154" i="4"/>
  <c r="AU154" i="4"/>
  <c r="AV154" i="4"/>
  <c r="AW154" i="4"/>
  <c r="AX154" i="4"/>
  <c r="AY154" i="4"/>
  <c r="AZ154" i="4"/>
  <c r="AM155" i="4"/>
  <c r="AN155" i="4"/>
  <c r="AO155" i="4"/>
  <c r="AP155" i="4"/>
  <c r="AQ155" i="4"/>
  <c r="AR155" i="4"/>
  <c r="AS155" i="4"/>
  <c r="AT155" i="4"/>
  <c r="AU155" i="4"/>
  <c r="AV155" i="4"/>
  <c r="AW155" i="4"/>
  <c r="AX155" i="4"/>
  <c r="AY155" i="4"/>
  <c r="AZ155" i="4"/>
  <c r="AM156" i="4"/>
  <c r="AN156" i="4"/>
  <c r="AO156" i="4"/>
  <c r="AP156" i="4"/>
  <c r="AQ156" i="4"/>
  <c r="AR156" i="4"/>
  <c r="AS156" i="4"/>
  <c r="AT156" i="4"/>
  <c r="AU156" i="4"/>
  <c r="AV156" i="4"/>
  <c r="AW156" i="4"/>
  <c r="AX156" i="4"/>
  <c r="AY156" i="4"/>
  <c r="AZ156" i="4"/>
  <c r="AM157" i="4"/>
  <c r="AN157" i="4"/>
  <c r="AO157" i="4"/>
  <c r="AP157" i="4"/>
  <c r="AQ157" i="4"/>
  <c r="AR157" i="4"/>
  <c r="AS157" i="4"/>
  <c r="AT157" i="4"/>
  <c r="AU157" i="4"/>
  <c r="AV157" i="4"/>
  <c r="AW157" i="4"/>
  <c r="AX157" i="4"/>
  <c r="AY157" i="4"/>
  <c r="AZ157" i="4"/>
  <c r="AM158" i="4"/>
  <c r="AN158" i="4"/>
  <c r="AO158" i="4"/>
  <c r="AP158" i="4"/>
  <c r="AQ158" i="4"/>
  <c r="AR158" i="4"/>
  <c r="AS158" i="4"/>
  <c r="AT158" i="4"/>
  <c r="AU158" i="4"/>
  <c r="AV158" i="4"/>
  <c r="AW158" i="4"/>
  <c r="AX158" i="4"/>
  <c r="AY158" i="4"/>
  <c r="AZ158" i="4"/>
  <c r="AM159" i="4"/>
  <c r="AN159" i="4"/>
  <c r="AO159" i="4"/>
  <c r="AP159" i="4"/>
  <c r="AQ159" i="4"/>
  <c r="AR159" i="4"/>
  <c r="AS159" i="4"/>
  <c r="AT159" i="4"/>
  <c r="AU159" i="4"/>
  <c r="AV159" i="4"/>
  <c r="AW159" i="4"/>
  <c r="AX159" i="4"/>
  <c r="AY159" i="4"/>
  <c r="AZ159" i="4"/>
  <c r="AM160" i="4"/>
  <c r="AN160" i="4"/>
  <c r="AO160" i="4"/>
  <c r="AP160" i="4"/>
  <c r="AQ160" i="4"/>
  <c r="AR160" i="4"/>
  <c r="AS160" i="4"/>
  <c r="AT160" i="4"/>
  <c r="AU160" i="4"/>
  <c r="AV160" i="4"/>
  <c r="AW160" i="4"/>
  <c r="AX160" i="4"/>
  <c r="AY160" i="4"/>
  <c r="AZ160" i="4"/>
  <c r="AM161" i="4"/>
  <c r="AN161" i="4"/>
  <c r="AO161" i="4"/>
  <c r="AP161" i="4"/>
  <c r="AQ161" i="4"/>
  <c r="AR161" i="4"/>
  <c r="AS161" i="4"/>
  <c r="AT161" i="4"/>
  <c r="AU161" i="4"/>
  <c r="AV161" i="4"/>
  <c r="AW161" i="4"/>
  <c r="AX161" i="4"/>
  <c r="AY161" i="4"/>
  <c r="AZ161" i="4"/>
  <c r="AM162" i="4"/>
  <c r="AN162" i="4"/>
  <c r="AO162" i="4"/>
  <c r="AP162" i="4"/>
  <c r="AQ162" i="4"/>
  <c r="AR162" i="4"/>
  <c r="AS162" i="4"/>
  <c r="AT162" i="4"/>
  <c r="AU162" i="4"/>
  <c r="AV162" i="4"/>
  <c r="AW162" i="4"/>
  <c r="AX162" i="4"/>
  <c r="AY162" i="4"/>
  <c r="AZ162" i="4"/>
  <c r="AM163" i="4"/>
  <c r="AN163" i="4"/>
  <c r="AO163" i="4"/>
  <c r="AP163" i="4"/>
  <c r="AQ163" i="4"/>
  <c r="AR163" i="4"/>
  <c r="AS163" i="4"/>
  <c r="AT163" i="4"/>
  <c r="AU163" i="4"/>
  <c r="AV163" i="4"/>
  <c r="AW163" i="4"/>
  <c r="AX163" i="4"/>
  <c r="AY163" i="4"/>
  <c r="AZ163" i="4"/>
  <c r="AM164" i="4"/>
  <c r="AN164" i="4"/>
  <c r="AO164" i="4"/>
  <c r="AP164" i="4"/>
  <c r="AQ164" i="4"/>
  <c r="AR164" i="4"/>
  <c r="AS164" i="4"/>
  <c r="AT164" i="4"/>
  <c r="AU164" i="4"/>
  <c r="AV164" i="4"/>
  <c r="AW164" i="4"/>
  <c r="AX164" i="4"/>
  <c r="AY164" i="4"/>
  <c r="AZ164" i="4"/>
  <c r="AM165" i="4"/>
  <c r="AN165" i="4"/>
  <c r="AO165" i="4"/>
  <c r="AP165" i="4"/>
  <c r="AQ165" i="4"/>
  <c r="AR165" i="4"/>
  <c r="AS165" i="4"/>
  <c r="AT165" i="4"/>
  <c r="AU165" i="4"/>
  <c r="AV165" i="4"/>
  <c r="AW165" i="4"/>
  <c r="AX165" i="4"/>
  <c r="AY165" i="4"/>
  <c r="AZ165" i="4"/>
  <c r="AM166" i="4"/>
  <c r="AN166" i="4"/>
  <c r="AO166" i="4"/>
  <c r="AP166" i="4"/>
  <c r="AQ166" i="4"/>
  <c r="AR166" i="4"/>
  <c r="AS166" i="4"/>
  <c r="AT166" i="4"/>
  <c r="AU166" i="4"/>
  <c r="AV166" i="4"/>
  <c r="AW166" i="4"/>
  <c r="AX166" i="4"/>
  <c r="AY166" i="4"/>
  <c r="AZ166" i="4"/>
  <c r="AM167" i="4"/>
  <c r="AN167" i="4"/>
  <c r="AO167" i="4"/>
  <c r="AP167" i="4"/>
  <c r="AQ167" i="4"/>
  <c r="AR167" i="4"/>
  <c r="AS167" i="4"/>
  <c r="AT167" i="4"/>
  <c r="AU167" i="4"/>
  <c r="AV167" i="4"/>
  <c r="AW167" i="4"/>
  <c r="AX167" i="4"/>
  <c r="AY167" i="4"/>
  <c r="AZ167" i="4"/>
  <c r="AM168" i="4"/>
  <c r="AN168" i="4"/>
  <c r="AO168" i="4"/>
  <c r="AP168" i="4"/>
  <c r="AQ168" i="4"/>
  <c r="AR168" i="4"/>
  <c r="AS168" i="4"/>
  <c r="AT168" i="4"/>
  <c r="AU168" i="4"/>
  <c r="AV168" i="4"/>
  <c r="AW168" i="4"/>
  <c r="AX168" i="4"/>
  <c r="AY168" i="4"/>
  <c r="AZ168" i="4"/>
  <c r="AM169" i="4"/>
  <c r="AN169" i="4"/>
  <c r="AO169" i="4"/>
  <c r="AP169" i="4"/>
  <c r="AQ169" i="4"/>
  <c r="AR169" i="4"/>
  <c r="AS169" i="4"/>
  <c r="AT169" i="4"/>
  <c r="AU169" i="4"/>
  <c r="AV169" i="4"/>
  <c r="AW169" i="4"/>
  <c r="AX169" i="4"/>
  <c r="AY169" i="4"/>
  <c r="AZ169" i="4"/>
  <c r="AM170" i="4"/>
  <c r="AN170" i="4"/>
  <c r="AO170" i="4"/>
  <c r="AP170" i="4"/>
  <c r="AQ170" i="4"/>
  <c r="AR170" i="4"/>
  <c r="AS170" i="4"/>
  <c r="AT170" i="4"/>
  <c r="AU170" i="4"/>
  <c r="AV170" i="4"/>
  <c r="AW170" i="4"/>
  <c r="AX170" i="4"/>
  <c r="AY170" i="4"/>
  <c r="AZ170" i="4"/>
  <c r="AM171" i="4"/>
  <c r="AN171" i="4"/>
  <c r="AO171" i="4"/>
  <c r="AP171" i="4"/>
  <c r="AQ171" i="4"/>
  <c r="AR171" i="4"/>
  <c r="AS171" i="4"/>
  <c r="AT171" i="4"/>
  <c r="AU171" i="4"/>
  <c r="AV171" i="4"/>
  <c r="AW171" i="4"/>
  <c r="AX171" i="4"/>
  <c r="AY171" i="4"/>
  <c r="AZ171" i="4"/>
  <c r="AM172" i="4"/>
  <c r="AN172" i="4"/>
  <c r="AO172" i="4"/>
  <c r="AP172" i="4"/>
  <c r="AQ172" i="4"/>
  <c r="AR172" i="4"/>
  <c r="AS172" i="4"/>
  <c r="AT172" i="4"/>
  <c r="AU172" i="4"/>
  <c r="AV172" i="4"/>
  <c r="AW172" i="4"/>
  <c r="AX172" i="4"/>
  <c r="AY172" i="4"/>
  <c r="AZ172" i="4"/>
  <c r="AM173" i="4"/>
  <c r="AN173" i="4"/>
  <c r="AO173" i="4"/>
  <c r="AP173" i="4"/>
  <c r="AQ173" i="4"/>
  <c r="AR173" i="4"/>
  <c r="AS173" i="4"/>
  <c r="AT173" i="4"/>
  <c r="AU173" i="4"/>
  <c r="AV173" i="4"/>
  <c r="AW173" i="4"/>
  <c r="AX173" i="4"/>
  <c r="AY173" i="4"/>
  <c r="AZ173" i="4"/>
  <c r="AM174" i="4"/>
  <c r="AN174" i="4"/>
  <c r="AO174" i="4"/>
  <c r="AP174" i="4"/>
  <c r="AQ174" i="4"/>
  <c r="AR174" i="4"/>
  <c r="AS174" i="4"/>
  <c r="AT174" i="4"/>
  <c r="AU174" i="4"/>
  <c r="AV174" i="4"/>
  <c r="AW174" i="4"/>
  <c r="AX174" i="4"/>
  <c r="AY174" i="4"/>
  <c r="AZ174" i="4"/>
  <c r="AM175" i="4"/>
  <c r="AN175" i="4"/>
  <c r="AO175" i="4"/>
  <c r="AP175" i="4"/>
  <c r="AQ175" i="4"/>
  <c r="AR175" i="4"/>
  <c r="AS175" i="4"/>
  <c r="AT175" i="4"/>
  <c r="AU175" i="4"/>
  <c r="AV175" i="4"/>
  <c r="AW175" i="4"/>
  <c r="AX175" i="4"/>
  <c r="AY175" i="4"/>
  <c r="AZ175" i="4"/>
  <c r="AM176" i="4"/>
  <c r="AN176" i="4"/>
  <c r="AO176" i="4"/>
  <c r="AP176" i="4"/>
  <c r="AQ176" i="4"/>
  <c r="AR176" i="4"/>
  <c r="AS176" i="4"/>
  <c r="AT176" i="4"/>
  <c r="AU176" i="4"/>
  <c r="AV176" i="4"/>
  <c r="AW176" i="4"/>
  <c r="AX176" i="4"/>
  <c r="AY176" i="4"/>
  <c r="AZ176" i="4"/>
  <c r="AM177" i="4"/>
  <c r="AN177" i="4"/>
  <c r="AO177" i="4"/>
  <c r="AP177" i="4"/>
  <c r="AQ177" i="4"/>
  <c r="AR177" i="4"/>
  <c r="AS177" i="4"/>
  <c r="AT177" i="4"/>
  <c r="AU177" i="4"/>
  <c r="AV177" i="4"/>
  <c r="AW177" i="4"/>
  <c r="AX177" i="4"/>
  <c r="AY177" i="4"/>
  <c r="AZ177" i="4"/>
  <c r="AM178" i="4"/>
  <c r="AN178" i="4"/>
  <c r="AO178" i="4"/>
  <c r="AP178" i="4"/>
  <c r="AQ178" i="4"/>
  <c r="AR178" i="4"/>
  <c r="AS178" i="4"/>
  <c r="AT178" i="4"/>
  <c r="AU178" i="4"/>
  <c r="AV178" i="4"/>
  <c r="AW178" i="4"/>
  <c r="AX178" i="4"/>
  <c r="AY178" i="4"/>
  <c r="AZ178" i="4"/>
  <c r="AM179" i="4"/>
  <c r="AN179" i="4"/>
  <c r="AO179" i="4"/>
  <c r="AP179" i="4"/>
  <c r="AQ179" i="4"/>
  <c r="AR179" i="4"/>
  <c r="AS179" i="4"/>
  <c r="AT179" i="4"/>
  <c r="AU179" i="4"/>
  <c r="AV179" i="4"/>
  <c r="AW179" i="4"/>
  <c r="AX179" i="4"/>
  <c r="AY179" i="4"/>
  <c r="AZ179" i="4"/>
  <c r="AM180" i="4"/>
  <c r="AN180" i="4"/>
  <c r="AO180" i="4"/>
  <c r="AP180" i="4"/>
  <c r="AQ180" i="4"/>
  <c r="AR180" i="4"/>
  <c r="AS180" i="4"/>
  <c r="AT180" i="4"/>
  <c r="AU180" i="4"/>
  <c r="AV180" i="4"/>
  <c r="AW180" i="4"/>
  <c r="AX180" i="4"/>
  <c r="AY180" i="4"/>
  <c r="AZ180" i="4"/>
  <c r="AM181" i="4"/>
  <c r="AN181" i="4"/>
  <c r="AO181" i="4"/>
  <c r="AP181" i="4"/>
  <c r="AQ181" i="4"/>
  <c r="AR181" i="4"/>
  <c r="AS181" i="4"/>
  <c r="AT181" i="4"/>
  <c r="AU181" i="4"/>
  <c r="AV181" i="4"/>
  <c r="AW181" i="4"/>
  <c r="AX181" i="4"/>
  <c r="AY181" i="4"/>
  <c r="AZ181" i="4"/>
  <c r="AM182" i="4"/>
  <c r="AN182" i="4"/>
  <c r="AO182" i="4"/>
  <c r="AP182" i="4"/>
  <c r="AQ182" i="4"/>
  <c r="AR182" i="4"/>
  <c r="AS182" i="4"/>
  <c r="AT182" i="4"/>
  <c r="AU182" i="4"/>
  <c r="AV182" i="4"/>
  <c r="AW182" i="4"/>
  <c r="AX182" i="4"/>
  <c r="AY182" i="4"/>
  <c r="AZ182" i="4"/>
  <c r="AM183" i="4"/>
  <c r="AN183" i="4"/>
  <c r="AO183" i="4"/>
  <c r="AP183" i="4"/>
  <c r="AQ183" i="4"/>
  <c r="AR183" i="4"/>
  <c r="AS183" i="4"/>
  <c r="AT183" i="4"/>
  <c r="AU183" i="4"/>
  <c r="AV183" i="4"/>
  <c r="AW183" i="4"/>
  <c r="AX183" i="4"/>
  <c r="AY183" i="4"/>
  <c r="AZ183" i="4"/>
  <c r="AM184" i="4"/>
  <c r="AN184" i="4"/>
  <c r="AO184" i="4"/>
  <c r="AP184" i="4"/>
  <c r="AQ184" i="4"/>
  <c r="AR184" i="4"/>
  <c r="AS184" i="4"/>
  <c r="AT184" i="4"/>
  <c r="AU184" i="4"/>
  <c r="AV184" i="4"/>
  <c r="AW184" i="4"/>
  <c r="AX184" i="4"/>
  <c r="AY184" i="4"/>
  <c r="AZ184" i="4"/>
  <c r="AM185" i="4"/>
  <c r="AN185" i="4"/>
  <c r="AO185" i="4"/>
  <c r="AP185" i="4"/>
  <c r="AQ185" i="4"/>
  <c r="AR185" i="4"/>
  <c r="AS185" i="4"/>
  <c r="AT185" i="4"/>
  <c r="AU185" i="4"/>
  <c r="AV185" i="4"/>
  <c r="AW185" i="4"/>
  <c r="AX185" i="4"/>
  <c r="AY185" i="4"/>
  <c r="AZ185" i="4"/>
  <c r="AM186" i="4"/>
  <c r="AN186" i="4"/>
  <c r="AO186" i="4"/>
  <c r="AP186" i="4"/>
  <c r="AQ186" i="4"/>
  <c r="AR186" i="4"/>
  <c r="AS186" i="4"/>
  <c r="AT186" i="4"/>
  <c r="AU186" i="4"/>
  <c r="AV186" i="4"/>
  <c r="AW186" i="4"/>
  <c r="AX186" i="4"/>
  <c r="AY186" i="4"/>
  <c r="AZ186" i="4"/>
  <c r="AM187" i="4"/>
  <c r="AN187" i="4"/>
  <c r="AO187" i="4"/>
  <c r="AP187" i="4"/>
  <c r="AQ187" i="4"/>
  <c r="AR187" i="4"/>
  <c r="AS187" i="4"/>
  <c r="AT187" i="4"/>
  <c r="AU187" i="4"/>
  <c r="AV187" i="4"/>
  <c r="AW187" i="4"/>
  <c r="AX187" i="4"/>
  <c r="AY187" i="4"/>
  <c r="AZ187" i="4"/>
  <c r="AM188" i="4"/>
  <c r="AN188" i="4"/>
  <c r="AO188" i="4"/>
  <c r="AP188" i="4"/>
  <c r="AQ188" i="4"/>
  <c r="AR188" i="4"/>
  <c r="AS188" i="4"/>
  <c r="AT188" i="4"/>
  <c r="AU188" i="4"/>
  <c r="AV188" i="4"/>
  <c r="AW188" i="4"/>
  <c r="AX188" i="4"/>
  <c r="AY188" i="4"/>
  <c r="AZ188" i="4"/>
  <c r="AM189" i="4"/>
  <c r="AN189" i="4"/>
  <c r="AO189" i="4"/>
  <c r="AP189" i="4"/>
  <c r="AQ189" i="4"/>
  <c r="AR189" i="4"/>
  <c r="AS189" i="4"/>
  <c r="AT189" i="4"/>
  <c r="AU189" i="4"/>
  <c r="AV189" i="4"/>
  <c r="AW189" i="4"/>
  <c r="AX189" i="4"/>
  <c r="AY189" i="4"/>
  <c r="AZ189" i="4"/>
  <c r="AM190" i="4"/>
  <c r="AN190" i="4"/>
  <c r="AO190" i="4"/>
  <c r="AP190" i="4"/>
  <c r="AQ190" i="4"/>
  <c r="AR190" i="4"/>
  <c r="AS190" i="4"/>
  <c r="AT190" i="4"/>
  <c r="AU190" i="4"/>
  <c r="AV190" i="4"/>
  <c r="AW190" i="4"/>
  <c r="AX190" i="4"/>
  <c r="AY190" i="4"/>
  <c r="AZ190" i="4"/>
  <c r="AM191" i="4"/>
  <c r="AN191" i="4"/>
  <c r="AO191" i="4"/>
  <c r="AP191" i="4"/>
  <c r="AQ191" i="4"/>
  <c r="AR191" i="4"/>
  <c r="AS191" i="4"/>
  <c r="AT191" i="4"/>
  <c r="AU191" i="4"/>
  <c r="AV191" i="4"/>
  <c r="AW191" i="4"/>
  <c r="AX191" i="4"/>
  <c r="AY191" i="4"/>
  <c r="AZ191" i="4"/>
  <c r="AM192" i="4"/>
  <c r="AN192" i="4"/>
  <c r="AO192" i="4"/>
  <c r="AP192" i="4"/>
  <c r="AQ192" i="4"/>
  <c r="AR192" i="4"/>
  <c r="AS192" i="4"/>
  <c r="AT192" i="4"/>
  <c r="AU192" i="4"/>
  <c r="AV192" i="4"/>
  <c r="AW192" i="4"/>
  <c r="AX192" i="4"/>
  <c r="AY192" i="4"/>
  <c r="AZ192" i="4"/>
  <c r="J79" i="16" l="1"/>
  <c r="I79" i="16"/>
  <c r="H79" i="16"/>
  <c r="G79" i="16"/>
  <c r="F79" i="16"/>
  <c r="E79" i="16"/>
  <c r="J78" i="16"/>
  <c r="I78" i="16"/>
  <c r="H78" i="16"/>
  <c r="G78" i="16"/>
  <c r="F78" i="16"/>
  <c r="E78" i="16"/>
  <c r="J77" i="16"/>
  <c r="I77" i="16"/>
  <c r="H77" i="16"/>
  <c r="G77" i="16"/>
  <c r="F77" i="16"/>
  <c r="E77" i="16"/>
  <c r="J76" i="16"/>
  <c r="I76" i="16"/>
  <c r="H76" i="16"/>
  <c r="G76" i="16"/>
  <c r="F76" i="16"/>
  <c r="E76" i="16"/>
  <c r="J75" i="16"/>
  <c r="I75" i="16"/>
  <c r="H75" i="16"/>
  <c r="G75" i="16"/>
  <c r="F75" i="16"/>
  <c r="E75" i="16"/>
  <c r="J74" i="16"/>
  <c r="I74" i="16"/>
  <c r="H74" i="16"/>
  <c r="G74" i="16"/>
  <c r="F74" i="16"/>
  <c r="E74" i="16"/>
  <c r="J73" i="16"/>
  <c r="I73" i="16"/>
  <c r="H73" i="16"/>
  <c r="G73" i="16"/>
  <c r="F73" i="16"/>
  <c r="E73" i="16"/>
  <c r="J72" i="16"/>
  <c r="I72" i="16"/>
  <c r="H72" i="16"/>
  <c r="G72" i="16"/>
  <c r="F72" i="16"/>
  <c r="E72" i="16"/>
  <c r="D72" i="16"/>
  <c r="C72" i="16"/>
  <c r="J71" i="16"/>
  <c r="I71" i="16"/>
  <c r="H71" i="16"/>
  <c r="G71" i="16"/>
  <c r="F71" i="16"/>
  <c r="E71" i="16"/>
  <c r="D71" i="16"/>
  <c r="C71" i="16"/>
  <c r="J70" i="16"/>
  <c r="I70" i="16"/>
  <c r="H70" i="16"/>
  <c r="G70" i="16"/>
  <c r="F70" i="16"/>
  <c r="E70" i="16"/>
  <c r="D70" i="16"/>
  <c r="C70" i="16"/>
  <c r="J69" i="16"/>
  <c r="I69" i="16"/>
  <c r="H69" i="16"/>
  <c r="G69" i="16"/>
  <c r="F69" i="16"/>
  <c r="E69" i="16"/>
  <c r="D69" i="16"/>
  <c r="C69" i="16"/>
  <c r="J68" i="16"/>
  <c r="I68" i="16"/>
  <c r="H68" i="16"/>
  <c r="G68" i="16"/>
  <c r="F68" i="16"/>
  <c r="E68" i="16"/>
  <c r="D68" i="16"/>
  <c r="C68" i="16"/>
  <c r="J67" i="16"/>
  <c r="I67" i="16"/>
  <c r="H67" i="16"/>
  <c r="G67" i="16"/>
  <c r="F67" i="16"/>
  <c r="E67" i="16"/>
  <c r="D67" i="16"/>
  <c r="C67" i="16"/>
  <c r="J66" i="16"/>
  <c r="I66" i="16"/>
  <c r="H66" i="16"/>
  <c r="G66" i="16"/>
  <c r="F66" i="16"/>
  <c r="E66" i="16"/>
  <c r="D66" i="16"/>
  <c r="C66" i="16"/>
  <c r="D256" i="1" l="1"/>
  <c r="Q400" i="1" l="1"/>
  <c r="Q401" i="1"/>
  <c r="Q402" i="1"/>
  <c r="Q403" i="1"/>
  <c r="Q404" i="1"/>
  <c r="Q405" i="1"/>
  <c r="Q406" i="1"/>
  <c r="Q407" i="1"/>
  <c r="Q388" i="1"/>
  <c r="Q389" i="1"/>
  <c r="Q390" i="1"/>
  <c r="Q391" i="1"/>
  <c r="Q392" i="1"/>
  <c r="Q393" i="1"/>
  <c r="Q394" i="1"/>
  <c r="Q395" i="1"/>
  <c r="Q376" i="1"/>
  <c r="Q377" i="1"/>
  <c r="Q378" i="1"/>
  <c r="Q379" i="1"/>
  <c r="Q380" i="1"/>
  <c r="Q381" i="1"/>
  <c r="Q382" i="1"/>
  <c r="Q383" i="1"/>
  <c r="N17" i="7"/>
  <c r="Q223" i="1" s="1"/>
  <c r="AC17" i="8"/>
  <c r="Q151" i="1" s="1"/>
  <c r="AD17" i="8"/>
  <c r="Q152" i="1" s="1"/>
  <c r="AE17" i="8"/>
  <c r="Q153" i="1" s="1"/>
  <c r="AF17" i="8"/>
  <c r="Q155" i="1" s="1"/>
  <c r="AG17" i="8"/>
  <c r="Q157" i="1" s="1"/>
  <c r="AH17" i="8"/>
  <c r="Q158" i="1" s="1"/>
  <c r="AI17" i="8"/>
  <c r="Q154" i="1" s="1"/>
  <c r="AJ17" i="8"/>
  <c r="Q156" i="1" s="1"/>
  <c r="U18" i="17" l="1"/>
  <c r="Q348" i="1" s="1"/>
  <c r="V18" i="17"/>
  <c r="Q351" i="1" s="1"/>
  <c r="W18" i="17"/>
  <c r="Q349" i="1" s="1"/>
  <c r="X18" i="17"/>
  <c r="Q350" i="1" s="1"/>
  <c r="Y18" i="17"/>
  <c r="Q352" i="1" s="1"/>
  <c r="Z18" i="17"/>
  <c r="Q353" i="1" s="1"/>
  <c r="AA18" i="17"/>
  <c r="Q354" i="1" s="1"/>
  <c r="AB18" i="17"/>
  <c r="Q355" i="1" s="1"/>
  <c r="AY17" i="17"/>
  <c r="Q335" i="1" s="1"/>
  <c r="AZ17" i="17"/>
  <c r="Q338" i="1" s="1"/>
  <c r="BA17" i="17"/>
  <c r="Q336" i="1" s="1"/>
  <c r="BB17" i="17"/>
  <c r="Q337" i="1" s="1"/>
  <c r="BC17" i="17"/>
  <c r="Q339" i="1" s="1"/>
  <c r="BD17" i="17"/>
  <c r="Q340" i="1" s="1"/>
  <c r="BE17" i="17"/>
  <c r="Q341" i="1" s="1"/>
  <c r="BF17" i="17"/>
  <c r="Q342" i="1" s="1"/>
  <c r="BX18" i="17"/>
  <c r="Q361" i="1" s="1"/>
  <c r="BY18" i="17"/>
  <c r="Q364" i="1" s="1"/>
  <c r="BZ18" i="17"/>
  <c r="Q362" i="1" s="1"/>
  <c r="CA18" i="17"/>
  <c r="Q363" i="1" s="1"/>
  <c r="CB18" i="17"/>
  <c r="Q365" i="1" s="1"/>
  <c r="CC18" i="17"/>
  <c r="Q366" i="1" s="1"/>
  <c r="CD18" i="17"/>
  <c r="Q367" i="1" s="1"/>
  <c r="CE18" i="17"/>
  <c r="Q368" i="1" s="1"/>
  <c r="S17" i="15"/>
  <c r="Q289" i="1" s="1"/>
  <c r="T17" i="15"/>
  <c r="Q290" i="1" s="1"/>
  <c r="U17" i="15"/>
  <c r="Q291" i="1" s="1"/>
  <c r="V17" i="15"/>
  <c r="Q293" i="1" s="1"/>
  <c r="W17" i="15"/>
  <c r="Q295" i="1" s="1"/>
  <c r="X17" i="15"/>
  <c r="Q296" i="1" s="1"/>
  <c r="Y17" i="15"/>
  <c r="Q292" i="1" s="1"/>
  <c r="Z17" i="15"/>
  <c r="Q294" i="1" s="1"/>
  <c r="AP17" i="15"/>
  <c r="Q301" i="1" s="1"/>
  <c r="AQ17" i="15"/>
  <c r="Q302" i="1" s="1"/>
  <c r="AR17" i="15"/>
  <c r="Q303" i="1" s="1"/>
  <c r="AS17" i="15"/>
  <c r="Q305" i="1" s="1"/>
  <c r="AT17" i="15"/>
  <c r="Q307" i="1" s="1"/>
  <c r="AU17" i="15"/>
  <c r="Q308" i="1" s="1"/>
  <c r="AV17" i="15"/>
  <c r="Q304" i="1" s="1"/>
  <c r="AW17" i="15"/>
  <c r="Q306" i="1" s="1"/>
  <c r="AP17" i="13"/>
  <c r="Q275" i="1" s="1"/>
  <c r="AQ17" i="13"/>
  <c r="Q276" i="1" s="1"/>
  <c r="AR17" i="13"/>
  <c r="Q277" i="1" s="1"/>
  <c r="AS17" i="13"/>
  <c r="Q279" i="1" s="1"/>
  <c r="AT17" i="13"/>
  <c r="Q281" i="1" s="1"/>
  <c r="AU17" i="13"/>
  <c r="Q282" i="1" s="1"/>
  <c r="AV17" i="13"/>
  <c r="Q278" i="1" s="1"/>
  <c r="AW17" i="13"/>
  <c r="Q280" i="1" s="1"/>
  <c r="S17" i="13"/>
  <c r="Q263" i="1" s="1"/>
  <c r="T17" i="13"/>
  <c r="Q264" i="1" s="1"/>
  <c r="U17" i="13"/>
  <c r="Q265" i="1" s="1"/>
  <c r="V17" i="13"/>
  <c r="Q267" i="1" s="1"/>
  <c r="W17" i="13"/>
  <c r="Q269" i="1" s="1"/>
  <c r="X17" i="13"/>
  <c r="Q270" i="1" s="1"/>
  <c r="Y17" i="13"/>
  <c r="Q266" i="1" s="1"/>
  <c r="Z17" i="13"/>
  <c r="Q268" i="1" s="1"/>
  <c r="AZ36" i="7"/>
  <c r="Q247" i="1" s="1"/>
  <c r="BA36" i="7"/>
  <c r="Q248" i="1" s="1"/>
  <c r="BB36" i="7"/>
  <c r="Q249" i="1" s="1"/>
  <c r="BC36" i="7"/>
  <c r="Q251" i="1" s="1"/>
  <c r="BD36" i="7"/>
  <c r="Q253" i="1" s="1"/>
  <c r="BE36" i="7"/>
  <c r="Q254" i="1" s="1"/>
  <c r="BF36" i="7"/>
  <c r="Q250" i="1" s="1"/>
  <c r="BG36" i="7"/>
  <c r="Q252" i="1" s="1"/>
  <c r="Q235" i="1"/>
  <c r="Q236" i="1"/>
  <c r="Q237" i="1"/>
  <c r="Q239" i="1"/>
  <c r="Q241" i="1"/>
  <c r="Q242" i="1"/>
  <c r="Q238" i="1"/>
  <c r="Q240" i="1"/>
  <c r="O17" i="7"/>
  <c r="Q224" i="1" s="1"/>
  <c r="P17" i="7"/>
  <c r="Q225" i="1" s="1"/>
  <c r="Q17" i="7"/>
  <c r="Q227" i="1" s="1"/>
  <c r="R17" i="7"/>
  <c r="Q229" i="1" s="1"/>
  <c r="S17" i="7"/>
  <c r="Q230" i="1" s="1"/>
  <c r="T17" i="7"/>
  <c r="Q226" i="1" s="1"/>
  <c r="U17" i="7"/>
  <c r="Q228" i="1" s="1"/>
  <c r="Q256" i="1"/>
  <c r="Q211" i="1"/>
  <c r="Q212" i="1"/>
  <c r="Q213" i="1"/>
  <c r="Q215" i="1"/>
  <c r="Q217" i="1"/>
  <c r="Q218" i="1"/>
  <c r="Q214" i="1"/>
  <c r="Q216" i="1"/>
  <c r="AB19" i="11"/>
  <c r="Q199" i="1" s="1"/>
  <c r="AC19" i="11"/>
  <c r="Q200" i="1" s="1"/>
  <c r="AD19" i="11"/>
  <c r="Q201" i="1" s="1"/>
  <c r="AE19" i="11"/>
  <c r="Q203" i="1" s="1"/>
  <c r="AF19" i="11"/>
  <c r="Q205" i="1" s="1"/>
  <c r="AG19" i="11"/>
  <c r="Q206" i="1" s="1"/>
  <c r="AH19" i="11"/>
  <c r="Q202" i="1" s="1"/>
  <c r="AI19" i="11"/>
  <c r="Q204" i="1" s="1"/>
  <c r="Q187" i="1"/>
  <c r="Q188" i="1"/>
  <c r="Q189" i="1"/>
  <c r="Q191" i="1"/>
  <c r="Q193" i="1"/>
  <c r="Q194" i="1"/>
  <c r="Q190" i="1"/>
  <c r="Q192" i="1"/>
  <c r="AC19" i="10"/>
  <c r="Q176" i="1" s="1"/>
  <c r="AB19" i="10"/>
  <c r="Q175" i="1" s="1"/>
  <c r="AD19" i="10"/>
  <c r="Q177" i="1" s="1"/>
  <c r="AE19" i="10"/>
  <c r="Q179" i="1" s="1"/>
  <c r="AF19" i="10"/>
  <c r="Q181" i="1" s="1"/>
  <c r="AG19" i="10"/>
  <c r="Q182" i="1" s="1"/>
  <c r="AH19" i="10"/>
  <c r="Q178" i="1" s="1"/>
  <c r="AI19" i="10"/>
  <c r="Q180" i="1" s="1"/>
  <c r="Q163" i="1"/>
  <c r="Q164" i="1"/>
  <c r="Q165" i="1"/>
  <c r="Q167" i="1"/>
  <c r="Q169" i="1"/>
  <c r="Q170" i="1"/>
  <c r="Q166" i="1"/>
  <c r="Q168" i="1"/>
  <c r="Q119" i="1"/>
  <c r="Q120" i="1"/>
  <c r="Q121" i="1"/>
  <c r="Q123" i="1"/>
  <c r="Q125" i="1"/>
  <c r="Q126" i="1"/>
  <c r="Q122" i="1"/>
  <c r="Q124" i="1"/>
  <c r="Q135" i="1"/>
  <c r="Q136" i="1"/>
  <c r="Q137" i="1"/>
  <c r="Q139" i="1"/>
  <c r="Q141" i="1"/>
  <c r="Q142" i="1"/>
  <c r="Q138" i="1"/>
  <c r="Q140" i="1"/>
  <c r="Q84" i="1"/>
  <c r="Q85" i="1"/>
  <c r="Q86" i="1"/>
  <c r="Q88" i="1"/>
  <c r="Q90" i="1"/>
  <c r="Q91" i="1"/>
  <c r="Q87" i="1"/>
  <c r="Q89" i="1"/>
  <c r="Q107" i="1"/>
  <c r="Q108" i="1"/>
  <c r="Q109" i="1"/>
  <c r="Q111" i="1"/>
  <c r="Q113" i="1"/>
  <c r="Q114" i="1"/>
  <c r="Q110" i="1"/>
  <c r="Q112" i="1"/>
  <c r="Q96" i="1"/>
  <c r="Q97" i="1"/>
  <c r="Q98" i="1"/>
  <c r="Q100" i="1"/>
  <c r="Q102" i="1"/>
  <c r="Q103" i="1"/>
  <c r="Q99" i="1"/>
  <c r="Q101" i="1"/>
  <c r="AZ434" i="4"/>
  <c r="AZ435" i="4"/>
  <c r="AZ436" i="4"/>
  <c r="AZ437" i="4"/>
  <c r="AZ438" i="4"/>
  <c r="AZ439" i="4"/>
  <c r="AZ440" i="4"/>
  <c r="AZ441" i="4"/>
  <c r="AZ442" i="4"/>
  <c r="AZ443" i="4"/>
  <c r="AZ444" i="4"/>
  <c r="AZ445" i="4"/>
  <c r="AZ446" i="4"/>
  <c r="AZ447" i="4"/>
  <c r="AZ448" i="4"/>
  <c r="AZ449" i="4"/>
  <c r="AZ450" i="4"/>
  <c r="AZ451" i="4"/>
  <c r="AZ452" i="4"/>
  <c r="AZ453" i="4"/>
  <c r="AZ454" i="4"/>
  <c r="AZ455" i="4"/>
  <c r="AZ456" i="4"/>
  <c r="AZ457" i="4"/>
  <c r="AZ458" i="4"/>
  <c r="AZ459" i="4"/>
  <c r="AZ460" i="4"/>
  <c r="AZ461" i="4"/>
  <c r="AZ462" i="4"/>
  <c r="AZ463" i="4"/>
  <c r="AZ464" i="4"/>
  <c r="AZ465" i="4"/>
  <c r="AZ466" i="4"/>
  <c r="AZ467" i="4"/>
  <c r="AZ468" i="4"/>
  <c r="AZ469" i="4"/>
  <c r="AZ470" i="4"/>
  <c r="AZ471" i="4"/>
  <c r="AZ472" i="4"/>
  <c r="AZ473" i="4"/>
  <c r="AZ474" i="4"/>
  <c r="AZ475" i="4"/>
  <c r="AZ476" i="4"/>
  <c r="AZ477" i="4"/>
  <c r="AZ478" i="4"/>
  <c r="AZ479" i="4"/>
  <c r="AZ480" i="4"/>
  <c r="AZ481" i="4"/>
  <c r="AZ482" i="4"/>
  <c r="AZ483" i="4"/>
  <c r="AZ484" i="4"/>
  <c r="AZ485" i="4"/>
  <c r="AZ486" i="4"/>
  <c r="AZ487" i="4"/>
  <c r="AZ488" i="4"/>
  <c r="AZ489" i="4"/>
  <c r="AZ490" i="4"/>
  <c r="AZ491" i="4"/>
  <c r="AZ492" i="4"/>
  <c r="AZ493" i="4"/>
  <c r="AZ494" i="4"/>
  <c r="AZ495" i="4"/>
  <c r="AZ496" i="4"/>
  <c r="AZ497" i="4"/>
  <c r="AZ498" i="4"/>
  <c r="AZ499" i="4"/>
  <c r="AZ500" i="4"/>
  <c r="AZ501" i="4"/>
  <c r="AZ502" i="4"/>
  <c r="AZ503" i="4"/>
  <c r="AZ504" i="4"/>
  <c r="AZ505" i="4"/>
  <c r="AZ506" i="4"/>
  <c r="AZ507" i="4"/>
  <c r="AZ508" i="4"/>
  <c r="AZ509" i="4"/>
  <c r="AZ510" i="4"/>
  <c r="AZ511" i="4"/>
  <c r="AZ512" i="4"/>
  <c r="AZ513" i="4"/>
  <c r="AZ514" i="4"/>
  <c r="AZ515" i="4"/>
  <c r="AZ516" i="4"/>
  <c r="AZ517" i="4"/>
  <c r="AZ518" i="4"/>
  <c r="AZ519" i="4"/>
  <c r="AZ520" i="4"/>
  <c r="AZ521" i="4"/>
  <c r="AZ522" i="4"/>
  <c r="AZ523" i="4"/>
  <c r="AZ524" i="4"/>
  <c r="AZ525" i="4"/>
  <c r="AZ526" i="4"/>
  <c r="AZ527" i="4"/>
  <c r="AZ528" i="4"/>
  <c r="AZ529" i="4"/>
  <c r="AZ530" i="4"/>
  <c r="AZ531" i="4"/>
  <c r="AZ532" i="4"/>
  <c r="AZ533" i="4"/>
  <c r="AZ534" i="4"/>
  <c r="AZ535" i="4"/>
  <c r="AZ536" i="4"/>
  <c r="AZ537" i="4"/>
  <c r="AZ538" i="4"/>
  <c r="AZ539" i="4"/>
  <c r="AZ540" i="4"/>
  <c r="AZ541" i="4"/>
  <c r="AZ542" i="4"/>
  <c r="AZ543" i="4"/>
  <c r="AZ544" i="4"/>
  <c r="AZ545" i="4"/>
  <c r="AZ546" i="4"/>
  <c r="AZ547" i="4"/>
  <c r="AZ548" i="4"/>
  <c r="AZ549" i="4"/>
  <c r="AZ550" i="4"/>
  <c r="AZ551" i="4"/>
  <c r="AZ552" i="4"/>
  <c r="AZ553" i="4"/>
  <c r="AZ554" i="4"/>
  <c r="AZ555" i="4"/>
  <c r="AZ556" i="4"/>
  <c r="AZ557" i="4"/>
  <c r="AZ558" i="4"/>
  <c r="AZ559" i="4"/>
  <c r="AZ560" i="4"/>
  <c r="AZ561" i="4"/>
  <c r="AZ562" i="4"/>
  <c r="AZ563" i="4"/>
  <c r="AZ564" i="4"/>
  <c r="AZ565" i="4"/>
  <c r="AZ566" i="4"/>
  <c r="AZ567" i="4"/>
  <c r="AZ433" i="4"/>
  <c r="AZ293" i="4"/>
  <c r="AZ294" i="4"/>
  <c r="AZ295" i="4"/>
  <c r="AZ296" i="4"/>
  <c r="AZ297" i="4"/>
  <c r="AZ298" i="4"/>
  <c r="AZ299" i="4"/>
  <c r="AZ300" i="4"/>
  <c r="AZ301" i="4"/>
  <c r="AZ302" i="4"/>
  <c r="AZ303" i="4"/>
  <c r="AZ304" i="4"/>
  <c r="AZ305" i="4"/>
  <c r="AZ306" i="4"/>
  <c r="AZ307" i="4"/>
  <c r="AZ308" i="4"/>
  <c r="AZ309" i="4"/>
  <c r="AZ310" i="4"/>
  <c r="AZ311" i="4"/>
  <c r="AZ312" i="4"/>
  <c r="AZ313" i="4"/>
  <c r="AZ314" i="4"/>
  <c r="AZ315" i="4"/>
  <c r="AZ316" i="4"/>
  <c r="AZ317" i="4"/>
  <c r="AZ318" i="4"/>
  <c r="AZ319" i="4"/>
  <c r="AZ320" i="4"/>
  <c r="AZ321" i="4"/>
  <c r="AZ322" i="4"/>
  <c r="AZ323" i="4"/>
  <c r="AZ324" i="4"/>
  <c r="AZ325" i="4"/>
  <c r="AZ326" i="4"/>
  <c r="AZ327" i="4"/>
  <c r="AZ328" i="4"/>
  <c r="AZ329" i="4"/>
  <c r="AZ330" i="4"/>
  <c r="AZ331" i="4"/>
  <c r="AZ332" i="4"/>
  <c r="AZ333" i="4"/>
  <c r="AZ334" i="4"/>
  <c r="AZ335" i="4"/>
  <c r="AZ336" i="4"/>
  <c r="AZ337" i="4"/>
  <c r="AZ338" i="4"/>
  <c r="AZ339" i="4"/>
  <c r="AZ340" i="4"/>
  <c r="AZ341" i="4"/>
  <c r="AZ342" i="4"/>
  <c r="AZ343" i="4"/>
  <c r="AZ344" i="4"/>
  <c r="AZ345" i="4"/>
  <c r="AZ346" i="4"/>
  <c r="AZ347" i="4"/>
  <c r="AZ348" i="4"/>
  <c r="AZ349" i="4"/>
  <c r="AZ350" i="4"/>
  <c r="AZ351" i="4"/>
  <c r="AZ352" i="4"/>
  <c r="AZ353" i="4"/>
  <c r="AZ354" i="4"/>
  <c r="AZ355" i="4"/>
  <c r="AZ356" i="4"/>
  <c r="AZ357" i="4"/>
  <c r="AZ358" i="4"/>
  <c r="AZ359" i="4"/>
  <c r="AZ360" i="4"/>
  <c r="AZ361" i="4"/>
  <c r="AZ362" i="4"/>
  <c r="AZ363" i="4"/>
  <c r="AZ364" i="4"/>
  <c r="AZ365" i="4"/>
  <c r="AZ366" i="4"/>
  <c r="AZ367" i="4"/>
  <c r="AZ368" i="4"/>
  <c r="AZ369" i="4"/>
  <c r="AZ370" i="4"/>
  <c r="AZ371" i="4"/>
  <c r="AZ372" i="4"/>
  <c r="AZ373" i="4"/>
  <c r="AZ374" i="4"/>
  <c r="AZ375" i="4"/>
  <c r="AZ376" i="4"/>
  <c r="AZ377" i="4"/>
  <c r="AZ378" i="4"/>
  <c r="AZ379" i="4"/>
  <c r="AZ380" i="4"/>
  <c r="AZ381" i="4"/>
  <c r="AZ382" i="4"/>
  <c r="AZ383" i="4"/>
  <c r="AZ384" i="4"/>
  <c r="AZ385" i="4"/>
  <c r="AZ386" i="4"/>
  <c r="AZ387" i="4"/>
  <c r="AZ388" i="4"/>
  <c r="AZ389" i="4"/>
  <c r="AZ390" i="4"/>
  <c r="AZ391" i="4"/>
  <c r="AZ392" i="4"/>
  <c r="AZ393" i="4"/>
  <c r="AZ394" i="4"/>
  <c r="AZ395" i="4"/>
  <c r="AZ396" i="4"/>
  <c r="AZ397" i="4"/>
  <c r="AZ398" i="4"/>
  <c r="AZ399" i="4"/>
  <c r="AZ400" i="4"/>
  <c r="AZ401" i="4"/>
  <c r="AZ402" i="4"/>
  <c r="AZ403" i="4"/>
  <c r="AZ404" i="4"/>
  <c r="AZ405" i="4"/>
  <c r="AZ406" i="4"/>
  <c r="AZ407" i="4"/>
  <c r="AZ408" i="4"/>
  <c r="AZ409" i="4"/>
  <c r="AZ410" i="4"/>
  <c r="AZ411" i="4"/>
  <c r="AZ412" i="4"/>
  <c r="AZ413" i="4"/>
  <c r="AZ414" i="4"/>
  <c r="AZ415" i="4"/>
  <c r="AZ416" i="4"/>
  <c r="AZ417" i="4"/>
  <c r="AZ418" i="4"/>
  <c r="AZ419" i="4"/>
  <c r="AZ420" i="4"/>
  <c r="AZ421" i="4"/>
  <c r="AZ422" i="4"/>
  <c r="AZ423" i="4"/>
  <c r="AZ424" i="4"/>
  <c r="AZ425" i="4"/>
  <c r="AZ426" i="4"/>
  <c r="AZ292" i="4"/>
  <c r="AZ193" i="4"/>
  <c r="AZ194" i="4"/>
  <c r="AZ195" i="4"/>
  <c r="AZ196" i="4"/>
  <c r="AZ197" i="4"/>
  <c r="AZ198" i="4"/>
  <c r="AZ199" i="4"/>
  <c r="AZ200" i="4"/>
  <c r="AZ201" i="4"/>
  <c r="AZ202" i="4"/>
  <c r="AZ203" i="4"/>
  <c r="AZ204" i="4"/>
  <c r="AZ205" i="4"/>
  <c r="AZ206" i="4"/>
  <c r="AZ207" i="4"/>
  <c r="AZ208" i="4"/>
  <c r="AZ209" i="4"/>
  <c r="AZ210" i="4"/>
  <c r="AZ211" i="4"/>
  <c r="AZ212" i="4"/>
  <c r="AZ213" i="4"/>
  <c r="AZ214" i="4"/>
  <c r="AZ215" i="4"/>
  <c r="AZ216" i="4"/>
  <c r="AZ217" i="4"/>
  <c r="AZ218" i="4"/>
  <c r="AZ219" i="4"/>
  <c r="AZ220" i="4"/>
  <c r="AZ221" i="4"/>
  <c r="AZ222" i="4"/>
  <c r="AZ223" i="4"/>
  <c r="AZ224" i="4"/>
  <c r="AZ225" i="4"/>
  <c r="AZ226" i="4"/>
  <c r="AZ227" i="4"/>
  <c r="AZ228" i="4"/>
  <c r="AZ229" i="4"/>
  <c r="AZ230" i="4"/>
  <c r="AZ231" i="4"/>
  <c r="AZ232" i="4"/>
  <c r="AZ233" i="4"/>
  <c r="AZ234" i="4"/>
  <c r="AZ235" i="4"/>
  <c r="AZ236" i="4"/>
  <c r="AZ237" i="4"/>
  <c r="AZ238" i="4"/>
  <c r="AZ239" i="4"/>
  <c r="AZ240" i="4"/>
  <c r="AZ241" i="4"/>
  <c r="AZ242" i="4"/>
  <c r="AZ243" i="4"/>
  <c r="AZ244" i="4"/>
  <c r="AZ245" i="4"/>
  <c r="AZ246" i="4"/>
  <c r="AZ247" i="4"/>
  <c r="AZ248" i="4"/>
  <c r="AZ249" i="4"/>
  <c r="AZ250" i="4"/>
  <c r="AZ251" i="4"/>
  <c r="AZ252" i="4"/>
  <c r="AZ253" i="4"/>
  <c r="AZ254" i="4"/>
  <c r="AZ255" i="4"/>
  <c r="AZ256" i="4"/>
  <c r="AZ257" i="4"/>
  <c r="AZ258" i="4"/>
  <c r="AZ259" i="4"/>
  <c r="AZ260" i="4"/>
  <c r="AZ261" i="4"/>
  <c r="AZ262" i="4"/>
  <c r="AZ263" i="4"/>
  <c r="AZ264" i="4"/>
  <c r="AZ265" i="4"/>
  <c r="AZ266" i="4"/>
  <c r="AZ267" i="4"/>
  <c r="AZ268" i="4"/>
  <c r="AZ269" i="4"/>
  <c r="AZ270" i="4"/>
  <c r="AZ271" i="4"/>
  <c r="AZ272" i="4"/>
  <c r="AZ273" i="4"/>
  <c r="AZ274" i="4"/>
  <c r="AZ275" i="4"/>
  <c r="AZ276" i="4"/>
  <c r="AZ277" i="4"/>
  <c r="AZ278" i="4"/>
  <c r="AZ279" i="4"/>
  <c r="AZ280" i="4"/>
  <c r="AZ281" i="4"/>
  <c r="AZ282" i="4"/>
  <c r="AZ283" i="4"/>
  <c r="AZ284" i="4"/>
  <c r="AZ285" i="4"/>
  <c r="Q66" i="1"/>
  <c r="AC17" i="4"/>
  <c r="Q67" i="1" s="1"/>
  <c r="AD17" i="4"/>
  <c r="Q68" i="1" s="1"/>
  <c r="AE17" i="4"/>
  <c r="Q70" i="1" s="1"/>
  <c r="AF17" i="4"/>
  <c r="Q72" i="1" s="1"/>
  <c r="AG17" i="4"/>
  <c r="Q73" i="1" s="1"/>
  <c r="AH17" i="4"/>
  <c r="Q69" i="1" s="1"/>
  <c r="AI17" i="4"/>
  <c r="Q71" i="1" s="1"/>
  <c r="AZ150" i="4" l="1"/>
  <c r="AZ432" i="4"/>
  <c r="AZ291" i="4"/>
  <c r="AX19" i="12" l="1"/>
  <c r="Q24" i="1" s="1"/>
  <c r="AY19" i="12"/>
  <c r="Q25" i="1" s="1"/>
  <c r="AZ19" i="12"/>
  <c r="Q26" i="1" s="1"/>
  <c r="BA19" i="12"/>
  <c r="Q28" i="1" s="1"/>
  <c r="BB19" i="12"/>
  <c r="Q30" i="1" s="1"/>
  <c r="BC19" i="12"/>
  <c r="Q31" i="1" s="1"/>
  <c r="BD19" i="12"/>
  <c r="Q27" i="1" s="1"/>
  <c r="BE19" i="12"/>
  <c r="Q29" i="1" s="1"/>
  <c r="AX36" i="12"/>
  <c r="Q38" i="1" s="1"/>
  <c r="AY36" i="12"/>
  <c r="Q39" i="1" s="1"/>
  <c r="AZ36" i="12"/>
  <c r="Q40" i="1" s="1"/>
  <c r="BA36" i="12"/>
  <c r="Q42" i="1" s="1"/>
  <c r="BB36" i="12"/>
  <c r="Q44" i="1" s="1"/>
  <c r="BC36" i="12"/>
  <c r="Q45" i="1" s="1"/>
  <c r="BD36" i="12"/>
  <c r="Q41" i="1" s="1"/>
  <c r="BE36" i="12"/>
  <c r="Q43" i="1" s="1"/>
  <c r="AI5" i="3"/>
  <c r="AD5" i="3"/>
  <c r="Q9" i="1"/>
  <c r="Q8" i="1"/>
  <c r="Q10" i="1"/>
  <c r="Q12" i="1"/>
  <c r="Q14" i="1"/>
  <c r="V17" i="3"/>
  <c r="Q15" i="1" s="1"/>
  <c r="W17" i="3"/>
  <c r="Q11" i="1" s="1"/>
  <c r="X17" i="3"/>
  <c r="Q13" i="1" s="1"/>
  <c r="P8" i="1"/>
  <c r="Q79" i="1"/>
  <c r="Q77" i="1"/>
  <c r="Q75" i="1"/>
  <c r="J79" i="19"/>
  <c r="J78" i="19"/>
  <c r="J77" i="19"/>
  <c r="J76" i="19"/>
  <c r="J75" i="19"/>
  <c r="J74" i="19"/>
  <c r="J73" i="19"/>
  <c r="I79" i="19"/>
  <c r="I78" i="19"/>
  <c r="I77" i="19"/>
  <c r="I76" i="19"/>
  <c r="I75" i="19"/>
  <c r="I74" i="19"/>
  <c r="I73" i="19"/>
  <c r="H79" i="19"/>
  <c r="H78" i="19"/>
  <c r="H77" i="19"/>
  <c r="H76" i="19"/>
  <c r="H75" i="19"/>
  <c r="H74" i="19"/>
  <c r="H73" i="19"/>
  <c r="G79" i="19"/>
  <c r="G78" i="19"/>
  <c r="G77" i="19"/>
  <c r="G76" i="19"/>
  <c r="G75" i="19"/>
  <c r="G74" i="19"/>
  <c r="G73" i="19"/>
  <c r="J79" i="18"/>
  <c r="J78" i="18"/>
  <c r="J77" i="18"/>
  <c r="J76" i="18"/>
  <c r="J75" i="18"/>
  <c r="J74" i="18"/>
  <c r="J73" i="18"/>
  <c r="I79" i="18"/>
  <c r="I78" i="18"/>
  <c r="I77" i="18"/>
  <c r="I76" i="18"/>
  <c r="I75" i="18"/>
  <c r="I74" i="18"/>
  <c r="I73" i="18"/>
  <c r="H79" i="18"/>
  <c r="H78" i="18"/>
  <c r="H77" i="18"/>
  <c r="H76" i="18"/>
  <c r="H75" i="18"/>
  <c r="H74" i="18"/>
  <c r="H73" i="18"/>
  <c r="G79" i="18"/>
  <c r="G78" i="18"/>
  <c r="G77" i="18"/>
  <c r="G76" i="18"/>
  <c r="G75" i="18"/>
  <c r="G74" i="18"/>
  <c r="G73" i="18"/>
  <c r="F79" i="18"/>
  <c r="F78" i="18"/>
  <c r="F77" i="18"/>
  <c r="F76" i="18"/>
  <c r="F75" i="18"/>
  <c r="F74" i="18"/>
  <c r="F73" i="18"/>
  <c r="E79" i="18"/>
  <c r="E78" i="18"/>
  <c r="E77" i="18"/>
  <c r="E76" i="18"/>
  <c r="E75" i="18"/>
  <c r="E74" i="18"/>
  <c r="E73" i="18"/>
  <c r="D79" i="18"/>
  <c r="D78" i="18"/>
  <c r="D77" i="18"/>
  <c r="D76" i="18"/>
  <c r="D75" i="18"/>
  <c r="D74" i="18"/>
  <c r="D73" i="18"/>
  <c r="C79" i="18"/>
  <c r="C78" i="18"/>
  <c r="C77" i="18"/>
  <c r="C76" i="18"/>
  <c r="C75" i="18"/>
  <c r="C74" i="18"/>
  <c r="C73" i="18"/>
  <c r="J72" i="19" l="1"/>
  <c r="I72" i="19"/>
  <c r="H72" i="19"/>
  <c r="G72" i="19"/>
  <c r="F72" i="19"/>
  <c r="E72" i="19"/>
  <c r="D72" i="19"/>
  <c r="C72" i="19"/>
  <c r="J71" i="19"/>
  <c r="I71" i="19"/>
  <c r="H71" i="19"/>
  <c r="G71" i="19"/>
  <c r="F71" i="19"/>
  <c r="E71" i="19"/>
  <c r="D71" i="19"/>
  <c r="C71" i="19"/>
  <c r="J70" i="19"/>
  <c r="I70" i="19"/>
  <c r="H70" i="19"/>
  <c r="G70" i="19"/>
  <c r="F70" i="19"/>
  <c r="E70" i="19"/>
  <c r="D70" i="19"/>
  <c r="C70" i="19"/>
  <c r="J69" i="19"/>
  <c r="I69" i="19"/>
  <c r="H69" i="19"/>
  <c r="G69" i="19"/>
  <c r="F69" i="19"/>
  <c r="E69" i="19"/>
  <c r="D69" i="19"/>
  <c r="C69" i="19"/>
  <c r="J68" i="19"/>
  <c r="I68" i="19"/>
  <c r="H68" i="19"/>
  <c r="G68" i="19"/>
  <c r="F68" i="19"/>
  <c r="E68" i="19"/>
  <c r="D68" i="19"/>
  <c r="C68" i="19"/>
  <c r="J67" i="19"/>
  <c r="I67" i="19"/>
  <c r="H67" i="19"/>
  <c r="G67" i="19"/>
  <c r="F67" i="19"/>
  <c r="E67" i="19"/>
  <c r="D67" i="19"/>
  <c r="C67" i="19"/>
  <c r="J66" i="19"/>
  <c r="I66" i="19"/>
  <c r="H66" i="19"/>
  <c r="G66" i="19"/>
  <c r="F66" i="19"/>
  <c r="E66" i="19"/>
  <c r="D66" i="19"/>
  <c r="C66" i="19"/>
  <c r="J72" i="18"/>
  <c r="I72" i="18"/>
  <c r="H72" i="18"/>
  <c r="G72" i="18"/>
  <c r="F72" i="18"/>
  <c r="E72" i="18"/>
  <c r="D72" i="18"/>
  <c r="C72" i="18"/>
  <c r="J71" i="18"/>
  <c r="I71" i="18"/>
  <c r="H71" i="18"/>
  <c r="G71" i="18"/>
  <c r="F71" i="18"/>
  <c r="E71" i="18"/>
  <c r="D71" i="18"/>
  <c r="C71" i="18"/>
  <c r="J70" i="18"/>
  <c r="I70" i="18"/>
  <c r="H70" i="18"/>
  <c r="G70" i="18"/>
  <c r="F70" i="18"/>
  <c r="E70" i="18"/>
  <c r="D70" i="18"/>
  <c r="C70" i="18"/>
  <c r="J69" i="18"/>
  <c r="I69" i="18"/>
  <c r="H69" i="18"/>
  <c r="G69" i="18"/>
  <c r="F69" i="18"/>
  <c r="E69" i="18"/>
  <c r="D69" i="18"/>
  <c r="C69" i="18"/>
  <c r="J68" i="18"/>
  <c r="I68" i="18"/>
  <c r="H68" i="18"/>
  <c r="G68" i="18"/>
  <c r="F68" i="18"/>
  <c r="E68" i="18"/>
  <c r="D68" i="18"/>
  <c r="C68" i="18"/>
  <c r="J67" i="18"/>
  <c r="I67" i="18"/>
  <c r="H67" i="18"/>
  <c r="G67" i="18"/>
  <c r="F67" i="18"/>
  <c r="E67" i="18"/>
  <c r="D67" i="18"/>
  <c r="C67" i="18"/>
  <c r="J66" i="18"/>
  <c r="I66" i="18"/>
  <c r="H66" i="18"/>
  <c r="G66" i="18"/>
  <c r="F66" i="18"/>
  <c r="E66" i="18"/>
  <c r="D66" i="18"/>
  <c r="C66" i="18"/>
  <c r="N13" i="7"/>
  <c r="M223" i="1" s="1"/>
  <c r="N5" i="7"/>
  <c r="E223" i="1" s="1"/>
  <c r="E376" i="1" l="1"/>
  <c r="F376" i="1"/>
  <c r="G376" i="1"/>
  <c r="H376" i="1"/>
  <c r="I376" i="1"/>
  <c r="J376" i="1"/>
  <c r="K376" i="1"/>
  <c r="L376" i="1"/>
  <c r="M376" i="1"/>
  <c r="N376" i="1"/>
  <c r="O376" i="1"/>
  <c r="P376" i="1"/>
  <c r="E389" i="1"/>
  <c r="F389" i="1"/>
  <c r="G389" i="1"/>
  <c r="H389" i="1"/>
  <c r="I389" i="1"/>
  <c r="J389" i="1"/>
  <c r="K389" i="1"/>
  <c r="L389" i="1"/>
  <c r="M389" i="1"/>
  <c r="N389" i="1"/>
  <c r="O389" i="1"/>
  <c r="P389" i="1"/>
  <c r="E390" i="1"/>
  <c r="F390" i="1"/>
  <c r="G390" i="1"/>
  <c r="H390" i="1"/>
  <c r="I390" i="1"/>
  <c r="J390" i="1"/>
  <c r="K390" i="1"/>
  <c r="L390" i="1"/>
  <c r="M390" i="1"/>
  <c r="N390" i="1"/>
  <c r="O390" i="1"/>
  <c r="P390" i="1"/>
  <c r="E391" i="1"/>
  <c r="F391" i="1"/>
  <c r="G391" i="1"/>
  <c r="H391" i="1"/>
  <c r="I391" i="1"/>
  <c r="J391" i="1"/>
  <c r="K391" i="1"/>
  <c r="L391" i="1"/>
  <c r="M391" i="1"/>
  <c r="N391" i="1"/>
  <c r="O391" i="1"/>
  <c r="P391" i="1"/>
  <c r="E392" i="1"/>
  <c r="F392" i="1"/>
  <c r="G392" i="1"/>
  <c r="H392" i="1"/>
  <c r="I392" i="1"/>
  <c r="J392" i="1"/>
  <c r="K392" i="1"/>
  <c r="L392" i="1"/>
  <c r="M392" i="1"/>
  <c r="N392" i="1"/>
  <c r="O392" i="1"/>
  <c r="P392" i="1"/>
  <c r="E393" i="1"/>
  <c r="F393" i="1"/>
  <c r="G393" i="1"/>
  <c r="H393" i="1"/>
  <c r="I393" i="1"/>
  <c r="J393" i="1"/>
  <c r="K393" i="1"/>
  <c r="L393" i="1"/>
  <c r="M393" i="1"/>
  <c r="N393" i="1"/>
  <c r="O393" i="1"/>
  <c r="P393" i="1"/>
  <c r="E394" i="1"/>
  <c r="F394" i="1"/>
  <c r="G394" i="1"/>
  <c r="H394" i="1"/>
  <c r="I394" i="1"/>
  <c r="J394" i="1"/>
  <c r="K394" i="1"/>
  <c r="L394" i="1"/>
  <c r="M394" i="1"/>
  <c r="N394" i="1"/>
  <c r="O394" i="1"/>
  <c r="P394" i="1"/>
  <c r="E395" i="1"/>
  <c r="F395" i="1"/>
  <c r="G395" i="1"/>
  <c r="H395" i="1"/>
  <c r="I395" i="1"/>
  <c r="J395" i="1"/>
  <c r="K395" i="1"/>
  <c r="L395" i="1"/>
  <c r="M395" i="1"/>
  <c r="N395" i="1"/>
  <c r="O395" i="1"/>
  <c r="P395" i="1"/>
  <c r="D395" i="1"/>
  <c r="D394" i="1"/>
  <c r="D393" i="1"/>
  <c r="D392" i="1"/>
  <c r="D391" i="1"/>
  <c r="D390" i="1"/>
  <c r="D389" i="1"/>
  <c r="E388" i="1"/>
  <c r="F388" i="1"/>
  <c r="G388" i="1"/>
  <c r="H388" i="1"/>
  <c r="I388" i="1"/>
  <c r="J388" i="1"/>
  <c r="K388" i="1"/>
  <c r="L388" i="1"/>
  <c r="M388" i="1"/>
  <c r="N388" i="1"/>
  <c r="O388" i="1"/>
  <c r="P388" i="1"/>
  <c r="D388" i="1"/>
  <c r="F400" i="1"/>
  <c r="G400" i="1"/>
  <c r="H400" i="1"/>
  <c r="I400" i="1"/>
  <c r="J400" i="1"/>
  <c r="K400" i="1"/>
  <c r="L400" i="1"/>
  <c r="M400" i="1"/>
  <c r="N400" i="1"/>
  <c r="O400" i="1"/>
  <c r="P400" i="1"/>
  <c r="E400" i="1"/>
  <c r="D400" i="1"/>
  <c r="AW5" i="15" l="1"/>
  <c r="E306" i="1" s="1"/>
  <c r="AW6" i="15"/>
  <c r="F306" i="1" s="1"/>
  <c r="AW7" i="15"/>
  <c r="G306" i="1" s="1"/>
  <c r="AW8" i="15"/>
  <c r="H306" i="1" s="1"/>
  <c r="AW9" i="15"/>
  <c r="I306" i="1" s="1"/>
  <c r="AW10" i="15"/>
  <c r="J306" i="1" s="1"/>
  <c r="AW11" i="15"/>
  <c r="K306" i="1" s="1"/>
  <c r="AW12" i="15"/>
  <c r="L306" i="1" s="1"/>
  <c r="AW13" i="15"/>
  <c r="M306" i="1" s="1"/>
  <c r="AW14" i="15"/>
  <c r="N306" i="1" s="1"/>
  <c r="AW15" i="15"/>
  <c r="O306" i="1" s="1"/>
  <c r="AW16" i="15"/>
  <c r="P306" i="1" s="1"/>
  <c r="AW4" i="15"/>
  <c r="D306" i="1" s="1"/>
  <c r="AV5" i="15"/>
  <c r="E304" i="1" s="1"/>
  <c r="AV6" i="15"/>
  <c r="F304" i="1" s="1"/>
  <c r="AV7" i="15"/>
  <c r="G304" i="1" s="1"/>
  <c r="AV8" i="15"/>
  <c r="H304" i="1" s="1"/>
  <c r="AV9" i="15"/>
  <c r="I304" i="1" s="1"/>
  <c r="AV10" i="15"/>
  <c r="J304" i="1" s="1"/>
  <c r="AV11" i="15"/>
  <c r="K304" i="1" s="1"/>
  <c r="AV12" i="15"/>
  <c r="L304" i="1" s="1"/>
  <c r="AV13" i="15"/>
  <c r="M304" i="1" s="1"/>
  <c r="AV14" i="15"/>
  <c r="N304" i="1" s="1"/>
  <c r="AV15" i="15"/>
  <c r="O304" i="1" s="1"/>
  <c r="AV16" i="15"/>
  <c r="P304" i="1" s="1"/>
  <c r="AV4" i="15"/>
  <c r="D304" i="1" s="1"/>
  <c r="AU5" i="15"/>
  <c r="E308" i="1" s="1"/>
  <c r="AU6" i="15"/>
  <c r="F308" i="1" s="1"/>
  <c r="AU7" i="15"/>
  <c r="G308" i="1" s="1"/>
  <c r="AU8" i="15"/>
  <c r="H308" i="1" s="1"/>
  <c r="AU9" i="15"/>
  <c r="I308" i="1" s="1"/>
  <c r="AU10" i="15"/>
  <c r="J308" i="1" s="1"/>
  <c r="AU11" i="15"/>
  <c r="K308" i="1" s="1"/>
  <c r="AU12" i="15"/>
  <c r="L308" i="1" s="1"/>
  <c r="AU13" i="15"/>
  <c r="M308" i="1" s="1"/>
  <c r="AU14" i="15"/>
  <c r="N308" i="1" s="1"/>
  <c r="AU15" i="15"/>
  <c r="O308" i="1" s="1"/>
  <c r="AU16" i="15"/>
  <c r="P308" i="1" s="1"/>
  <c r="AU4" i="15"/>
  <c r="D308" i="1" s="1"/>
  <c r="AT5" i="15"/>
  <c r="E307" i="1" s="1"/>
  <c r="AT6" i="15"/>
  <c r="F307" i="1" s="1"/>
  <c r="AT7" i="15"/>
  <c r="G307" i="1" s="1"/>
  <c r="AT8" i="15"/>
  <c r="H307" i="1" s="1"/>
  <c r="AT9" i="15"/>
  <c r="I307" i="1" s="1"/>
  <c r="AT10" i="15"/>
  <c r="J307" i="1" s="1"/>
  <c r="AT11" i="15"/>
  <c r="K307" i="1" s="1"/>
  <c r="AT12" i="15"/>
  <c r="L307" i="1" s="1"/>
  <c r="AT13" i="15"/>
  <c r="M307" i="1" s="1"/>
  <c r="AT14" i="15"/>
  <c r="N307" i="1" s="1"/>
  <c r="AT15" i="15"/>
  <c r="O307" i="1" s="1"/>
  <c r="AT16" i="15"/>
  <c r="P307" i="1" s="1"/>
  <c r="AT4" i="15"/>
  <c r="D307" i="1" s="1"/>
  <c r="AS5" i="15"/>
  <c r="E305" i="1" s="1"/>
  <c r="AS6" i="15"/>
  <c r="F305" i="1" s="1"/>
  <c r="AS7" i="15"/>
  <c r="G305" i="1" s="1"/>
  <c r="AS8" i="15"/>
  <c r="H305" i="1" s="1"/>
  <c r="AS9" i="15"/>
  <c r="I305" i="1" s="1"/>
  <c r="AS10" i="15"/>
  <c r="J305" i="1" s="1"/>
  <c r="AS11" i="15"/>
  <c r="K305" i="1" s="1"/>
  <c r="AS12" i="15"/>
  <c r="L305" i="1" s="1"/>
  <c r="AS13" i="15"/>
  <c r="M305" i="1" s="1"/>
  <c r="AS14" i="15"/>
  <c r="N305" i="1" s="1"/>
  <c r="AS15" i="15"/>
  <c r="O305" i="1" s="1"/>
  <c r="AS16" i="15"/>
  <c r="P305" i="1" s="1"/>
  <c r="AS4" i="15"/>
  <c r="D305" i="1" s="1"/>
  <c r="AR5" i="15"/>
  <c r="E303" i="1" s="1"/>
  <c r="AR6" i="15"/>
  <c r="F303" i="1" s="1"/>
  <c r="AR7" i="15"/>
  <c r="G303" i="1" s="1"/>
  <c r="AR8" i="15"/>
  <c r="H303" i="1" s="1"/>
  <c r="AR9" i="15"/>
  <c r="I303" i="1" s="1"/>
  <c r="AR10" i="15"/>
  <c r="J303" i="1" s="1"/>
  <c r="AR11" i="15"/>
  <c r="K303" i="1" s="1"/>
  <c r="AR12" i="15"/>
  <c r="L303" i="1" s="1"/>
  <c r="AR13" i="15"/>
  <c r="M303" i="1" s="1"/>
  <c r="AR14" i="15"/>
  <c r="N303" i="1" s="1"/>
  <c r="AR15" i="15"/>
  <c r="O303" i="1" s="1"/>
  <c r="AR16" i="15"/>
  <c r="P303" i="1" s="1"/>
  <c r="AR4" i="15"/>
  <c r="D303" i="1" s="1"/>
  <c r="AQ5" i="15"/>
  <c r="E302" i="1" s="1"/>
  <c r="AQ6" i="15"/>
  <c r="F302" i="1" s="1"/>
  <c r="AQ7" i="15"/>
  <c r="G302" i="1" s="1"/>
  <c r="AQ8" i="15"/>
  <c r="H302" i="1" s="1"/>
  <c r="AQ9" i="15"/>
  <c r="I302" i="1" s="1"/>
  <c r="AQ10" i="15"/>
  <c r="J302" i="1" s="1"/>
  <c r="AQ11" i="15"/>
  <c r="K302" i="1" s="1"/>
  <c r="AQ12" i="15"/>
  <c r="L302" i="1" s="1"/>
  <c r="AQ13" i="15"/>
  <c r="M302" i="1" s="1"/>
  <c r="AQ14" i="15"/>
  <c r="N302" i="1" s="1"/>
  <c r="AQ15" i="15"/>
  <c r="O302" i="1" s="1"/>
  <c r="AQ16" i="15"/>
  <c r="P302" i="1" s="1"/>
  <c r="AQ4" i="15"/>
  <c r="D302" i="1" s="1"/>
  <c r="AP5" i="15"/>
  <c r="E301" i="1" s="1"/>
  <c r="AP6" i="15"/>
  <c r="F301" i="1" s="1"/>
  <c r="AP7" i="15"/>
  <c r="G301" i="1" s="1"/>
  <c r="AP8" i="15"/>
  <c r="H301" i="1" s="1"/>
  <c r="AP9" i="15"/>
  <c r="I301" i="1" s="1"/>
  <c r="AP10" i="15"/>
  <c r="J301" i="1" s="1"/>
  <c r="AP11" i="15"/>
  <c r="K301" i="1" s="1"/>
  <c r="AP12" i="15"/>
  <c r="L301" i="1" s="1"/>
  <c r="AP13" i="15"/>
  <c r="M301" i="1" s="1"/>
  <c r="AP14" i="15"/>
  <c r="N301" i="1" s="1"/>
  <c r="AP15" i="15"/>
  <c r="O301" i="1" s="1"/>
  <c r="AP16" i="15"/>
  <c r="P301" i="1" s="1"/>
  <c r="AP4" i="15"/>
  <c r="D301" i="1" s="1"/>
  <c r="Z5" i="15"/>
  <c r="E294" i="1" s="1"/>
  <c r="Z6" i="15"/>
  <c r="F294" i="1" s="1"/>
  <c r="Z7" i="15"/>
  <c r="G294" i="1" s="1"/>
  <c r="Z8" i="15"/>
  <c r="H294" i="1" s="1"/>
  <c r="Z9" i="15"/>
  <c r="I294" i="1" s="1"/>
  <c r="Z10" i="15"/>
  <c r="J294" i="1" s="1"/>
  <c r="Z11" i="15"/>
  <c r="K294" i="1" s="1"/>
  <c r="Z12" i="15"/>
  <c r="L294" i="1" s="1"/>
  <c r="Z13" i="15"/>
  <c r="M294" i="1" s="1"/>
  <c r="Z14" i="15"/>
  <c r="N294" i="1" s="1"/>
  <c r="Z15" i="15"/>
  <c r="O294" i="1" s="1"/>
  <c r="Z16" i="15"/>
  <c r="P294" i="1" s="1"/>
  <c r="Z4" i="15"/>
  <c r="D294" i="1" s="1"/>
  <c r="Y5" i="15"/>
  <c r="E292" i="1" s="1"/>
  <c r="Y6" i="15"/>
  <c r="F292" i="1" s="1"/>
  <c r="Y7" i="15"/>
  <c r="G292" i="1" s="1"/>
  <c r="Y8" i="15"/>
  <c r="H292" i="1" s="1"/>
  <c r="Y9" i="15"/>
  <c r="I292" i="1" s="1"/>
  <c r="Y10" i="15"/>
  <c r="J292" i="1" s="1"/>
  <c r="Y11" i="15"/>
  <c r="K292" i="1" s="1"/>
  <c r="Y12" i="15"/>
  <c r="L292" i="1" s="1"/>
  <c r="Y13" i="15"/>
  <c r="M292" i="1" s="1"/>
  <c r="Y14" i="15"/>
  <c r="N292" i="1" s="1"/>
  <c r="Y15" i="15"/>
  <c r="O292" i="1" s="1"/>
  <c r="Y16" i="15"/>
  <c r="P292" i="1" s="1"/>
  <c r="Y4" i="15"/>
  <c r="D292" i="1" s="1"/>
  <c r="X5" i="15"/>
  <c r="E296" i="1" s="1"/>
  <c r="X6" i="15"/>
  <c r="F296" i="1" s="1"/>
  <c r="X7" i="15"/>
  <c r="G296" i="1" s="1"/>
  <c r="X8" i="15"/>
  <c r="H296" i="1" s="1"/>
  <c r="X9" i="15"/>
  <c r="I296" i="1" s="1"/>
  <c r="X10" i="15"/>
  <c r="J296" i="1" s="1"/>
  <c r="X11" i="15"/>
  <c r="K296" i="1" s="1"/>
  <c r="X12" i="15"/>
  <c r="L296" i="1" s="1"/>
  <c r="X13" i="15"/>
  <c r="M296" i="1" s="1"/>
  <c r="X14" i="15"/>
  <c r="N296" i="1" s="1"/>
  <c r="X15" i="15"/>
  <c r="O296" i="1" s="1"/>
  <c r="X16" i="15"/>
  <c r="P296" i="1" s="1"/>
  <c r="X4" i="15"/>
  <c r="D296" i="1" s="1"/>
  <c r="W5" i="15"/>
  <c r="E295" i="1" s="1"/>
  <c r="W6" i="15"/>
  <c r="F295" i="1" s="1"/>
  <c r="W7" i="15"/>
  <c r="G295" i="1" s="1"/>
  <c r="W8" i="15"/>
  <c r="H295" i="1" s="1"/>
  <c r="W9" i="15"/>
  <c r="I295" i="1" s="1"/>
  <c r="W10" i="15"/>
  <c r="J295" i="1" s="1"/>
  <c r="W11" i="15"/>
  <c r="K295" i="1" s="1"/>
  <c r="W12" i="15"/>
  <c r="L295" i="1" s="1"/>
  <c r="W13" i="15"/>
  <c r="M295" i="1" s="1"/>
  <c r="W14" i="15"/>
  <c r="N295" i="1" s="1"/>
  <c r="W15" i="15"/>
  <c r="O295" i="1" s="1"/>
  <c r="W16" i="15"/>
  <c r="P295" i="1" s="1"/>
  <c r="W4" i="15"/>
  <c r="D295" i="1" s="1"/>
  <c r="V5" i="15"/>
  <c r="E293" i="1" s="1"/>
  <c r="V6" i="15"/>
  <c r="F293" i="1" s="1"/>
  <c r="V7" i="15"/>
  <c r="G293" i="1" s="1"/>
  <c r="V8" i="15"/>
  <c r="H293" i="1" s="1"/>
  <c r="V9" i="15"/>
  <c r="I293" i="1" s="1"/>
  <c r="V10" i="15"/>
  <c r="J293" i="1" s="1"/>
  <c r="V11" i="15"/>
  <c r="K293" i="1" s="1"/>
  <c r="V12" i="15"/>
  <c r="L293" i="1" s="1"/>
  <c r="V13" i="15"/>
  <c r="M293" i="1" s="1"/>
  <c r="V14" i="15"/>
  <c r="N293" i="1" s="1"/>
  <c r="V15" i="15"/>
  <c r="O293" i="1" s="1"/>
  <c r="V16" i="15"/>
  <c r="P293" i="1" s="1"/>
  <c r="V4" i="15"/>
  <c r="D293" i="1" s="1"/>
  <c r="U5" i="15"/>
  <c r="E291" i="1" s="1"/>
  <c r="U6" i="15"/>
  <c r="F291" i="1" s="1"/>
  <c r="U7" i="15"/>
  <c r="G291" i="1" s="1"/>
  <c r="U8" i="15"/>
  <c r="H291" i="1" s="1"/>
  <c r="U9" i="15"/>
  <c r="I291" i="1" s="1"/>
  <c r="U10" i="15"/>
  <c r="J291" i="1" s="1"/>
  <c r="U11" i="15"/>
  <c r="K291" i="1" s="1"/>
  <c r="U12" i="15"/>
  <c r="L291" i="1" s="1"/>
  <c r="U13" i="15"/>
  <c r="M291" i="1" s="1"/>
  <c r="U14" i="15"/>
  <c r="N291" i="1" s="1"/>
  <c r="U15" i="15"/>
  <c r="O291" i="1" s="1"/>
  <c r="U16" i="15"/>
  <c r="P291" i="1" s="1"/>
  <c r="U4" i="15"/>
  <c r="D291" i="1" s="1"/>
  <c r="T5" i="15"/>
  <c r="E290" i="1" s="1"/>
  <c r="T6" i="15"/>
  <c r="F290" i="1" s="1"/>
  <c r="T7" i="15"/>
  <c r="G290" i="1" s="1"/>
  <c r="T8" i="15"/>
  <c r="H290" i="1" s="1"/>
  <c r="T9" i="15"/>
  <c r="I290" i="1" s="1"/>
  <c r="T10" i="15"/>
  <c r="J290" i="1" s="1"/>
  <c r="T11" i="15"/>
  <c r="K290" i="1" s="1"/>
  <c r="T12" i="15"/>
  <c r="L290" i="1" s="1"/>
  <c r="T13" i="15"/>
  <c r="M290" i="1" s="1"/>
  <c r="T14" i="15"/>
  <c r="N290" i="1" s="1"/>
  <c r="T15" i="15"/>
  <c r="O290" i="1" s="1"/>
  <c r="T16" i="15"/>
  <c r="P290" i="1" s="1"/>
  <c r="T4" i="15"/>
  <c r="D290" i="1" s="1"/>
  <c r="S5" i="15"/>
  <c r="E289" i="1" s="1"/>
  <c r="S6" i="15"/>
  <c r="F289" i="1" s="1"/>
  <c r="S7" i="15"/>
  <c r="G289" i="1" s="1"/>
  <c r="S8" i="15"/>
  <c r="H289" i="1" s="1"/>
  <c r="S9" i="15"/>
  <c r="I289" i="1" s="1"/>
  <c r="S10" i="15"/>
  <c r="J289" i="1" s="1"/>
  <c r="S11" i="15"/>
  <c r="K289" i="1" s="1"/>
  <c r="S12" i="15"/>
  <c r="L289" i="1" s="1"/>
  <c r="S13" i="15"/>
  <c r="M289" i="1" s="1"/>
  <c r="S14" i="15"/>
  <c r="N289" i="1" s="1"/>
  <c r="S15" i="15"/>
  <c r="O289" i="1" s="1"/>
  <c r="S16" i="15"/>
  <c r="P289" i="1" s="1"/>
  <c r="S4" i="15"/>
  <c r="D289" i="1" s="1"/>
  <c r="AW5" i="13"/>
  <c r="E280" i="1" s="1"/>
  <c r="AW6" i="13"/>
  <c r="F280" i="1" s="1"/>
  <c r="AW7" i="13"/>
  <c r="G280" i="1" s="1"/>
  <c r="AW8" i="13"/>
  <c r="H280" i="1" s="1"/>
  <c r="AW9" i="13"/>
  <c r="I280" i="1" s="1"/>
  <c r="AW10" i="13"/>
  <c r="J280" i="1" s="1"/>
  <c r="AW11" i="13"/>
  <c r="K280" i="1" s="1"/>
  <c r="AW12" i="13"/>
  <c r="L280" i="1" s="1"/>
  <c r="AW13" i="13"/>
  <c r="M280" i="1" s="1"/>
  <c r="AW14" i="13"/>
  <c r="N280" i="1" s="1"/>
  <c r="AW15" i="13"/>
  <c r="O280" i="1" s="1"/>
  <c r="AW16" i="13"/>
  <c r="P280" i="1" s="1"/>
  <c r="AW4" i="13"/>
  <c r="D280" i="1" s="1"/>
  <c r="AV5" i="13"/>
  <c r="E278" i="1" s="1"/>
  <c r="AV6" i="13"/>
  <c r="F278" i="1" s="1"/>
  <c r="AV7" i="13"/>
  <c r="G278" i="1" s="1"/>
  <c r="AV8" i="13"/>
  <c r="H278" i="1" s="1"/>
  <c r="AV9" i="13"/>
  <c r="I278" i="1" s="1"/>
  <c r="AV10" i="13"/>
  <c r="J278" i="1" s="1"/>
  <c r="AV11" i="13"/>
  <c r="K278" i="1" s="1"/>
  <c r="AV12" i="13"/>
  <c r="L278" i="1" s="1"/>
  <c r="AV13" i="13"/>
  <c r="M278" i="1" s="1"/>
  <c r="AV14" i="13"/>
  <c r="N278" i="1" s="1"/>
  <c r="AV15" i="13"/>
  <c r="O278" i="1" s="1"/>
  <c r="AV16" i="13"/>
  <c r="P278" i="1" s="1"/>
  <c r="AV4" i="13"/>
  <c r="D278" i="1" s="1"/>
  <c r="AU5" i="13"/>
  <c r="E282" i="1" s="1"/>
  <c r="AU6" i="13"/>
  <c r="F282" i="1" s="1"/>
  <c r="AU7" i="13"/>
  <c r="G282" i="1" s="1"/>
  <c r="AU8" i="13"/>
  <c r="H282" i="1" s="1"/>
  <c r="AU9" i="13"/>
  <c r="I282" i="1" s="1"/>
  <c r="AU10" i="13"/>
  <c r="J282" i="1" s="1"/>
  <c r="AU11" i="13"/>
  <c r="K282" i="1" s="1"/>
  <c r="AU12" i="13"/>
  <c r="L282" i="1" s="1"/>
  <c r="AU13" i="13"/>
  <c r="M282" i="1" s="1"/>
  <c r="AU14" i="13"/>
  <c r="N282" i="1" s="1"/>
  <c r="AU15" i="13"/>
  <c r="O282" i="1" s="1"/>
  <c r="AU16" i="13"/>
  <c r="P282" i="1" s="1"/>
  <c r="AU4" i="13"/>
  <c r="D282" i="1" s="1"/>
  <c r="AT5" i="13"/>
  <c r="E281" i="1" s="1"/>
  <c r="AT6" i="13"/>
  <c r="F281" i="1" s="1"/>
  <c r="AT7" i="13"/>
  <c r="G281" i="1" s="1"/>
  <c r="AT8" i="13"/>
  <c r="H281" i="1" s="1"/>
  <c r="AT9" i="13"/>
  <c r="I281" i="1" s="1"/>
  <c r="AT10" i="13"/>
  <c r="J281" i="1" s="1"/>
  <c r="AT11" i="13"/>
  <c r="K281" i="1" s="1"/>
  <c r="AT12" i="13"/>
  <c r="L281" i="1" s="1"/>
  <c r="AT13" i="13"/>
  <c r="M281" i="1" s="1"/>
  <c r="AT14" i="13"/>
  <c r="N281" i="1" s="1"/>
  <c r="AT15" i="13"/>
  <c r="O281" i="1" s="1"/>
  <c r="AT16" i="13"/>
  <c r="P281" i="1" s="1"/>
  <c r="AT4" i="13"/>
  <c r="D281" i="1" s="1"/>
  <c r="AS5" i="13"/>
  <c r="E279" i="1" s="1"/>
  <c r="AS6" i="13"/>
  <c r="F279" i="1" s="1"/>
  <c r="AS7" i="13"/>
  <c r="G279" i="1" s="1"/>
  <c r="AS8" i="13"/>
  <c r="H279" i="1" s="1"/>
  <c r="AS9" i="13"/>
  <c r="I279" i="1" s="1"/>
  <c r="AS10" i="13"/>
  <c r="J279" i="1" s="1"/>
  <c r="AS11" i="13"/>
  <c r="K279" i="1" s="1"/>
  <c r="AS12" i="13"/>
  <c r="L279" i="1" s="1"/>
  <c r="AS13" i="13"/>
  <c r="M279" i="1" s="1"/>
  <c r="AS14" i="13"/>
  <c r="N279" i="1" s="1"/>
  <c r="AS15" i="13"/>
  <c r="O279" i="1" s="1"/>
  <c r="AS16" i="13"/>
  <c r="P279" i="1" s="1"/>
  <c r="AS4" i="13"/>
  <c r="D279" i="1" s="1"/>
  <c r="AR5" i="13"/>
  <c r="E277" i="1" s="1"/>
  <c r="AR6" i="13"/>
  <c r="F277" i="1" s="1"/>
  <c r="AR7" i="13"/>
  <c r="G277" i="1" s="1"/>
  <c r="AR8" i="13"/>
  <c r="H277" i="1" s="1"/>
  <c r="AR9" i="13"/>
  <c r="I277" i="1" s="1"/>
  <c r="AR10" i="13"/>
  <c r="J277" i="1" s="1"/>
  <c r="AR11" i="13"/>
  <c r="K277" i="1" s="1"/>
  <c r="AR12" i="13"/>
  <c r="L277" i="1" s="1"/>
  <c r="AR13" i="13"/>
  <c r="M277" i="1" s="1"/>
  <c r="AR14" i="13"/>
  <c r="N277" i="1" s="1"/>
  <c r="AR15" i="13"/>
  <c r="O277" i="1" s="1"/>
  <c r="AR16" i="13"/>
  <c r="P277" i="1" s="1"/>
  <c r="AR4" i="13"/>
  <c r="D277" i="1" s="1"/>
  <c r="AQ5" i="13"/>
  <c r="E276" i="1" s="1"/>
  <c r="AQ6" i="13"/>
  <c r="F276" i="1" s="1"/>
  <c r="AQ7" i="13"/>
  <c r="G276" i="1" s="1"/>
  <c r="AQ8" i="13"/>
  <c r="H276" i="1" s="1"/>
  <c r="AQ9" i="13"/>
  <c r="I276" i="1" s="1"/>
  <c r="AQ10" i="13"/>
  <c r="J276" i="1" s="1"/>
  <c r="AQ11" i="13"/>
  <c r="K276" i="1" s="1"/>
  <c r="AQ12" i="13"/>
  <c r="L276" i="1" s="1"/>
  <c r="AQ13" i="13"/>
  <c r="M276" i="1" s="1"/>
  <c r="AQ14" i="13"/>
  <c r="N276" i="1" s="1"/>
  <c r="AQ15" i="13"/>
  <c r="O276" i="1" s="1"/>
  <c r="AQ16" i="13"/>
  <c r="P276" i="1" s="1"/>
  <c r="AQ4" i="13"/>
  <c r="D276" i="1" s="1"/>
  <c r="AP5" i="13"/>
  <c r="E275" i="1" s="1"/>
  <c r="AP6" i="13"/>
  <c r="F275" i="1" s="1"/>
  <c r="AP7" i="13"/>
  <c r="G275" i="1" s="1"/>
  <c r="AP8" i="13"/>
  <c r="H275" i="1" s="1"/>
  <c r="AP9" i="13"/>
  <c r="I275" i="1" s="1"/>
  <c r="AP10" i="13"/>
  <c r="J275" i="1" s="1"/>
  <c r="AP11" i="13"/>
  <c r="K275" i="1" s="1"/>
  <c r="AP12" i="13"/>
  <c r="L275" i="1" s="1"/>
  <c r="AP13" i="13"/>
  <c r="M275" i="1" s="1"/>
  <c r="AP14" i="13"/>
  <c r="N275" i="1" s="1"/>
  <c r="AP15" i="13"/>
  <c r="O275" i="1" s="1"/>
  <c r="AP16" i="13"/>
  <c r="P275" i="1" s="1"/>
  <c r="AP4" i="13"/>
  <c r="D275" i="1" s="1"/>
  <c r="Z16" i="13"/>
  <c r="P268" i="1" s="1"/>
  <c r="Y16" i="13"/>
  <c r="P266" i="1" s="1"/>
  <c r="X16" i="13"/>
  <c r="P270" i="1" s="1"/>
  <c r="W16" i="13"/>
  <c r="P269" i="1" s="1"/>
  <c r="V16" i="13"/>
  <c r="P267" i="1" s="1"/>
  <c r="U16" i="13"/>
  <c r="P265" i="1" s="1"/>
  <c r="T16" i="13"/>
  <c r="P264" i="1" s="1"/>
  <c r="S16" i="13"/>
  <c r="P263" i="1" s="1"/>
  <c r="Z15" i="13"/>
  <c r="O268" i="1" s="1"/>
  <c r="Y15" i="13"/>
  <c r="O266" i="1" s="1"/>
  <c r="X15" i="13"/>
  <c r="O270" i="1" s="1"/>
  <c r="W15" i="13"/>
  <c r="O269" i="1" s="1"/>
  <c r="V15" i="13"/>
  <c r="O267" i="1" s="1"/>
  <c r="U15" i="13"/>
  <c r="O265" i="1" s="1"/>
  <c r="T15" i="13"/>
  <c r="O264" i="1" s="1"/>
  <c r="S15" i="13"/>
  <c r="O263" i="1" s="1"/>
  <c r="Z14" i="13"/>
  <c r="N268" i="1" s="1"/>
  <c r="Y14" i="13"/>
  <c r="N266" i="1" s="1"/>
  <c r="X14" i="13"/>
  <c r="N270" i="1" s="1"/>
  <c r="W14" i="13"/>
  <c r="N269" i="1" s="1"/>
  <c r="V14" i="13"/>
  <c r="N267" i="1" s="1"/>
  <c r="U14" i="13"/>
  <c r="N265" i="1" s="1"/>
  <c r="T14" i="13"/>
  <c r="N264" i="1" s="1"/>
  <c r="S14" i="13"/>
  <c r="N263" i="1" s="1"/>
  <c r="Z13" i="13"/>
  <c r="M268" i="1" s="1"/>
  <c r="Y13" i="13"/>
  <c r="M266" i="1" s="1"/>
  <c r="X13" i="13"/>
  <c r="M270" i="1" s="1"/>
  <c r="W13" i="13"/>
  <c r="M269" i="1" s="1"/>
  <c r="V13" i="13"/>
  <c r="M267" i="1" s="1"/>
  <c r="U13" i="13"/>
  <c r="M265" i="1" s="1"/>
  <c r="T13" i="13"/>
  <c r="M264" i="1" s="1"/>
  <c r="S13" i="13"/>
  <c r="M263" i="1" s="1"/>
  <c r="Z12" i="13"/>
  <c r="L268" i="1" s="1"/>
  <c r="Y12" i="13"/>
  <c r="L266" i="1" s="1"/>
  <c r="X12" i="13"/>
  <c r="L270" i="1" s="1"/>
  <c r="W12" i="13"/>
  <c r="L269" i="1" s="1"/>
  <c r="V12" i="13"/>
  <c r="L267" i="1" s="1"/>
  <c r="U12" i="13"/>
  <c r="L265" i="1" s="1"/>
  <c r="T12" i="13"/>
  <c r="L264" i="1" s="1"/>
  <c r="S12" i="13"/>
  <c r="L263" i="1" s="1"/>
  <c r="Z11" i="13"/>
  <c r="K268" i="1" s="1"/>
  <c r="Y11" i="13"/>
  <c r="K266" i="1" s="1"/>
  <c r="X11" i="13"/>
  <c r="K270" i="1" s="1"/>
  <c r="W11" i="13"/>
  <c r="K269" i="1" s="1"/>
  <c r="V11" i="13"/>
  <c r="K267" i="1" s="1"/>
  <c r="U11" i="13"/>
  <c r="K265" i="1" s="1"/>
  <c r="T11" i="13"/>
  <c r="K264" i="1" s="1"/>
  <c r="S11" i="13"/>
  <c r="K263" i="1" s="1"/>
  <c r="Z10" i="13"/>
  <c r="J268" i="1" s="1"/>
  <c r="Y10" i="13"/>
  <c r="J266" i="1" s="1"/>
  <c r="X10" i="13"/>
  <c r="J270" i="1" s="1"/>
  <c r="W10" i="13"/>
  <c r="J269" i="1" s="1"/>
  <c r="V10" i="13"/>
  <c r="J267" i="1" s="1"/>
  <c r="U10" i="13"/>
  <c r="J265" i="1" s="1"/>
  <c r="T10" i="13"/>
  <c r="J264" i="1" s="1"/>
  <c r="S10" i="13"/>
  <c r="J263" i="1" s="1"/>
  <c r="Z9" i="13"/>
  <c r="I268" i="1" s="1"/>
  <c r="Y9" i="13"/>
  <c r="I266" i="1" s="1"/>
  <c r="X9" i="13"/>
  <c r="I270" i="1" s="1"/>
  <c r="W9" i="13"/>
  <c r="I269" i="1" s="1"/>
  <c r="V9" i="13"/>
  <c r="I267" i="1" s="1"/>
  <c r="U9" i="13"/>
  <c r="I265" i="1" s="1"/>
  <c r="T9" i="13"/>
  <c r="I264" i="1" s="1"/>
  <c r="S9" i="13"/>
  <c r="I263" i="1" s="1"/>
  <c r="Z8" i="13"/>
  <c r="H268" i="1" s="1"/>
  <c r="Y8" i="13"/>
  <c r="H266" i="1" s="1"/>
  <c r="X8" i="13"/>
  <c r="H270" i="1" s="1"/>
  <c r="W8" i="13"/>
  <c r="H269" i="1" s="1"/>
  <c r="V8" i="13"/>
  <c r="H267" i="1" s="1"/>
  <c r="U8" i="13"/>
  <c r="H265" i="1" s="1"/>
  <c r="T8" i="13"/>
  <c r="H264" i="1" s="1"/>
  <c r="S8" i="13"/>
  <c r="H263" i="1" s="1"/>
  <c r="Z7" i="13"/>
  <c r="G268" i="1" s="1"/>
  <c r="Y7" i="13"/>
  <c r="G266" i="1" s="1"/>
  <c r="X7" i="13"/>
  <c r="G270" i="1" s="1"/>
  <c r="W7" i="13"/>
  <c r="G269" i="1" s="1"/>
  <c r="V7" i="13"/>
  <c r="G267" i="1" s="1"/>
  <c r="U7" i="13"/>
  <c r="G265" i="1" s="1"/>
  <c r="T7" i="13"/>
  <c r="G264" i="1" s="1"/>
  <c r="S7" i="13"/>
  <c r="G263" i="1" s="1"/>
  <c r="Z6" i="13"/>
  <c r="F268" i="1" s="1"/>
  <c r="Y6" i="13"/>
  <c r="F266" i="1" s="1"/>
  <c r="X6" i="13"/>
  <c r="F270" i="1" s="1"/>
  <c r="W6" i="13"/>
  <c r="F269" i="1" s="1"/>
  <c r="V6" i="13"/>
  <c r="F267" i="1" s="1"/>
  <c r="U6" i="13"/>
  <c r="F265" i="1" s="1"/>
  <c r="T6" i="13"/>
  <c r="F264" i="1" s="1"/>
  <c r="S6" i="13"/>
  <c r="F263" i="1" s="1"/>
  <c r="Z5" i="13"/>
  <c r="E268" i="1" s="1"/>
  <c r="Y5" i="13"/>
  <c r="E266" i="1" s="1"/>
  <c r="X5" i="13"/>
  <c r="E270" i="1" s="1"/>
  <c r="W5" i="13"/>
  <c r="E269" i="1" s="1"/>
  <c r="V5" i="13"/>
  <c r="E267" i="1" s="1"/>
  <c r="U5" i="13"/>
  <c r="E265" i="1" s="1"/>
  <c r="T5" i="13"/>
  <c r="E264" i="1" s="1"/>
  <c r="S5" i="13"/>
  <c r="E263" i="1" s="1"/>
  <c r="Z4" i="13"/>
  <c r="D268" i="1" s="1"/>
  <c r="Y4" i="13"/>
  <c r="D266" i="1" s="1"/>
  <c r="X4" i="13"/>
  <c r="D270" i="1" s="1"/>
  <c r="W4" i="13"/>
  <c r="D269" i="1" s="1"/>
  <c r="V4" i="13"/>
  <c r="D267" i="1" s="1"/>
  <c r="U4" i="13"/>
  <c r="D265" i="1" s="1"/>
  <c r="T4" i="13"/>
  <c r="D264" i="1" s="1"/>
  <c r="S4" i="13"/>
  <c r="D263" i="1" s="1"/>
  <c r="AM275" i="4" l="1"/>
  <c r="AN275" i="4"/>
  <c r="AO275" i="4"/>
  <c r="AP275" i="4"/>
  <c r="AQ275" i="4"/>
  <c r="AR275" i="4"/>
  <c r="AS275" i="4"/>
  <c r="AT275" i="4"/>
  <c r="AU275" i="4"/>
  <c r="AV275" i="4"/>
  <c r="AW275" i="4"/>
  <c r="AX275" i="4"/>
  <c r="AY275" i="4"/>
  <c r="AM276" i="4"/>
  <c r="AN276" i="4"/>
  <c r="AO276" i="4"/>
  <c r="AP276" i="4"/>
  <c r="AQ276" i="4"/>
  <c r="AR276" i="4"/>
  <c r="AS276" i="4"/>
  <c r="AT276" i="4"/>
  <c r="AU276" i="4"/>
  <c r="AV276" i="4"/>
  <c r="AW276" i="4"/>
  <c r="AX276" i="4"/>
  <c r="AY276" i="4"/>
  <c r="AM277" i="4"/>
  <c r="AN277" i="4"/>
  <c r="AO277" i="4"/>
  <c r="AP277" i="4"/>
  <c r="AQ277" i="4"/>
  <c r="AR277" i="4"/>
  <c r="AS277" i="4"/>
  <c r="AT277" i="4"/>
  <c r="AU277" i="4"/>
  <c r="AV277" i="4"/>
  <c r="AW277" i="4"/>
  <c r="AX277" i="4"/>
  <c r="AY277" i="4"/>
  <c r="AM278" i="4"/>
  <c r="AN278" i="4"/>
  <c r="AO278" i="4"/>
  <c r="AP278" i="4"/>
  <c r="AQ278" i="4"/>
  <c r="AR278" i="4"/>
  <c r="AS278" i="4"/>
  <c r="AT278" i="4"/>
  <c r="AU278" i="4"/>
  <c r="AV278" i="4"/>
  <c r="AW278" i="4"/>
  <c r="AX278" i="4"/>
  <c r="AY278" i="4"/>
  <c r="AM279" i="4"/>
  <c r="AN279" i="4"/>
  <c r="AO279" i="4"/>
  <c r="AP279" i="4"/>
  <c r="AQ279" i="4"/>
  <c r="AR279" i="4"/>
  <c r="AS279" i="4"/>
  <c r="AT279" i="4"/>
  <c r="AU279" i="4"/>
  <c r="AV279" i="4"/>
  <c r="AW279" i="4"/>
  <c r="AX279" i="4"/>
  <c r="AY279" i="4"/>
  <c r="AM280" i="4"/>
  <c r="AN280" i="4"/>
  <c r="AO280" i="4"/>
  <c r="AP280" i="4"/>
  <c r="AQ280" i="4"/>
  <c r="AR280" i="4"/>
  <c r="AS280" i="4"/>
  <c r="AT280" i="4"/>
  <c r="AU280" i="4"/>
  <c r="AV280" i="4"/>
  <c r="AW280" i="4"/>
  <c r="AX280" i="4"/>
  <c r="AY280" i="4"/>
  <c r="AM281" i="4"/>
  <c r="AN281" i="4"/>
  <c r="AO281" i="4"/>
  <c r="AP281" i="4"/>
  <c r="AQ281" i="4"/>
  <c r="AR281" i="4"/>
  <c r="AS281" i="4"/>
  <c r="AT281" i="4"/>
  <c r="AU281" i="4"/>
  <c r="AV281" i="4"/>
  <c r="AW281" i="4"/>
  <c r="AX281" i="4"/>
  <c r="AY281" i="4"/>
  <c r="AM282" i="4"/>
  <c r="AN282" i="4"/>
  <c r="AO282" i="4"/>
  <c r="AP282" i="4"/>
  <c r="AQ282" i="4"/>
  <c r="AR282" i="4"/>
  <c r="AS282" i="4"/>
  <c r="AT282" i="4"/>
  <c r="AU282" i="4"/>
  <c r="AV282" i="4"/>
  <c r="AW282" i="4"/>
  <c r="AX282" i="4"/>
  <c r="AY282" i="4"/>
  <c r="AM283" i="4"/>
  <c r="AN283" i="4"/>
  <c r="AO283" i="4"/>
  <c r="AP283" i="4"/>
  <c r="AQ283" i="4"/>
  <c r="AR283" i="4"/>
  <c r="AS283" i="4"/>
  <c r="AT283" i="4"/>
  <c r="AU283" i="4"/>
  <c r="AV283" i="4"/>
  <c r="AW283" i="4"/>
  <c r="AX283" i="4"/>
  <c r="AY283" i="4"/>
  <c r="AM284" i="4"/>
  <c r="AN284" i="4"/>
  <c r="AO284" i="4"/>
  <c r="AP284" i="4"/>
  <c r="AQ284" i="4"/>
  <c r="AR284" i="4"/>
  <c r="AS284" i="4"/>
  <c r="AT284" i="4"/>
  <c r="AU284" i="4"/>
  <c r="AV284" i="4"/>
  <c r="AW284" i="4"/>
  <c r="AX284" i="4"/>
  <c r="AY284" i="4"/>
  <c r="AM285" i="4"/>
  <c r="AN285" i="4"/>
  <c r="AO285" i="4"/>
  <c r="AP285" i="4"/>
  <c r="AQ285" i="4"/>
  <c r="AR285" i="4"/>
  <c r="AS285" i="4"/>
  <c r="AT285" i="4"/>
  <c r="AU285" i="4"/>
  <c r="AV285" i="4"/>
  <c r="AW285" i="4"/>
  <c r="AX285" i="4"/>
  <c r="AY285" i="4"/>
  <c r="AM417" i="4"/>
  <c r="AN417" i="4"/>
  <c r="AO417" i="4"/>
  <c r="AP417" i="4"/>
  <c r="AQ417" i="4"/>
  <c r="AR417" i="4"/>
  <c r="AS417" i="4"/>
  <c r="AT417" i="4"/>
  <c r="AU417" i="4"/>
  <c r="AV417" i="4"/>
  <c r="AW417" i="4"/>
  <c r="AX417" i="4"/>
  <c r="AY417" i="4"/>
  <c r="AM418" i="4"/>
  <c r="AN418" i="4"/>
  <c r="AO418" i="4"/>
  <c r="AP418" i="4"/>
  <c r="AQ418" i="4"/>
  <c r="AR418" i="4"/>
  <c r="AS418" i="4"/>
  <c r="AT418" i="4"/>
  <c r="AU418" i="4"/>
  <c r="AV418" i="4"/>
  <c r="AW418" i="4"/>
  <c r="AX418" i="4"/>
  <c r="AY418" i="4"/>
  <c r="AM419" i="4"/>
  <c r="AN419" i="4"/>
  <c r="AO419" i="4"/>
  <c r="AP419" i="4"/>
  <c r="AQ419" i="4"/>
  <c r="AR419" i="4"/>
  <c r="AS419" i="4"/>
  <c r="AT419" i="4"/>
  <c r="AU419" i="4"/>
  <c r="AV419" i="4"/>
  <c r="AW419" i="4"/>
  <c r="AX419" i="4"/>
  <c r="AY419" i="4"/>
  <c r="AM420" i="4"/>
  <c r="AN420" i="4"/>
  <c r="AO420" i="4"/>
  <c r="AP420" i="4"/>
  <c r="AQ420" i="4"/>
  <c r="AR420" i="4"/>
  <c r="AS420" i="4"/>
  <c r="AT420" i="4"/>
  <c r="AU420" i="4"/>
  <c r="AV420" i="4"/>
  <c r="AW420" i="4"/>
  <c r="AX420" i="4"/>
  <c r="AY420" i="4"/>
  <c r="AM421" i="4"/>
  <c r="AN421" i="4"/>
  <c r="AO421" i="4"/>
  <c r="AP421" i="4"/>
  <c r="AQ421" i="4"/>
  <c r="AR421" i="4"/>
  <c r="AS421" i="4"/>
  <c r="AT421" i="4"/>
  <c r="AU421" i="4"/>
  <c r="AV421" i="4"/>
  <c r="AW421" i="4"/>
  <c r="AX421" i="4"/>
  <c r="AY421" i="4"/>
  <c r="AM422" i="4"/>
  <c r="AN422" i="4"/>
  <c r="AO422" i="4"/>
  <c r="AP422" i="4"/>
  <c r="AQ422" i="4"/>
  <c r="AR422" i="4"/>
  <c r="AS422" i="4"/>
  <c r="AT422" i="4"/>
  <c r="AU422" i="4"/>
  <c r="AV422" i="4"/>
  <c r="AW422" i="4"/>
  <c r="AX422" i="4"/>
  <c r="AY422" i="4"/>
  <c r="AM423" i="4"/>
  <c r="AN423" i="4"/>
  <c r="AO423" i="4"/>
  <c r="AP423" i="4"/>
  <c r="AQ423" i="4"/>
  <c r="AR423" i="4"/>
  <c r="AS423" i="4"/>
  <c r="AT423" i="4"/>
  <c r="AU423" i="4"/>
  <c r="AV423" i="4"/>
  <c r="AW423" i="4"/>
  <c r="AX423" i="4"/>
  <c r="AY423" i="4"/>
  <c r="AM424" i="4"/>
  <c r="AN424" i="4"/>
  <c r="AO424" i="4"/>
  <c r="AP424" i="4"/>
  <c r="AQ424" i="4"/>
  <c r="AR424" i="4"/>
  <c r="AS424" i="4"/>
  <c r="AT424" i="4"/>
  <c r="AU424" i="4"/>
  <c r="AV424" i="4"/>
  <c r="AW424" i="4"/>
  <c r="AX424" i="4"/>
  <c r="AY424" i="4"/>
  <c r="AM425" i="4"/>
  <c r="AN425" i="4"/>
  <c r="AO425" i="4"/>
  <c r="AP425" i="4"/>
  <c r="AQ425" i="4"/>
  <c r="AR425" i="4"/>
  <c r="AS425" i="4"/>
  <c r="AT425" i="4"/>
  <c r="AU425" i="4"/>
  <c r="AV425" i="4"/>
  <c r="AW425" i="4"/>
  <c r="AX425" i="4"/>
  <c r="AY425" i="4"/>
  <c r="AM426" i="4"/>
  <c r="AN426" i="4"/>
  <c r="AO426" i="4"/>
  <c r="AP426" i="4"/>
  <c r="AQ426" i="4"/>
  <c r="AR426" i="4"/>
  <c r="AS426" i="4"/>
  <c r="AT426" i="4"/>
  <c r="AU426" i="4"/>
  <c r="AV426" i="4"/>
  <c r="AW426" i="4"/>
  <c r="AX426" i="4"/>
  <c r="AY426" i="4"/>
  <c r="AM558" i="4"/>
  <c r="AN558" i="4"/>
  <c r="AO558" i="4"/>
  <c r="AP558" i="4"/>
  <c r="AQ558" i="4"/>
  <c r="AR558" i="4"/>
  <c r="AS558" i="4"/>
  <c r="AT558" i="4"/>
  <c r="AU558" i="4"/>
  <c r="AV558" i="4"/>
  <c r="AW558" i="4"/>
  <c r="AX558" i="4"/>
  <c r="AY558" i="4"/>
  <c r="AM559" i="4"/>
  <c r="AN559" i="4"/>
  <c r="AO559" i="4"/>
  <c r="AP559" i="4"/>
  <c r="AQ559" i="4"/>
  <c r="AR559" i="4"/>
  <c r="AS559" i="4"/>
  <c r="AT559" i="4"/>
  <c r="AU559" i="4"/>
  <c r="AV559" i="4"/>
  <c r="AW559" i="4"/>
  <c r="AX559" i="4"/>
  <c r="AY559" i="4"/>
  <c r="AM560" i="4"/>
  <c r="AN560" i="4"/>
  <c r="AO560" i="4"/>
  <c r="AP560" i="4"/>
  <c r="AQ560" i="4"/>
  <c r="AR560" i="4"/>
  <c r="AS560" i="4"/>
  <c r="AT560" i="4"/>
  <c r="AU560" i="4"/>
  <c r="AV560" i="4"/>
  <c r="AW560" i="4"/>
  <c r="AX560" i="4"/>
  <c r="AY560" i="4"/>
  <c r="AM561" i="4"/>
  <c r="AN561" i="4"/>
  <c r="AO561" i="4"/>
  <c r="AP561" i="4"/>
  <c r="AQ561" i="4"/>
  <c r="AR561" i="4"/>
  <c r="AS561" i="4"/>
  <c r="AT561" i="4"/>
  <c r="AU561" i="4"/>
  <c r="AV561" i="4"/>
  <c r="AW561" i="4"/>
  <c r="AX561" i="4"/>
  <c r="AY561" i="4"/>
  <c r="AM562" i="4"/>
  <c r="AN562" i="4"/>
  <c r="AO562" i="4"/>
  <c r="AP562" i="4"/>
  <c r="AQ562" i="4"/>
  <c r="AR562" i="4"/>
  <c r="AS562" i="4"/>
  <c r="AT562" i="4"/>
  <c r="AU562" i="4"/>
  <c r="AV562" i="4"/>
  <c r="AW562" i="4"/>
  <c r="AX562" i="4"/>
  <c r="AY562" i="4"/>
  <c r="AM563" i="4"/>
  <c r="AN563" i="4"/>
  <c r="AO563" i="4"/>
  <c r="AP563" i="4"/>
  <c r="AQ563" i="4"/>
  <c r="AR563" i="4"/>
  <c r="AS563" i="4"/>
  <c r="AT563" i="4"/>
  <c r="AU563" i="4"/>
  <c r="AV563" i="4"/>
  <c r="AW563" i="4"/>
  <c r="AX563" i="4"/>
  <c r="AY563" i="4"/>
  <c r="AM564" i="4"/>
  <c r="AN564" i="4"/>
  <c r="AO564" i="4"/>
  <c r="AP564" i="4"/>
  <c r="AQ564" i="4"/>
  <c r="AR564" i="4"/>
  <c r="AS564" i="4"/>
  <c r="AT564" i="4"/>
  <c r="AU564" i="4"/>
  <c r="AV564" i="4"/>
  <c r="AW564" i="4"/>
  <c r="AX564" i="4"/>
  <c r="AY564" i="4"/>
  <c r="AM565" i="4"/>
  <c r="AN565" i="4"/>
  <c r="AO565" i="4"/>
  <c r="AP565" i="4"/>
  <c r="AQ565" i="4"/>
  <c r="AR565" i="4"/>
  <c r="AS565" i="4"/>
  <c r="AT565" i="4"/>
  <c r="AU565" i="4"/>
  <c r="AV565" i="4"/>
  <c r="AW565" i="4"/>
  <c r="AX565" i="4"/>
  <c r="AY565" i="4"/>
  <c r="AM566" i="4"/>
  <c r="AN566" i="4"/>
  <c r="AO566" i="4"/>
  <c r="AP566" i="4"/>
  <c r="AQ566" i="4"/>
  <c r="AR566" i="4"/>
  <c r="AS566" i="4"/>
  <c r="AT566" i="4"/>
  <c r="AU566" i="4"/>
  <c r="AV566" i="4"/>
  <c r="AW566" i="4"/>
  <c r="AX566" i="4"/>
  <c r="AY566" i="4"/>
  <c r="AM567" i="4"/>
  <c r="AN567" i="4"/>
  <c r="AO567" i="4"/>
  <c r="AP567" i="4"/>
  <c r="AQ567" i="4"/>
  <c r="AR567" i="4"/>
  <c r="AS567" i="4"/>
  <c r="AT567" i="4"/>
  <c r="AU567" i="4"/>
  <c r="AV567" i="4"/>
  <c r="AW567" i="4"/>
  <c r="AX567" i="4"/>
  <c r="AY567" i="4"/>
  <c r="I6" i="12" l="1"/>
  <c r="D187" i="1" l="1"/>
  <c r="E406" i="1" l="1"/>
  <c r="F406" i="1"/>
  <c r="G406" i="1"/>
  <c r="H406" i="1"/>
  <c r="I406" i="1"/>
  <c r="J406" i="1"/>
  <c r="K406" i="1"/>
  <c r="L406" i="1"/>
  <c r="M406" i="1"/>
  <c r="N406" i="1"/>
  <c r="O406" i="1"/>
  <c r="P406" i="1"/>
  <c r="E407" i="1"/>
  <c r="F407" i="1"/>
  <c r="G407" i="1"/>
  <c r="H407" i="1"/>
  <c r="I407" i="1"/>
  <c r="J407" i="1"/>
  <c r="K407" i="1"/>
  <c r="L407" i="1"/>
  <c r="M407" i="1"/>
  <c r="N407" i="1"/>
  <c r="O407" i="1"/>
  <c r="P407" i="1"/>
  <c r="E405" i="1"/>
  <c r="F405" i="1"/>
  <c r="G405" i="1"/>
  <c r="H405" i="1"/>
  <c r="I405" i="1"/>
  <c r="J405" i="1"/>
  <c r="K405" i="1"/>
  <c r="L405" i="1"/>
  <c r="M405" i="1"/>
  <c r="N405" i="1"/>
  <c r="O405" i="1"/>
  <c r="P405" i="1"/>
  <c r="E404" i="1"/>
  <c r="F404" i="1"/>
  <c r="G404" i="1"/>
  <c r="H404" i="1"/>
  <c r="I404" i="1"/>
  <c r="J404" i="1"/>
  <c r="K404" i="1"/>
  <c r="L404" i="1"/>
  <c r="M404" i="1"/>
  <c r="N404" i="1"/>
  <c r="O404" i="1"/>
  <c r="P404" i="1"/>
  <c r="D407" i="1"/>
  <c r="D406" i="1"/>
  <c r="D405" i="1"/>
  <c r="D404" i="1"/>
  <c r="E403" i="1"/>
  <c r="F403" i="1"/>
  <c r="G403" i="1"/>
  <c r="H403" i="1"/>
  <c r="I403" i="1"/>
  <c r="J403" i="1"/>
  <c r="K403" i="1"/>
  <c r="L403" i="1"/>
  <c r="M403" i="1"/>
  <c r="N403" i="1"/>
  <c r="O403" i="1"/>
  <c r="P403" i="1"/>
  <c r="D403" i="1"/>
  <c r="E402" i="1"/>
  <c r="F402" i="1"/>
  <c r="G402" i="1"/>
  <c r="H402" i="1"/>
  <c r="I402" i="1"/>
  <c r="J402" i="1"/>
  <c r="K402" i="1"/>
  <c r="L402" i="1"/>
  <c r="M402" i="1"/>
  <c r="N402" i="1"/>
  <c r="O402" i="1"/>
  <c r="P402" i="1"/>
  <c r="D402" i="1"/>
  <c r="E401" i="1"/>
  <c r="F401" i="1"/>
  <c r="G401" i="1"/>
  <c r="H401" i="1"/>
  <c r="I401" i="1"/>
  <c r="J401" i="1"/>
  <c r="K401" i="1"/>
  <c r="L401" i="1"/>
  <c r="M401" i="1"/>
  <c r="N401" i="1"/>
  <c r="O401" i="1"/>
  <c r="P401" i="1"/>
  <c r="D401" i="1"/>
  <c r="E383" i="1"/>
  <c r="F383" i="1"/>
  <c r="G383" i="1"/>
  <c r="H383" i="1"/>
  <c r="I383" i="1"/>
  <c r="J383" i="1"/>
  <c r="K383" i="1"/>
  <c r="L383" i="1"/>
  <c r="M383" i="1"/>
  <c r="N383" i="1"/>
  <c r="O383" i="1"/>
  <c r="P383" i="1"/>
  <c r="D383" i="1"/>
  <c r="E382" i="1"/>
  <c r="F382" i="1"/>
  <c r="G382" i="1"/>
  <c r="H382" i="1"/>
  <c r="I382" i="1"/>
  <c r="J382" i="1"/>
  <c r="K382" i="1"/>
  <c r="L382" i="1"/>
  <c r="M382" i="1"/>
  <c r="N382" i="1"/>
  <c r="O382" i="1"/>
  <c r="P382" i="1"/>
  <c r="D382" i="1"/>
  <c r="E381" i="1"/>
  <c r="F381" i="1"/>
  <c r="G381" i="1"/>
  <c r="H381" i="1"/>
  <c r="I381" i="1"/>
  <c r="J381" i="1"/>
  <c r="K381" i="1"/>
  <c r="L381" i="1"/>
  <c r="M381" i="1"/>
  <c r="N381" i="1"/>
  <c r="O381" i="1"/>
  <c r="P381" i="1"/>
  <c r="D381" i="1"/>
  <c r="E380" i="1"/>
  <c r="F380" i="1"/>
  <c r="G380" i="1"/>
  <c r="H380" i="1"/>
  <c r="I380" i="1"/>
  <c r="J380" i="1"/>
  <c r="K380" i="1"/>
  <c r="L380" i="1"/>
  <c r="M380" i="1"/>
  <c r="N380" i="1"/>
  <c r="O380" i="1"/>
  <c r="P380" i="1"/>
  <c r="D380" i="1"/>
  <c r="E379" i="1"/>
  <c r="F379" i="1"/>
  <c r="G379" i="1"/>
  <c r="H379" i="1"/>
  <c r="I379" i="1"/>
  <c r="J379" i="1"/>
  <c r="K379" i="1"/>
  <c r="L379" i="1"/>
  <c r="M379" i="1"/>
  <c r="N379" i="1"/>
  <c r="O379" i="1"/>
  <c r="P379" i="1"/>
  <c r="D379" i="1"/>
  <c r="E378" i="1"/>
  <c r="F378" i="1"/>
  <c r="G378" i="1"/>
  <c r="H378" i="1"/>
  <c r="I378" i="1"/>
  <c r="J378" i="1"/>
  <c r="K378" i="1"/>
  <c r="L378" i="1"/>
  <c r="M378" i="1"/>
  <c r="N378" i="1"/>
  <c r="O378" i="1"/>
  <c r="P378" i="1"/>
  <c r="D378" i="1"/>
  <c r="E377" i="1"/>
  <c r="F377" i="1"/>
  <c r="G377" i="1"/>
  <c r="H377" i="1"/>
  <c r="I377" i="1"/>
  <c r="J377" i="1"/>
  <c r="K377" i="1"/>
  <c r="L377" i="1"/>
  <c r="M377" i="1"/>
  <c r="N377" i="1"/>
  <c r="O377" i="1"/>
  <c r="P377" i="1"/>
  <c r="D377" i="1"/>
  <c r="D376" i="1"/>
  <c r="AB4" i="4" l="1"/>
  <c r="D66" i="1" s="1"/>
  <c r="E6" i="6" l="1"/>
  <c r="AX39" i="12" l="1"/>
  <c r="D235" i="1" l="1"/>
  <c r="AZ23" i="7"/>
  <c r="D247" i="1" s="1"/>
  <c r="CE6" i="17" l="1"/>
  <c r="E368" i="1" s="1"/>
  <c r="CE7" i="17"/>
  <c r="F368" i="1" s="1"/>
  <c r="CE8" i="17"/>
  <c r="G368" i="1" s="1"/>
  <c r="CE9" i="17"/>
  <c r="H368" i="1" s="1"/>
  <c r="CE10" i="17"/>
  <c r="I368" i="1" s="1"/>
  <c r="CE11" i="17"/>
  <c r="J368" i="1" s="1"/>
  <c r="CE12" i="17"/>
  <c r="K368" i="1" s="1"/>
  <c r="CE13" i="17"/>
  <c r="L368" i="1" s="1"/>
  <c r="CE14" i="17"/>
  <c r="M368" i="1" s="1"/>
  <c r="CE15" i="17"/>
  <c r="N368" i="1" s="1"/>
  <c r="CE16" i="17"/>
  <c r="O368" i="1" s="1"/>
  <c r="CE17" i="17"/>
  <c r="P368" i="1" s="1"/>
  <c r="CE5" i="17"/>
  <c r="D368" i="1" s="1"/>
  <c r="CD6" i="17"/>
  <c r="E367" i="1" s="1"/>
  <c r="CD7" i="17"/>
  <c r="F367" i="1" s="1"/>
  <c r="CD8" i="17"/>
  <c r="G367" i="1" s="1"/>
  <c r="CD9" i="17"/>
  <c r="H367" i="1" s="1"/>
  <c r="CD10" i="17"/>
  <c r="I367" i="1" s="1"/>
  <c r="CD11" i="17"/>
  <c r="J367" i="1" s="1"/>
  <c r="CD12" i="17"/>
  <c r="K367" i="1" s="1"/>
  <c r="CD13" i="17"/>
  <c r="L367" i="1" s="1"/>
  <c r="CD14" i="17"/>
  <c r="M367" i="1" s="1"/>
  <c r="CD15" i="17"/>
  <c r="N367" i="1" s="1"/>
  <c r="CD16" i="17"/>
  <c r="O367" i="1" s="1"/>
  <c r="CD17" i="17"/>
  <c r="P367" i="1" s="1"/>
  <c r="CD5" i="17"/>
  <c r="D367" i="1" s="1"/>
  <c r="CC6" i="17"/>
  <c r="E366" i="1" s="1"/>
  <c r="CC7" i="17"/>
  <c r="F366" i="1" s="1"/>
  <c r="CC8" i="17"/>
  <c r="G366" i="1" s="1"/>
  <c r="CC9" i="17"/>
  <c r="H366" i="1" s="1"/>
  <c r="CC10" i="17"/>
  <c r="I366" i="1" s="1"/>
  <c r="CC11" i="17"/>
  <c r="J366" i="1" s="1"/>
  <c r="CC12" i="17"/>
  <c r="K366" i="1" s="1"/>
  <c r="CC13" i="17"/>
  <c r="L366" i="1" s="1"/>
  <c r="CC14" i="17"/>
  <c r="M366" i="1" s="1"/>
  <c r="CC15" i="17"/>
  <c r="N366" i="1" s="1"/>
  <c r="CC16" i="17"/>
  <c r="O366" i="1" s="1"/>
  <c r="CC17" i="17"/>
  <c r="P366" i="1" s="1"/>
  <c r="CC5" i="17"/>
  <c r="D366" i="1" s="1"/>
  <c r="CB6" i="17"/>
  <c r="E365" i="1" s="1"/>
  <c r="CB7" i="17"/>
  <c r="F365" i="1" s="1"/>
  <c r="CB8" i="17"/>
  <c r="G365" i="1" s="1"/>
  <c r="CB9" i="17"/>
  <c r="H365" i="1" s="1"/>
  <c r="CB10" i="17"/>
  <c r="I365" i="1" s="1"/>
  <c r="CB11" i="17"/>
  <c r="J365" i="1" s="1"/>
  <c r="CB12" i="17"/>
  <c r="K365" i="1" s="1"/>
  <c r="CB13" i="17"/>
  <c r="L365" i="1" s="1"/>
  <c r="CB14" i="17"/>
  <c r="M365" i="1" s="1"/>
  <c r="CB15" i="17"/>
  <c r="N365" i="1" s="1"/>
  <c r="CB16" i="17"/>
  <c r="O365" i="1" s="1"/>
  <c r="CB17" i="17"/>
  <c r="P365" i="1" s="1"/>
  <c r="CB5" i="17"/>
  <c r="D365" i="1" s="1"/>
  <c r="CA6" i="17"/>
  <c r="E363" i="1" s="1"/>
  <c r="CA7" i="17"/>
  <c r="F363" i="1" s="1"/>
  <c r="CA8" i="17"/>
  <c r="G363" i="1" s="1"/>
  <c r="CA9" i="17"/>
  <c r="H363" i="1" s="1"/>
  <c r="CA10" i="17"/>
  <c r="I363" i="1" s="1"/>
  <c r="CA11" i="17"/>
  <c r="J363" i="1" s="1"/>
  <c r="CA12" i="17"/>
  <c r="K363" i="1" s="1"/>
  <c r="CA13" i="17"/>
  <c r="L363" i="1" s="1"/>
  <c r="CA14" i="17"/>
  <c r="M363" i="1" s="1"/>
  <c r="CA15" i="17"/>
  <c r="N363" i="1" s="1"/>
  <c r="CA16" i="17"/>
  <c r="O363" i="1" s="1"/>
  <c r="CA17" i="17"/>
  <c r="P363" i="1" s="1"/>
  <c r="CA5" i="17"/>
  <c r="D363" i="1" s="1"/>
  <c r="BZ17" i="17"/>
  <c r="P362" i="1" s="1"/>
  <c r="BZ6" i="17"/>
  <c r="E362" i="1" s="1"/>
  <c r="BZ7" i="17"/>
  <c r="F362" i="1" s="1"/>
  <c r="BZ8" i="17"/>
  <c r="G362" i="1" s="1"/>
  <c r="BZ9" i="17"/>
  <c r="H362" i="1" s="1"/>
  <c r="BZ10" i="17"/>
  <c r="I362" i="1" s="1"/>
  <c r="BZ11" i="17"/>
  <c r="J362" i="1" s="1"/>
  <c r="BZ12" i="17"/>
  <c r="K362" i="1" s="1"/>
  <c r="BZ13" i="17"/>
  <c r="L362" i="1" s="1"/>
  <c r="BZ14" i="17"/>
  <c r="M362" i="1" s="1"/>
  <c r="BZ15" i="17"/>
  <c r="N362" i="1" s="1"/>
  <c r="BZ16" i="17"/>
  <c r="O362" i="1" s="1"/>
  <c r="BZ5" i="17"/>
  <c r="D362" i="1" s="1"/>
  <c r="BY5" i="17"/>
  <c r="D364" i="1" s="1"/>
  <c r="BY6" i="17"/>
  <c r="E364" i="1" s="1"/>
  <c r="BY7" i="17"/>
  <c r="F364" i="1" s="1"/>
  <c r="BY8" i="17"/>
  <c r="G364" i="1" s="1"/>
  <c r="BY9" i="17"/>
  <c r="H364" i="1" s="1"/>
  <c r="BY10" i="17"/>
  <c r="I364" i="1" s="1"/>
  <c r="BY11" i="17"/>
  <c r="J364" i="1" s="1"/>
  <c r="BY12" i="17"/>
  <c r="K364" i="1" s="1"/>
  <c r="BY13" i="17"/>
  <c r="L364" i="1" s="1"/>
  <c r="BY14" i="17"/>
  <c r="M364" i="1" s="1"/>
  <c r="BY15" i="17"/>
  <c r="N364" i="1" s="1"/>
  <c r="BY16" i="17"/>
  <c r="O364" i="1" s="1"/>
  <c r="BY17" i="17"/>
  <c r="P364" i="1" s="1"/>
  <c r="BX6" i="17"/>
  <c r="E361" i="1" s="1"/>
  <c r="BX7" i="17"/>
  <c r="F361" i="1" s="1"/>
  <c r="BX8" i="17"/>
  <c r="G361" i="1" s="1"/>
  <c r="BX9" i="17"/>
  <c r="H361" i="1" s="1"/>
  <c r="BX10" i="17"/>
  <c r="I361" i="1" s="1"/>
  <c r="BX11" i="17"/>
  <c r="J361" i="1" s="1"/>
  <c r="BX12" i="17"/>
  <c r="K361" i="1" s="1"/>
  <c r="BX13" i="17"/>
  <c r="L361" i="1" s="1"/>
  <c r="BX14" i="17"/>
  <c r="M361" i="1" s="1"/>
  <c r="BX15" i="17"/>
  <c r="N361" i="1" s="1"/>
  <c r="BX16" i="17"/>
  <c r="O361" i="1" s="1"/>
  <c r="BX17" i="17"/>
  <c r="P361" i="1" s="1"/>
  <c r="BX5" i="17"/>
  <c r="D361" i="1" s="1"/>
  <c r="Z6" i="17"/>
  <c r="E353" i="1" s="1"/>
  <c r="Z7" i="17"/>
  <c r="F353" i="1" s="1"/>
  <c r="Z8" i="17"/>
  <c r="G353" i="1" s="1"/>
  <c r="Z9" i="17"/>
  <c r="H353" i="1" s="1"/>
  <c r="Z10" i="17"/>
  <c r="I353" i="1" s="1"/>
  <c r="Z11" i="17"/>
  <c r="J353" i="1" s="1"/>
  <c r="Z12" i="17"/>
  <c r="K353" i="1" s="1"/>
  <c r="Z13" i="17"/>
  <c r="L353" i="1" s="1"/>
  <c r="Z14" i="17"/>
  <c r="M353" i="1" s="1"/>
  <c r="Z15" i="17"/>
  <c r="N353" i="1" s="1"/>
  <c r="Z16" i="17"/>
  <c r="O353" i="1" s="1"/>
  <c r="Z17" i="17"/>
  <c r="P353" i="1" s="1"/>
  <c r="AB6" i="17"/>
  <c r="E355" i="1" s="1"/>
  <c r="AB7" i="17"/>
  <c r="F355" i="1" s="1"/>
  <c r="AB8" i="17"/>
  <c r="G355" i="1" s="1"/>
  <c r="AB9" i="17"/>
  <c r="H355" i="1" s="1"/>
  <c r="AB10" i="17"/>
  <c r="I355" i="1" s="1"/>
  <c r="AB11" i="17"/>
  <c r="J355" i="1" s="1"/>
  <c r="AB12" i="17"/>
  <c r="K355" i="1" s="1"/>
  <c r="AB13" i="17"/>
  <c r="L355" i="1" s="1"/>
  <c r="AB14" i="17"/>
  <c r="M355" i="1" s="1"/>
  <c r="AB15" i="17"/>
  <c r="N355" i="1" s="1"/>
  <c r="AB16" i="17"/>
  <c r="O355" i="1" s="1"/>
  <c r="AB17" i="17"/>
  <c r="P355" i="1" s="1"/>
  <c r="AB5" i="17"/>
  <c r="D355" i="1" s="1"/>
  <c r="Z5" i="17"/>
  <c r="D353" i="1" s="1"/>
  <c r="AA6" i="17"/>
  <c r="E354" i="1" s="1"/>
  <c r="AA7" i="17"/>
  <c r="F354" i="1" s="1"/>
  <c r="AA8" i="17"/>
  <c r="G354" i="1" s="1"/>
  <c r="AA9" i="17"/>
  <c r="H354" i="1" s="1"/>
  <c r="AA10" i="17"/>
  <c r="I354" i="1" s="1"/>
  <c r="AA11" i="17"/>
  <c r="J354" i="1" s="1"/>
  <c r="AA12" i="17"/>
  <c r="K354" i="1" s="1"/>
  <c r="AA13" i="17"/>
  <c r="L354" i="1" s="1"/>
  <c r="AA14" i="17"/>
  <c r="M354" i="1" s="1"/>
  <c r="AA15" i="17"/>
  <c r="N354" i="1" s="1"/>
  <c r="AA16" i="17"/>
  <c r="O354" i="1" s="1"/>
  <c r="AA17" i="17"/>
  <c r="P354" i="1" s="1"/>
  <c r="AA5" i="17"/>
  <c r="D354" i="1" s="1"/>
  <c r="Y6" i="17"/>
  <c r="E352" i="1" s="1"/>
  <c r="Y7" i="17"/>
  <c r="F352" i="1" s="1"/>
  <c r="Y8" i="17"/>
  <c r="G352" i="1" s="1"/>
  <c r="Y9" i="17"/>
  <c r="H352" i="1" s="1"/>
  <c r="Y10" i="17"/>
  <c r="I352" i="1" s="1"/>
  <c r="Y11" i="17"/>
  <c r="J352" i="1" s="1"/>
  <c r="Y12" i="17"/>
  <c r="K352" i="1" s="1"/>
  <c r="Y13" i="17"/>
  <c r="L352" i="1" s="1"/>
  <c r="Y14" i="17"/>
  <c r="M352" i="1" s="1"/>
  <c r="Y15" i="17"/>
  <c r="N352" i="1" s="1"/>
  <c r="Y16" i="17"/>
  <c r="O352" i="1" s="1"/>
  <c r="Y17" i="17"/>
  <c r="P352" i="1" s="1"/>
  <c r="Y5" i="17"/>
  <c r="D352" i="1" s="1"/>
  <c r="X6" i="17"/>
  <c r="E350" i="1" s="1"/>
  <c r="X7" i="17"/>
  <c r="F350" i="1" s="1"/>
  <c r="X8" i="17"/>
  <c r="G350" i="1" s="1"/>
  <c r="X9" i="17"/>
  <c r="H350" i="1" s="1"/>
  <c r="X10" i="17"/>
  <c r="I350" i="1" s="1"/>
  <c r="X11" i="17"/>
  <c r="J350" i="1" s="1"/>
  <c r="X12" i="17"/>
  <c r="K350" i="1" s="1"/>
  <c r="X13" i="17"/>
  <c r="L350" i="1" s="1"/>
  <c r="X14" i="17"/>
  <c r="M350" i="1" s="1"/>
  <c r="X15" i="17"/>
  <c r="N350" i="1" s="1"/>
  <c r="X16" i="17"/>
  <c r="O350" i="1" s="1"/>
  <c r="X17" i="17"/>
  <c r="P350" i="1" s="1"/>
  <c r="X5" i="17"/>
  <c r="D350" i="1" s="1"/>
  <c r="W6" i="17"/>
  <c r="E349" i="1" s="1"/>
  <c r="W7" i="17"/>
  <c r="F349" i="1" s="1"/>
  <c r="W8" i="17"/>
  <c r="G349" i="1" s="1"/>
  <c r="W9" i="17"/>
  <c r="H349" i="1" s="1"/>
  <c r="W10" i="17"/>
  <c r="I349" i="1" s="1"/>
  <c r="W11" i="17"/>
  <c r="J349" i="1" s="1"/>
  <c r="W12" i="17"/>
  <c r="K349" i="1" s="1"/>
  <c r="W13" i="17"/>
  <c r="L349" i="1" s="1"/>
  <c r="W14" i="17"/>
  <c r="M349" i="1" s="1"/>
  <c r="W15" i="17"/>
  <c r="N349" i="1" s="1"/>
  <c r="W16" i="17"/>
  <c r="O349" i="1" s="1"/>
  <c r="W17" i="17"/>
  <c r="P349" i="1" s="1"/>
  <c r="W5" i="17"/>
  <c r="D349" i="1" s="1"/>
  <c r="V6" i="17"/>
  <c r="E351" i="1" s="1"/>
  <c r="V7" i="17"/>
  <c r="F351" i="1" s="1"/>
  <c r="V8" i="17"/>
  <c r="G351" i="1" s="1"/>
  <c r="V9" i="17"/>
  <c r="H351" i="1" s="1"/>
  <c r="V10" i="17"/>
  <c r="I351" i="1" s="1"/>
  <c r="V11" i="17"/>
  <c r="J351" i="1" s="1"/>
  <c r="V12" i="17"/>
  <c r="K351" i="1" s="1"/>
  <c r="V13" i="17"/>
  <c r="L351" i="1" s="1"/>
  <c r="V14" i="17"/>
  <c r="M351" i="1" s="1"/>
  <c r="V15" i="17"/>
  <c r="N351" i="1" s="1"/>
  <c r="V16" i="17"/>
  <c r="O351" i="1" s="1"/>
  <c r="V17" i="17"/>
  <c r="P351" i="1" s="1"/>
  <c r="V5" i="17"/>
  <c r="D351" i="1" s="1"/>
  <c r="U6" i="17"/>
  <c r="E348" i="1" s="1"/>
  <c r="U7" i="17"/>
  <c r="F348" i="1" s="1"/>
  <c r="U8" i="17"/>
  <c r="G348" i="1" s="1"/>
  <c r="U9" i="17"/>
  <c r="H348" i="1" s="1"/>
  <c r="U10" i="17"/>
  <c r="I348" i="1" s="1"/>
  <c r="U11" i="17"/>
  <c r="J348" i="1" s="1"/>
  <c r="U12" i="17"/>
  <c r="K348" i="1" s="1"/>
  <c r="U13" i="17"/>
  <c r="L348" i="1" s="1"/>
  <c r="U14" i="17"/>
  <c r="M348" i="1" s="1"/>
  <c r="U15" i="17"/>
  <c r="N348" i="1" s="1"/>
  <c r="U16" i="17"/>
  <c r="O348" i="1" s="1"/>
  <c r="U17" i="17"/>
  <c r="P348" i="1" s="1"/>
  <c r="U5" i="17"/>
  <c r="D348" i="1" s="1"/>
  <c r="AZ4" i="17"/>
  <c r="D338" i="1" s="1"/>
  <c r="AZ5" i="17"/>
  <c r="E338" i="1" s="1"/>
  <c r="BA5" i="17"/>
  <c r="E336" i="1" s="1"/>
  <c r="BB5" i="17"/>
  <c r="E337" i="1" s="1"/>
  <c r="BC5" i="17"/>
  <c r="E339" i="1" s="1"/>
  <c r="BD5" i="17"/>
  <c r="E340" i="1" s="1"/>
  <c r="BE5" i="17"/>
  <c r="E341" i="1" s="1"/>
  <c r="BF5" i="17"/>
  <c r="E342" i="1" s="1"/>
  <c r="AZ6" i="17"/>
  <c r="F338" i="1" s="1"/>
  <c r="BA6" i="17"/>
  <c r="F336" i="1" s="1"/>
  <c r="BB6" i="17"/>
  <c r="F337" i="1" s="1"/>
  <c r="BC6" i="17"/>
  <c r="F339" i="1" s="1"/>
  <c r="BD6" i="17"/>
  <c r="F340" i="1" s="1"/>
  <c r="BE6" i="17"/>
  <c r="F341" i="1" s="1"/>
  <c r="BF6" i="17"/>
  <c r="F342" i="1" s="1"/>
  <c r="AZ7" i="17"/>
  <c r="G338" i="1" s="1"/>
  <c r="BA7" i="17"/>
  <c r="G336" i="1" s="1"/>
  <c r="BB7" i="17"/>
  <c r="G337" i="1" s="1"/>
  <c r="BC7" i="17"/>
  <c r="G339" i="1" s="1"/>
  <c r="BD7" i="17"/>
  <c r="G340" i="1" s="1"/>
  <c r="BE7" i="17"/>
  <c r="G341" i="1" s="1"/>
  <c r="BF7" i="17"/>
  <c r="G342" i="1" s="1"/>
  <c r="AZ8" i="17"/>
  <c r="H338" i="1" s="1"/>
  <c r="BA8" i="17"/>
  <c r="H336" i="1" s="1"/>
  <c r="BB8" i="17"/>
  <c r="H337" i="1" s="1"/>
  <c r="BC8" i="17"/>
  <c r="H339" i="1" s="1"/>
  <c r="BD8" i="17"/>
  <c r="H340" i="1" s="1"/>
  <c r="BE8" i="17"/>
  <c r="H341" i="1" s="1"/>
  <c r="BF8" i="17"/>
  <c r="H342" i="1" s="1"/>
  <c r="AZ9" i="17"/>
  <c r="I338" i="1" s="1"/>
  <c r="BA9" i="17"/>
  <c r="I336" i="1" s="1"/>
  <c r="BB9" i="17"/>
  <c r="I337" i="1" s="1"/>
  <c r="BC9" i="17"/>
  <c r="I339" i="1" s="1"/>
  <c r="BD9" i="17"/>
  <c r="I340" i="1" s="1"/>
  <c r="BE9" i="17"/>
  <c r="I341" i="1" s="1"/>
  <c r="BF9" i="17"/>
  <c r="I342" i="1" s="1"/>
  <c r="AZ10" i="17"/>
  <c r="J338" i="1" s="1"/>
  <c r="BA10" i="17"/>
  <c r="J336" i="1" s="1"/>
  <c r="BB10" i="17"/>
  <c r="J337" i="1" s="1"/>
  <c r="BC10" i="17"/>
  <c r="J339" i="1" s="1"/>
  <c r="BD10" i="17"/>
  <c r="J340" i="1" s="1"/>
  <c r="BE10" i="17"/>
  <c r="J341" i="1" s="1"/>
  <c r="BF10" i="17"/>
  <c r="J342" i="1" s="1"/>
  <c r="AZ11" i="17"/>
  <c r="K338" i="1" s="1"/>
  <c r="BA11" i="17"/>
  <c r="K336" i="1" s="1"/>
  <c r="BB11" i="17"/>
  <c r="K337" i="1" s="1"/>
  <c r="BC11" i="17"/>
  <c r="K339" i="1" s="1"/>
  <c r="BD11" i="17"/>
  <c r="K340" i="1" s="1"/>
  <c r="BE11" i="17"/>
  <c r="K341" i="1" s="1"/>
  <c r="BF11" i="17"/>
  <c r="K342" i="1" s="1"/>
  <c r="AZ12" i="17"/>
  <c r="L338" i="1" s="1"/>
  <c r="BA12" i="17"/>
  <c r="L336" i="1" s="1"/>
  <c r="BB12" i="17"/>
  <c r="L337" i="1" s="1"/>
  <c r="BC12" i="17"/>
  <c r="L339" i="1" s="1"/>
  <c r="BD12" i="17"/>
  <c r="L340" i="1" s="1"/>
  <c r="BE12" i="17"/>
  <c r="L341" i="1" s="1"/>
  <c r="BF12" i="17"/>
  <c r="L342" i="1" s="1"/>
  <c r="AZ13" i="17"/>
  <c r="M338" i="1" s="1"/>
  <c r="BA13" i="17"/>
  <c r="M336" i="1" s="1"/>
  <c r="BB13" i="17"/>
  <c r="M337" i="1" s="1"/>
  <c r="BC13" i="17"/>
  <c r="M339" i="1" s="1"/>
  <c r="BD13" i="17"/>
  <c r="M340" i="1" s="1"/>
  <c r="BE13" i="17"/>
  <c r="M341" i="1" s="1"/>
  <c r="BF13" i="17"/>
  <c r="M342" i="1" s="1"/>
  <c r="AZ14" i="17"/>
  <c r="N338" i="1" s="1"/>
  <c r="BA14" i="17"/>
  <c r="N336" i="1" s="1"/>
  <c r="BB14" i="17"/>
  <c r="N337" i="1" s="1"/>
  <c r="BC14" i="17"/>
  <c r="N339" i="1" s="1"/>
  <c r="BD14" i="17"/>
  <c r="N340" i="1" s="1"/>
  <c r="BE14" i="17"/>
  <c r="N341" i="1" s="1"/>
  <c r="BF14" i="17"/>
  <c r="N342" i="1" s="1"/>
  <c r="AZ15" i="17"/>
  <c r="O338" i="1" s="1"/>
  <c r="BA15" i="17"/>
  <c r="O336" i="1" s="1"/>
  <c r="BB15" i="17"/>
  <c r="O337" i="1" s="1"/>
  <c r="BC15" i="17"/>
  <c r="O339" i="1" s="1"/>
  <c r="BD15" i="17"/>
  <c r="O340" i="1" s="1"/>
  <c r="BE15" i="17"/>
  <c r="O341" i="1" s="1"/>
  <c r="BF15" i="17"/>
  <c r="O342" i="1" s="1"/>
  <c r="AZ16" i="17"/>
  <c r="P338" i="1" s="1"/>
  <c r="BA16" i="17"/>
  <c r="P336" i="1" s="1"/>
  <c r="BB16" i="17"/>
  <c r="P337" i="1" s="1"/>
  <c r="BC16" i="17"/>
  <c r="P339" i="1" s="1"/>
  <c r="BD16" i="17"/>
  <c r="P340" i="1" s="1"/>
  <c r="BE16" i="17"/>
  <c r="P341" i="1" s="1"/>
  <c r="BF16" i="17"/>
  <c r="P342" i="1" s="1"/>
  <c r="AY5" i="17"/>
  <c r="E335" i="1" s="1"/>
  <c r="AY6" i="17"/>
  <c r="F335" i="1" s="1"/>
  <c r="AY7" i="17"/>
  <c r="G335" i="1" s="1"/>
  <c r="AY8" i="17"/>
  <c r="H335" i="1" s="1"/>
  <c r="AY9" i="17"/>
  <c r="I335" i="1" s="1"/>
  <c r="AY10" i="17"/>
  <c r="J335" i="1" s="1"/>
  <c r="AY11" i="17"/>
  <c r="K335" i="1" s="1"/>
  <c r="AY12" i="17"/>
  <c r="L335" i="1" s="1"/>
  <c r="AY13" i="17"/>
  <c r="M335" i="1" s="1"/>
  <c r="AY14" i="17"/>
  <c r="N335" i="1" s="1"/>
  <c r="AY15" i="17"/>
  <c r="O335" i="1" s="1"/>
  <c r="AY16" i="17"/>
  <c r="P335" i="1" s="1"/>
  <c r="AY4" i="17"/>
  <c r="D335" i="1" s="1"/>
  <c r="BF4" i="17"/>
  <c r="D342" i="1" s="1"/>
  <c r="BE4" i="17"/>
  <c r="D341" i="1" s="1"/>
  <c r="BD4" i="17"/>
  <c r="D340" i="1" s="1"/>
  <c r="BC4" i="17"/>
  <c r="D339" i="1" s="1"/>
  <c r="BB4" i="17"/>
  <c r="D337" i="1" s="1"/>
  <c r="BA4" i="17"/>
  <c r="D336" i="1" s="1"/>
  <c r="D223" i="1"/>
  <c r="N16" i="7"/>
  <c r="P223" i="1" s="1"/>
  <c r="E324" i="1" l="1"/>
  <c r="F324" i="1"/>
  <c r="G324" i="1"/>
  <c r="H324" i="1"/>
  <c r="I324" i="1"/>
  <c r="J324" i="1"/>
  <c r="K324" i="1"/>
  <c r="L324" i="1"/>
  <c r="M324" i="1"/>
  <c r="N324" i="1"/>
  <c r="O324" i="1"/>
  <c r="P324" i="1"/>
  <c r="E323" i="1"/>
  <c r="F323" i="1"/>
  <c r="G323" i="1"/>
  <c r="H323" i="1"/>
  <c r="I323" i="1"/>
  <c r="J323" i="1"/>
  <c r="K323" i="1"/>
  <c r="L323" i="1"/>
  <c r="M323" i="1"/>
  <c r="N323" i="1"/>
  <c r="O323" i="1"/>
  <c r="P323" i="1"/>
  <c r="E322" i="1"/>
  <c r="F322" i="1"/>
  <c r="G322" i="1"/>
  <c r="H322" i="1"/>
  <c r="I322" i="1"/>
  <c r="J322" i="1"/>
  <c r="K322" i="1"/>
  <c r="L322" i="1"/>
  <c r="M322" i="1"/>
  <c r="N322" i="1"/>
  <c r="O322" i="1"/>
  <c r="P322" i="1"/>
  <c r="D324" i="1"/>
  <c r="D323" i="1"/>
  <c r="D322" i="1"/>
  <c r="E321" i="1"/>
  <c r="F321" i="1"/>
  <c r="G321" i="1"/>
  <c r="H321" i="1"/>
  <c r="I321" i="1"/>
  <c r="J321" i="1"/>
  <c r="K321" i="1"/>
  <c r="L321" i="1"/>
  <c r="M321" i="1"/>
  <c r="N321" i="1"/>
  <c r="O321" i="1"/>
  <c r="P321" i="1"/>
  <c r="D321" i="1"/>
  <c r="E320" i="1"/>
  <c r="F320" i="1"/>
  <c r="G320" i="1"/>
  <c r="H320" i="1"/>
  <c r="I320" i="1"/>
  <c r="J320" i="1"/>
  <c r="K320" i="1"/>
  <c r="L320" i="1"/>
  <c r="M320" i="1"/>
  <c r="N320" i="1"/>
  <c r="O320" i="1"/>
  <c r="P320" i="1"/>
  <c r="D320" i="1"/>
  <c r="E319" i="1"/>
  <c r="F319" i="1"/>
  <c r="G319" i="1"/>
  <c r="H319" i="1"/>
  <c r="I319" i="1"/>
  <c r="J319" i="1"/>
  <c r="K319" i="1"/>
  <c r="L319" i="1"/>
  <c r="M319" i="1"/>
  <c r="N319" i="1"/>
  <c r="O319" i="1"/>
  <c r="P319" i="1"/>
  <c r="D319" i="1"/>
  <c r="E318" i="1"/>
  <c r="F318" i="1"/>
  <c r="G318" i="1"/>
  <c r="H318" i="1"/>
  <c r="I318" i="1"/>
  <c r="J318" i="1"/>
  <c r="K318" i="1"/>
  <c r="L318" i="1"/>
  <c r="M318" i="1"/>
  <c r="N318" i="1"/>
  <c r="O318" i="1"/>
  <c r="P318" i="1"/>
  <c r="D318" i="1"/>
  <c r="E317" i="1"/>
  <c r="F317" i="1"/>
  <c r="G317" i="1"/>
  <c r="H317" i="1"/>
  <c r="I317" i="1"/>
  <c r="J317" i="1"/>
  <c r="K317" i="1"/>
  <c r="L317" i="1"/>
  <c r="M317" i="1"/>
  <c r="N317" i="1"/>
  <c r="O317" i="1"/>
  <c r="P317" i="1"/>
  <c r="D317" i="1"/>
  <c r="D96" i="1" l="1"/>
  <c r="D193" i="1"/>
  <c r="D84" i="1" l="1"/>
  <c r="AN292" i="4"/>
  <c r="AM292" i="4" l="1"/>
  <c r="Q4" i="3" l="1"/>
  <c r="D8" i="1" s="1"/>
  <c r="AU193" i="4" l="1"/>
  <c r="AU194" i="4"/>
  <c r="AU195" i="4"/>
  <c r="AU196" i="4"/>
  <c r="AU197" i="4"/>
  <c r="AU198" i="4"/>
  <c r="AU199" i="4"/>
  <c r="AU200" i="4"/>
  <c r="AU201" i="4"/>
  <c r="AU202" i="4"/>
  <c r="AU203" i="4"/>
  <c r="AU204" i="4"/>
  <c r="AU205" i="4"/>
  <c r="AU206" i="4"/>
  <c r="AU207" i="4"/>
  <c r="AU208" i="4"/>
  <c r="AU209" i="4"/>
  <c r="AU210" i="4"/>
  <c r="AU211" i="4"/>
  <c r="AU212" i="4"/>
  <c r="AU213" i="4"/>
  <c r="AU214" i="4"/>
  <c r="AU215" i="4"/>
  <c r="AU216" i="4"/>
  <c r="AU217" i="4"/>
  <c r="AU218" i="4"/>
  <c r="AU219" i="4"/>
  <c r="AU220" i="4"/>
  <c r="AU221" i="4"/>
  <c r="AU222" i="4"/>
  <c r="AU223" i="4"/>
  <c r="AU224" i="4"/>
  <c r="AU225" i="4"/>
  <c r="AU226" i="4"/>
  <c r="AU227" i="4"/>
  <c r="AU228" i="4"/>
  <c r="AU229" i="4"/>
  <c r="AU230" i="4"/>
  <c r="AU231" i="4"/>
  <c r="AU232" i="4"/>
  <c r="AU233" i="4"/>
  <c r="AU234" i="4"/>
  <c r="AU235" i="4"/>
  <c r="AU236" i="4"/>
  <c r="AU237" i="4"/>
  <c r="AU238" i="4"/>
  <c r="AU239" i="4"/>
  <c r="AU240" i="4"/>
  <c r="AU241" i="4"/>
  <c r="AU242" i="4"/>
  <c r="AU243" i="4"/>
  <c r="AU244" i="4"/>
  <c r="AU245" i="4"/>
  <c r="AU246" i="4"/>
  <c r="AU247" i="4"/>
  <c r="AU248" i="4"/>
  <c r="AU249" i="4"/>
  <c r="AU250" i="4"/>
  <c r="AU251" i="4"/>
  <c r="AU252" i="4"/>
  <c r="AU253" i="4"/>
  <c r="AU254" i="4"/>
  <c r="AU255" i="4"/>
  <c r="AU256" i="4"/>
  <c r="AU257" i="4"/>
  <c r="AU258" i="4"/>
  <c r="AU259" i="4"/>
  <c r="AU260" i="4"/>
  <c r="AU261" i="4"/>
  <c r="AU262" i="4"/>
  <c r="AU263" i="4"/>
  <c r="AU264" i="4"/>
  <c r="AU265" i="4"/>
  <c r="AU266" i="4"/>
  <c r="AU267" i="4"/>
  <c r="AU268" i="4"/>
  <c r="AU269" i="4"/>
  <c r="AU270" i="4"/>
  <c r="AU271" i="4"/>
  <c r="AU272" i="4"/>
  <c r="AU273" i="4"/>
  <c r="AU274" i="4"/>
  <c r="AU150" i="4" l="1"/>
  <c r="E12" i="11"/>
  <c r="E11" i="11"/>
  <c r="E10" i="11"/>
  <c r="E9" i="11"/>
  <c r="E7" i="11"/>
  <c r="E6" i="11"/>
  <c r="E13" i="11"/>
  <c r="AM433" i="4" l="1"/>
  <c r="AM434" i="4"/>
  <c r="AM435" i="4"/>
  <c r="AM436" i="4"/>
  <c r="AM437" i="4"/>
  <c r="AM438" i="4"/>
  <c r="AM439" i="4"/>
  <c r="AM440" i="4"/>
  <c r="AM441" i="4"/>
  <c r="AM442" i="4"/>
  <c r="AM443" i="4"/>
  <c r="AM444" i="4"/>
  <c r="AM445" i="4"/>
  <c r="AM446" i="4"/>
  <c r="AM447" i="4"/>
  <c r="AM448" i="4"/>
  <c r="AM449" i="4"/>
  <c r="AM450" i="4"/>
  <c r="AM451" i="4"/>
  <c r="AM452" i="4"/>
  <c r="AM453" i="4"/>
  <c r="AM454" i="4"/>
  <c r="AM455" i="4"/>
  <c r="AM456" i="4"/>
  <c r="AM457" i="4"/>
  <c r="AM458" i="4"/>
  <c r="AM459" i="4"/>
  <c r="AM460" i="4"/>
  <c r="AM461" i="4"/>
  <c r="AM462" i="4"/>
  <c r="AM463" i="4"/>
  <c r="AM464" i="4"/>
  <c r="AM465" i="4"/>
  <c r="AM466" i="4"/>
  <c r="AM467" i="4"/>
  <c r="AM468" i="4"/>
  <c r="AM469" i="4"/>
  <c r="AM470" i="4"/>
  <c r="AM471" i="4"/>
  <c r="AM472" i="4"/>
  <c r="AM473" i="4"/>
  <c r="AM474" i="4"/>
  <c r="AM475" i="4"/>
  <c r="AM476" i="4"/>
  <c r="AM477" i="4"/>
  <c r="AM478" i="4"/>
  <c r="AM479" i="4"/>
  <c r="AM480" i="4"/>
  <c r="AM481" i="4"/>
  <c r="AM482" i="4"/>
  <c r="AM483" i="4"/>
  <c r="AM484" i="4"/>
  <c r="AM485" i="4"/>
  <c r="AM486" i="4"/>
  <c r="AM487" i="4"/>
  <c r="AM488" i="4"/>
  <c r="AM489" i="4"/>
  <c r="AM490" i="4"/>
  <c r="AM491" i="4"/>
  <c r="AM492" i="4"/>
  <c r="AM493" i="4"/>
  <c r="AM494" i="4"/>
  <c r="AM495" i="4"/>
  <c r="AM496" i="4"/>
  <c r="AM497" i="4"/>
  <c r="AM498" i="4"/>
  <c r="AM499" i="4"/>
  <c r="AM500" i="4"/>
  <c r="AM501" i="4"/>
  <c r="AM502" i="4"/>
  <c r="AM503" i="4"/>
  <c r="AM504" i="4"/>
  <c r="AM505" i="4"/>
  <c r="AM506" i="4"/>
  <c r="AM507" i="4"/>
  <c r="AM508" i="4"/>
  <c r="AM509" i="4"/>
  <c r="AM510" i="4"/>
  <c r="AM511" i="4"/>
  <c r="AM512" i="4"/>
  <c r="AM513" i="4"/>
  <c r="AM514" i="4"/>
  <c r="AM515" i="4"/>
  <c r="AM516" i="4"/>
  <c r="AM517" i="4"/>
  <c r="AM518" i="4"/>
  <c r="AM519" i="4"/>
  <c r="AM520" i="4"/>
  <c r="AM521" i="4"/>
  <c r="AM522" i="4"/>
  <c r="AM523" i="4"/>
  <c r="AM524" i="4"/>
  <c r="AM525" i="4"/>
  <c r="AM526" i="4"/>
  <c r="AM527" i="4"/>
  <c r="AM528" i="4"/>
  <c r="AM529" i="4"/>
  <c r="AM530" i="4"/>
  <c r="AM531" i="4"/>
  <c r="AM532" i="4"/>
  <c r="AM533" i="4"/>
  <c r="AM534" i="4"/>
  <c r="AM535" i="4"/>
  <c r="AM536" i="4"/>
  <c r="AM537" i="4"/>
  <c r="AM538" i="4"/>
  <c r="AM539" i="4"/>
  <c r="AM540" i="4"/>
  <c r="AM541" i="4"/>
  <c r="AM542" i="4"/>
  <c r="AM543" i="4"/>
  <c r="AM544" i="4"/>
  <c r="AM545" i="4"/>
  <c r="AM546" i="4"/>
  <c r="AM547" i="4"/>
  <c r="AM548" i="4"/>
  <c r="AM549" i="4"/>
  <c r="AM550" i="4"/>
  <c r="AM551" i="4"/>
  <c r="AM552" i="4"/>
  <c r="AM553" i="4"/>
  <c r="AM554" i="4"/>
  <c r="AM555" i="4"/>
  <c r="AM556" i="4"/>
  <c r="AM557" i="4"/>
  <c r="AM293" i="4"/>
  <c r="AM294" i="4"/>
  <c r="AM295" i="4"/>
  <c r="AM296" i="4"/>
  <c r="AM297" i="4"/>
  <c r="AM298" i="4"/>
  <c r="AM299" i="4"/>
  <c r="AM300" i="4"/>
  <c r="AM301" i="4"/>
  <c r="AM302" i="4"/>
  <c r="AM303" i="4"/>
  <c r="AM304" i="4"/>
  <c r="AM305" i="4"/>
  <c r="AM306" i="4"/>
  <c r="AM307" i="4"/>
  <c r="AM308" i="4"/>
  <c r="AM309" i="4"/>
  <c r="AM310" i="4"/>
  <c r="AM311" i="4"/>
  <c r="AM312" i="4"/>
  <c r="AM313" i="4"/>
  <c r="AM314" i="4"/>
  <c r="AM315" i="4"/>
  <c r="AM316" i="4"/>
  <c r="AM317" i="4"/>
  <c r="AM318" i="4"/>
  <c r="AM319" i="4"/>
  <c r="AM320" i="4"/>
  <c r="AM321" i="4"/>
  <c r="AM322" i="4"/>
  <c r="AM323" i="4"/>
  <c r="AM324" i="4"/>
  <c r="AM325" i="4"/>
  <c r="AM326" i="4"/>
  <c r="AM327" i="4"/>
  <c r="AM328" i="4"/>
  <c r="AM329" i="4"/>
  <c r="AM330" i="4"/>
  <c r="AM331" i="4"/>
  <c r="AM332" i="4"/>
  <c r="AM333" i="4"/>
  <c r="AM334" i="4"/>
  <c r="AM335" i="4"/>
  <c r="AM336" i="4"/>
  <c r="AM337" i="4"/>
  <c r="AM338" i="4"/>
  <c r="AM339" i="4"/>
  <c r="AM340" i="4"/>
  <c r="AM341" i="4"/>
  <c r="AM342" i="4"/>
  <c r="AM343" i="4"/>
  <c r="AM344" i="4"/>
  <c r="AM345" i="4"/>
  <c r="AM346" i="4"/>
  <c r="AM347" i="4"/>
  <c r="AM348" i="4"/>
  <c r="AM349" i="4"/>
  <c r="AM350" i="4"/>
  <c r="AM351" i="4"/>
  <c r="AM352" i="4"/>
  <c r="AM353" i="4"/>
  <c r="AM354" i="4"/>
  <c r="AM355" i="4"/>
  <c r="AM356" i="4"/>
  <c r="AM357" i="4"/>
  <c r="AM358" i="4"/>
  <c r="AM359" i="4"/>
  <c r="AM360" i="4"/>
  <c r="AM361" i="4"/>
  <c r="AM362" i="4"/>
  <c r="AM363" i="4"/>
  <c r="AM364" i="4"/>
  <c r="AM365" i="4"/>
  <c r="AM366" i="4"/>
  <c r="AM367" i="4"/>
  <c r="AM368" i="4"/>
  <c r="AM369" i="4"/>
  <c r="AM370" i="4"/>
  <c r="AM371" i="4"/>
  <c r="AM372" i="4"/>
  <c r="AM373" i="4"/>
  <c r="AM374" i="4"/>
  <c r="AM375" i="4"/>
  <c r="AM376" i="4"/>
  <c r="AM377" i="4"/>
  <c r="AM378" i="4"/>
  <c r="AM379" i="4"/>
  <c r="AM380" i="4"/>
  <c r="AM381" i="4"/>
  <c r="AM382" i="4"/>
  <c r="AM383" i="4"/>
  <c r="AM384" i="4"/>
  <c r="AM385" i="4"/>
  <c r="AM386" i="4"/>
  <c r="AM387" i="4"/>
  <c r="AM388" i="4"/>
  <c r="AM389" i="4"/>
  <c r="AM390" i="4"/>
  <c r="AM391" i="4"/>
  <c r="AM392" i="4"/>
  <c r="AM393" i="4"/>
  <c r="AM394" i="4"/>
  <c r="AM395" i="4"/>
  <c r="AM396" i="4"/>
  <c r="AM397" i="4"/>
  <c r="AM398" i="4"/>
  <c r="AM399" i="4"/>
  <c r="AM400" i="4"/>
  <c r="AM401" i="4"/>
  <c r="AM402" i="4"/>
  <c r="AM403" i="4"/>
  <c r="AM404" i="4"/>
  <c r="AM405" i="4"/>
  <c r="AM406" i="4"/>
  <c r="AM407" i="4"/>
  <c r="AM408" i="4"/>
  <c r="AM409" i="4"/>
  <c r="AM410" i="4"/>
  <c r="AM411" i="4"/>
  <c r="AM412" i="4"/>
  <c r="AM413" i="4"/>
  <c r="AM414" i="4"/>
  <c r="AM415" i="4"/>
  <c r="AM416" i="4"/>
  <c r="AM193" i="4"/>
  <c r="AM194" i="4"/>
  <c r="AM195" i="4"/>
  <c r="AM196" i="4"/>
  <c r="AM197" i="4"/>
  <c r="AM198" i="4"/>
  <c r="AM199" i="4"/>
  <c r="AM200" i="4"/>
  <c r="AM201" i="4"/>
  <c r="AM202" i="4"/>
  <c r="AM203" i="4"/>
  <c r="AM204" i="4"/>
  <c r="AM205" i="4"/>
  <c r="AM206" i="4"/>
  <c r="AM207" i="4"/>
  <c r="AM208" i="4"/>
  <c r="AM209" i="4"/>
  <c r="AM210" i="4"/>
  <c r="AM211" i="4"/>
  <c r="AM212" i="4"/>
  <c r="AM213" i="4"/>
  <c r="AM214" i="4"/>
  <c r="AM215" i="4"/>
  <c r="AM216" i="4"/>
  <c r="AM217" i="4"/>
  <c r="AM218" i="4"/>
  <c r="AM219" i="4"/>
  <c r="AM220" i="4"/>
  <c r="AM221" i="4"/>
  <c r="AM222" i="4"/>
  <c r="AM223" i="4"/>
  <c r="AM224" i="4"/>
  <c r="AM225" i="4"/>
  <c r="AM226" i="4"/>
  <c r="AM227" i="4"/>
  <c r="AM228" i="4"/>
  <c r="AM229" i="4"/>
  <c r="AM230" i="4"/>
  <c r="AM231" i="4"/>
  <c r="AM232" i="4"/>
  <c r="AM233" i="4"/>
  <c r="AM234" i="4"/>
  <c r="AM235" i="4"/>
  <c r="AM236" i="4"/>
  <c r="AM237" i="4"/>
  <c r="AM238" i="4"/>
  <c r="AM239" i="4"/>
  <c r="AM240" i="4"/>
  <c r="AM241" i="4"/>
  <c r="AM242" i="4"/>
  <c r="AM243" i="4"/>
  <c r="AM244" i="4"/>
  <c r="AM245" i="4"/>
  <c r="AM246" i="4"/>
  <c r="AM247" i="4"/>
  <c r="AM248" i="4"/>
  <c r="AM249" i="4"/>
  <c r="AM250" i="4"/>
  <c r="AM251" i="4"/>
  <c r="AM252" i="4"/>
  <c r="AM253" i="4"/>
  <c r="AM254" i="4"/>
  <c r="AM255" i="4"/>
  <c r="AM256" i="4"/>
  <c r="AM257" i="4"/>
  <c r="AM258" i="4"/>
  <c r="AM259" i="4"/>
  <c r="AM260" i="4"/>
  <c r="AM261" i="4"/>
  <c r="AM262" i="4"/>
  <c r="AM263" i="4"/>
  <c r="AM264" i="4"/>
  <c r="AM265" i="4"/>
  <c r="AM266" i="4"/>
  <c r="AM267" i="4"/>
  <c r="AM268" i="4"/>
  <c r="AM269" i="4"/>
  <c r="AM270" i="4"/>
  <c r="AM271" i="4"/>
  <c r="AM272" i="4"/>
  <c r="AM273" i="4"/>
  <c r="AM274" i="4"/>
  <c r="F163" i="1"/>
  <c r="AD6" i="3"/>
  <c r="AD7" i="3" s="1"/>
  <c r="BA28" i="7"/>
  <c r="I248" i="1" s="1"/>
  <c r="BE24" i="7"/>
  <c r="E254" i="1" s="1"/>
  <c r="BE25" i="7"/>
  <c r="F254" i="1" s="1"/>
  <c r="BE26" i="7"/>
  <c r="G254" i="1" s="1"/>
  <c r="BE27" i="7"/>
  <c r="H254" i="1" s="1"/>
  <c r="BE28" i="7"/>
  <c r="I254" i="1" s="1"/>
  <c r="BE29" i="7"/>
  <c r="J254" i="1" s="1"/>
  <c r="BE30" i="7"/>
  <c r="K254" i="1" s="1"/>
  <c r="BE31" i="7"/>
  <c r="L254" i="1" s="1"/>
  <c r="BE32" i="7"/>
  <c r="M254" i="1" s="1"/>
  <c r="BE33" i="7"/>
  <c r="N254" i="1" s="1"/>
  <c r="BE34" i="7"/>
  <c r="O254" i="1" s="1"/>
  <c r="BE35" i="7"/>
  <c r="P254" i="1" s="1"/>
  <c r="BD24" i="7"/>
  <c r="E253" i="1" s="1"/>
  <c r="BD25" i="7"/>
  <c r="F253" i="1" s="1"/>
  <c r="BD26" i="7"/>
  <c r="G253" i="1" s="1"/>
  <c r="BD27" i="7"/>
  <c r="H253" i="1" s="1"/>
  <c r="BD28" i="7"/>
  <c r="I253" i="1" s="1"/>
  <c r="BD29" i="7"/>
  <c r="J253" i="1" s="1"/>
  <c r="BD30" i="7"/>
  <c r="K253" i="1" s="1"/>
  <c r="BD31" i="7"/>
  <c r="L253" i="1" s="1"/>
  <c r="BD32" i="7"/>
  <c r="M253" i="1" s="1"/>
  <c r="BD33" i="7"/>
  <c r="N253" i="1" s="1"/>
  <c r="BD34" i="7"/>
  <c r="O253" i="1" s="1"/>
  <c r="BD35" i="7"/>
  <c r="P253" i="1" s="1"/>
  <c r="BG24" i="7"/>
  <c r="E252" i="1" s="1"/>
  <c r="BG25" i="7"/>
  <c r="F252" i="1" s="1"/>
  <c r="BG26" i="7"/>
  <c r="G252" i="1" s="1"/>
  <c r="BG27" i="7"/>
  <c r="H252" i="1" s="1"/>
  <c r="BG28" i="7"/>
  <c r="I252" i="1" s="1"/>
  <c r="BG29" i="7"/>
  <c r="J252" i="1" s="1"/>
  <c r="BG30" i="7"/>
  <c r="K252" i="1" s="1"/>
  <c r="BG31" i="7"/>
  <c r="L252" i="1" s="1"/>
  <c r="BG32" i="7"/>
  <c r="M252" i="1" s="1"/>
  <c r="BG33" i="7"/>
  <c r="N252" i="1" s="1"/>
  <c r="BG34" i="7"/>
  <c r="O252" i="1" s="1"/>
  <c r="BG35" i="7"/>
  <c r="P252" i="1" s="1"/>
  <c r="BG23" i="7"/>
  <c r="D252" i="1" s="1"/>
  <c r="BC24" i="7"/>
  <c r="E251" i="1" s="1"/>
  <c r="BC25" i="7"/>
  <c r="F251" i="1" s="1"/>
  <c r="BC26" i="7"/>
  <c r="G251" i="1" s="1"/>
  <c r="BC27" i="7"/>
  <c r="H251" i="1" s="1"/>
  <c r="BC28" i="7"/>
  <c r="I251" i="1" s="1"/>
  <c r="BC29" i="7"/>
  <c r="J251" i="1" s="1"/>
  <c r="BC30" i="7"/>
  <c r="K251" i="1" s="1"/>
  <c r="BC31" i="7"/>
  <c r="L251" i="1" s="1"/>
  <c r="BC32" i="7"/>
  <c r="M251" i="1" s="1"/>
  <c r="BC33" i="7"/>
  <c r="N251" i="1" s="1"/>
  <c r="BC34" i="7"/>
  <c r="O251" i="1" s="1"/>
  <c r="BC35" i="7"/>
  <c r="P251" i="1" s="1"/>
  <c r="BF24" i="7"/>
  <c r="E250" i="1" s="1"/>
  <c r="BF25" i="7"/>
  <c r="F250" i="1" s="1"/>
  <c r="BF26" i="7"/>
  <c r="G250" i="1" s="1"/>
  <c r="BF27" i="7"/>
  <c r="H250" i="1" s="1"/>
  <c r="BF28" i="7"/>
  <c r="I250" i="1" s="1"/>
  <c r="BF29" i="7"/>
  <c r="J250" i="1" s="1"/>
  <c r="BF30" i="7"/>
  <c r="K250" i="1" s="1"/>
  <c r="BF31" i="7"/>
  <c r="L250" i="1" s="1"/>
  <c r="BF32" i="7"/>
  <c r="M250" i="1" s="1"/>
  <c r="BF33" i="7"/>
  <c r="N250" i="1" s="1"/>
  <c r="BF34" i="7"/>
  <c r="O250" i="1" s="1"/>
  <c r="BF35" i="7"/>
  <c r="P250" i="1" s="1"/>
  <c r="BC23" i="7"/>
  <c r="D251" i="1" s="1"/>
  <c r="BF23" i="7"/>
  <c r="D250" i="1" s="1"/>
  <c r="BB24" i="7"/>
  <c r="E249" i="1" s="1"/>
  <c r="BB25" i="7"/>
  <c r="F249" i="1" s="1"/>
  <c r="BB26" i="7"/>
  <c r="G249" i="1" s="1"/>
  <c r="BB27" i="7"/>
  <c r="H249" i="1" s="1"/>
  <c r="BB28" i="7"/>
  <c r="I249" i="1" s="1"/>
  <c r="BB29" i="7"/>
  <c r="J249" i="1" s="1"/>
  <c r="BB30" i="7"/>
  <c r="K249" i="1" s="1"/>
  <c r="BB31" i="7"/>
  <c r="L249" i="1" s="1"/>
  <c r="BB32" i="7"/>
  <c r="M249" i="1" s="1"/>
  <c r="BB33" i="7"/>
  <c r="N249" i="1" s="1"/>
  <c r="BB34" i="7"/>
  <c r="O249" i="1" s="1"/>
  <c r="BB35" i="7"/>
  <c r="P249" i="1" s="1"/>
  <c r="BA24" i="7"/>
  <c r="E248" i="1" s="1"/>
  <c r="BA25" i="7"/>
  <c r="F248" i="1" s="1"/>
  <c r="BA26" i="7"/>
  <c r="G248" i="1" s="1"/>
  <c r="BA27" i="7"/>
  <c r="H248" i="1" s="1"/>
  <c r="BA29" i="7"/>
  <c r="J248" i="1" s="1"/>
  <c r="BA30" i="7"/>
  <c r="K248" i="1" s="1"/>
  <c r="BA31" i="7"/>
  <c r="L248" i="1" s="1"/>
  <c r="BA32" i="7"/>
  <c r="M248" i="1" s="1"/>
  <c r="BA33" i="7"/>
  <c r="N248" i="1" s="1"/>
  <c r="BA34" i="7"/>
  <c r="O248" i="1" s="1"/>
  <c r="BA35" i="7"/>
  <c r="P248" i="1" s="1"/>
  <c r="AZ24" i="7"/>
  <c r="E247" i="1" s="1"/>
  <c r="AZ25" i="7"/>
  <c r="F247" i="1" s="1"/>
  <c r="AZ26" i="7"/>
  <c r="G247" i="1" s="1"/>
  <c r="AZ27" i="7"/>
  <c r="H247" i="1" s="1"/>
  <c r="AZ28" i="7"/>
  <c r="I247" i="1" s="1"/>
  <c r="AZ29" i="7"/>
  <c r="J247" i="1" s="1"/>
  <c r="AZ30" i="7"/>
  <c r="K247" i="1" s="1"/>
  <c r="AZ31" i="7"/>
  <c r="L247" i="1" s="1"/>
  <c r="AZ32" i="7"/>
  <c r="M247" i="1" s="1"/>
  <c r="AZ33" i="7"/>
  <c r="N247" i="1" s="1"/>
  <c r="AZ34" i="7"/>
  <c r="O247" i="1" s="1"/>
  <c r="AZ35" i="7"/>
  <c r="P247" i="1" s="1"/>
  <c r="BE23" i="7"/>
  <c r="D254" i="1" s="1"/>
  <c r="BD23" i="7"/>
  <c r="D253" i="1" s="1"/>
  <c r="BB23" i="7"/>
  <c r="D249" i="1" s="1"/>
  <c r="BA23" i="7"/>
  <c r="D248" i="1" s="1"/>
  <c r="E241" i="1"/>
  <c r="F241" i="1"/>
  <c r="G241" i="1"/>
  <c r="H241" i="1"/>
  <c r="I241" i="1"/>
  <c r="J241" i="1"/>
  <c r="K241" i="1"/>
  <c r="L241" i="1"/>
  <c r="M241" i="1"/>
  <c r="N241" i="1"/>
  <c r="O241" i="1"/>
  <c r="P241" i="1"/>
  <c r="P242" i="1"/>
  <c r="E242" i="1"/>
  <c r="F242" i="1"/>
  <c r="G242" i="1"/>
  <c r="H242" i="1"/>
  <c r="I242" i="1"/>
  <c r="J242" i="1"/>
  <c r="K242" i="1"/>
  <c r="L242" i="1"/>
  <c r="M242" i="1"/>
  <c r="N242" i="1"/>
  <c r="O242" i="1"/>
  <c r="E239" i="1"/>
  <c r="F239" i="1"/>
  <c r="G239" i="1"/>
  <c r="H239" i="1"/>
  <c r="I239" i="1"/>
  <c r="J239" i="1"/>
  <c r="K239" i="1"/>
  <c r="L239" i="1"/>
  <c r="M239" i="1"/>
  <c r="N239" i="1"/>
  <c r="O239" i="1"/>
  <c r="P239" i="1"/>
  <c r="E240" i="1"/>
  <c r="F240" i="1"/>
  <c r="G240" i="1"/>
  <c r="H240" i="1"/>
  <c r="I240" i="1"/>
  <c r="J240" i="1"/>
  <c r="K240" i="1"/>
  <c r="L240" i="1"/>
  <c r="M240" i="1"/>
  <c r="N240" i="1"/>
  <c r="O240" i="1"/>
  <c r="P240" i="1"/>
  <c r="D240" i="1"/>
  <c r="D239" i="1"/>
  <c r="E238" i="1"/>
  <c r="F238" i="1"/>
  <c r="G238" i="1"/>
  <c r="H238" i="1"/>
  <c r="I238" i="1"/>
  <c r="J238" i="1"/>
  <c r="K238" i="1"/>
  <c r="L238" i="1"/>
  <c r="M238" i="1"/>
  <c r="N238" i="1"/>
  <c r="O238" i="1"/>
  <c r="P238" i="1"/>
  <c r="D238" i="1"/>
  <c r="E237" i="1"/>
  <c r="F237" i="1"/>
  <c r="G237" i="1"/>
  <c r="H237" i="1"/>
  <c r="I237" i="1"/>
  <c r="J237" i="1"/>
  <c r="K237" i="1"/>
  <c r="L237" i="1"/>
  <c r="M237" i="1"/>
  <c r="N237" i="1"/>
  <c r="O237" i="1"/>
  <c r="P237" i="1"/>
  <c r="E236" i="1"/>
  <c r="F236" i="1"/>
  <c r="G236" i="1"/>
  <c r="H236" i="1"/>
  <c r="I236" i="1"/>
  <c r="J236" i="1"/>
  <c r="K236" i="1"/>
  <c r="L236" i="1"/>
  <c r="M236" i="1"/>
  <c r="N236" i="1"/>
  <c r="O236" i="1"/>
  <c r="P236" i="1"/>
  <c r="D236" i="1"/>
  <c r="P235" i="1"/>
  <c r="E235" i="1"/>
  <c r="F235" i="1"/>
  <c r="G235" i="1"/>
  <c r="H235" i="1"/>
  <c r="I235" i="1"/>
  <c r="J235" i="1"/>
  <c r="K235" i="1"/>
  <c r="L235" i="1"/>
  <c r="M235" i="1"/>
  <c r="N235" i="1"/>
  <c r="O235" i="1"/>
  <c r="D242" i="1"/>
  <c r="D241" i="1"/>
  <c r="D237" i="1"/>
  <c r="R5" i="7"/>
  <c r="E229" i="1" s="1"/>
  <c r="R6" i="7"/>
  <c r="F229" i="1" s="1"/>
  <c r="R7" i="7"/>
  <c r="G229" i="1" s="1"/>
  <c r="R8" i="7"/>
  <c r="H229" i="1" s="1"/>
  <c r="R9" i="7"/>
  <c r="I229" i="1" s="1"/>
  <c r="R10" i="7"/>
  <c r="J229" i="1" s="1"/>
  <c r="R11" i="7"/>
  <c r="K229" i="1" s="1"/>
  <c r="R12" i="7"/>
  <c r="L229" i="1" s="1"/>
  <c r="R13" i="7"/>
  <c r="M229" i="1" s="1"/>
  <c r="R14" i="7"/>
  <c r="N229" i="1" s="1"/>
  <c r="R15" i="7"/>
  <c r="O229" i="1" s="1"/>
  <c r="R16" i="7"/>
  <c r="P229" i="1" s="1"/>
  <c r="S5" i="7"/>
  <c r="E230" i="1" s="1"/>
  <c r="S6" i="7"/>
  <c r="F230" i="1" s="1"/>
  <c r="S7" i="7"/>
  <c r="G230" i="1" s="1"/>
  <c r="S8" i="7"/>
  <c r="H230" i="1" s="1"/>
  <c r="S9" i="7"/>
  <c r="I230" i="1" s="1"/>
  <c r="S10" i="7"/>
  <c r="J230" i="1" s="1"/>
  <c r="S11" i="7"/>
  <c r="K230" i="1" s="1"/>
  <c r="S12" i="7"/>
  <c r="L230" i="1" s="1"/>
  <c r="S13" i="7"/>
  <c r="M230" i="1" s="1"/>
  <c r="S14" i="7"/>
  <c r="N230" i="1" s="1"/>
  <c r="S15" i="7"/>
  <c r="O230" i="1" s="1"/>
  <c r="S16" i="7"/>
  <c r="P230" i="1" s="1"/>
  <c r="U5" i="7"/>
  <c r="E228" i="1" s="1"/>
  <c r="U6" i="7"/>
  <c r="F228" i="1" s="1"/>
  <c r="U7" i="7"/>
  <c r="G228" i="1" s="1"/>
  <c r="U8" i="7"/>
  <c r="H228" i="1" s="1"/>
  <c r="U9" i="7"/>
  <c r="I228" i="1" s="1"/>
  <c r="U10" i="7"/>
  <c r="J228" i="1" s="1"/>
  <c r="U11" i="7"/>
  <c r="K228" i="1" s="1"/>
  <c r="U12" i="7"/>
  <c r="L228" i="1" s="1"/>
  <c r="U13" i="7"/>
  <c r="M228" i="1" s="1"/>
  <c r="U14" i="7"/>
  <c r="N228" i="1" s="1"/>
  <c r="U15" i="7"/>
  <c r="O228" i="1" s="1"/>
  <c r="U16" i="7"/>
  <c r="P228" i="1" s="1"/>
  <c r="U4" i="7"/>
  <c r="D228" i="1" s="1"/>
  <c r="Q5" i="7"/>
  <c r="E227" i="1" s="1"/>
  <c r="Q6" i="7"/>
  <c r="F227" i="1" s="1"/>
  <c r="Q7" i="7"/>
  <c r="G227" i="1" s="1"/>
  <c r="Q8" i="7"/>
  <c r="H227" i="1" s="1"/>
  <c r="Q9" i="7"/>
  <c r="I227" i="1" s="1"/>
  <c r="Q10" i="7"/>
  <c r="J227" i="1" s="1"/>
  <c r="Q11" i="7"/>
  <c r="K227" i="1" s="1"/>
  <c r="Q12" i="7"/>
  <c r="L227" i="1" s="1"/>
  <c r="Q13" i="7"/>
  <c r="M227" i="1" s="1"/>
  <c r="Q14" i="7"/>
  <c r="N227" i="1" s="1"/>
  <c r="Q15" i="7"/>
  <c r="O227" i="1" s="1"/>
  <c r="Q16" i="7"/>
  <c r="P227" i="1" s="1"/>
  <c r="Q4" i="7"/>
  <c r="D227" i="1" s="1"/>
  <c r="T5" i="7"/>
  <c r="E226" i="1" s="1"/>
  <c r="T6" i="7"/>
  <c r="F226" i="1" s="1"/>
  <c r="T7" i="7"/>
  <c r="G226" i="1" s="1"/>
  <c r="T8" i="7"/>
  <c r="H226" i="1" s="1"/>
  <c r="T9" i="7"/>
  <c r="I226" i="1" s="1"/>
  <c r="T10" i="7"/>
  <c r="J226" i="1" s="1"/>
  <c r="T11" i="7"/>
  <c r="K226" i="1" s="1"/>
  <c r="T12" i="7"/>
  <c r="L226" i="1" s="1"/>
  <c r="T13" i="7"/>
  <c r="M226" i="1" s="1"/>
  <c r="T14" i="7"/>
  <c r="N226" i="1" s="1"/>
  <c r="T15" i="7"/>
  <c r="O226" i="1" s="1"/>
  <c r="T16" i="7"/>
  <c r="P226" i="1" s="1"/>
  <c r="T4" i="7"/>
  <c r="D226" i="1" s="1"/>
  <c r="P5" i="7"/>
  <c r="E225" i="1" s="1"/>
  <c r="P6" i="7"/>
  <c r="F225" i="1" s="1"/>
  <c r="P7" i="7"/>
  <c r="G225" i="1" s="1"/>
  <c r="P8" i="7"/>
  <c r="H225" i="1" s="1"/>
  <c r="P9" i="7"/>
  <c r="I225" i="1" s="1"/>
  <c r="P10" i="7"/>
  <c r="J225" i="1" s="1"/>
  <c r="P11" i="7"/>
  <c r="K225" i="1" s="1"/>
  <c r="P12" i="7"/>
  <c r="L225" i="1" s="1"/>
  <c r="P13" i="7"/>
  <c r="M225" i="1" s="1"/>
  <c r="P14" i="7"/>
  <c r="N225" i="1" s="1"/>
  <c r="P15" i="7"/>
  <c r="O225" i="1" s="1"/>
  <c r="P16" i="7"/>
  <c r="P225" i="1" s="1"/>
  <c r="O4" i="7"/>
  <c r="D224" i="1" s="1"/>
  <c r="O5" i="7"/>
  <c r="E224" i="1" s="1"/>
  <c r="O6" i="7"/>
  <c r="F224" i="1" s="1"/>
  <c r="O7" i="7"/>
  <c r="G224" i="1" s="1"/>
  <c r="O8" i="7"/>
  <c r="H224" i="1" s="1"/>
  <c r="O9" i="7"/>
  <c r="I224" i="1" s="1"/>
  <c r="O10" i="7"/>
  <c r="J224" i="1" s="1"/>
  <c r="O11" i="7"/>
  <c r="K224" i="1" s="1"/>
  <c r="O12" i="7"/>
  <c r="L224" i="1" s="1"/>
  <c r="O13" i="7"/>
  <c r="M224" i="1" s="1"/>
  <c r="O14" i="7"/>
  <c r="N224" i="1" s="1"/>
  <c r="O15" i="7"/>
  <c r="O224" i="1" s="1"/>
  <c r="O16" i="7"/>
  <c r="P224" i="1" s="1"/>
  <c r="N15" i="7"/>
  <c r="O223" i="1" s="1"/>
  <c r="N14" i="7"/>
  <c r="N223" i="1" s="1"/>
  <c r="N12" i="7"/>
  <c r="L223" i="1" s="1"/>
  <c r="N11" i="7"/>
  <c r="K223" i="1" s="1"/>
  <c r="N10" i="7"/>
  <c r="J223" i="1" s="1"/>
  <c r="N9" i="7"/>
  <c r="I223" i="1" s="1"/>
  <c r="N8" i="7"/>
  <c r="H223" i="1" s="1"/>
  <c r="N7" i="7"/>
  <c r="G223" i="1" s="1"/>
  <c r="N6" i="7"/>
  <c r="F223" i="1" s="1"/>
  <c r="S4" i="7"/>
  <c r="D230" i="1" s="1"/>
  <c r="R4" i="7"/>
  <c r="D229" i="1" s="1"/>
  <c r="P4" i="7"/>
  <c r="D225" i="1" s="1"/>
  <c r="E218" i="1"/>
  <c r="F218" i="1"/>
  <c r="G218" i="1"/>
  <c r="H218" i="1"/>
  <c r="I218" i="1"/>
  <c r="J218" i="1"/>
  <c r="K218" i="1"/>
  <c r="L218" i="1"/>
  <c r="M218" i="1"/>
  <c r="N218" i="1"/>
  <c r="O218" i="1"/>
  <c r="P218" i="1"/>
  <c r="E217" i="1"/>
  <c r="F217" i="1"/>
  <c r="G217" i="1"/>
  <c r="H217" i="1"/>
  <c r="I217" i="1"/>
  <c r="J217" i="1"/>
  <c r="K217" i="1"/>
  <c r="L217" i="1"/>
  <c r="M217" i="1"/>
  <c r="N217" i="1"/>
  <c r="O217" i="1"/>
  <c r="P217" i="1"/>
  <c r="E216" i="1"/>
  <c r="F216" i="1"/>
  <c r="G216" i="1"/>
  <c r="H216" i="1"/>
  <c r="I216" i="1"/>
  <c r="J216" i="1"/>
  <c r="K216" i="1"/>
  <c r="L216" i="1"/>
  <c r="M216" i="1"/>
  <c r="N216" i="1"/>
  <c r="O216" i="1"/>
  <c r="P216" i="1"/>
  <c r="D216" i="1"/>
  <c r="E215" i="1"/>
  <c r="F215" i="1"/>
  <c r="G215" i="1"/>
  <c r="H215" i="1"/>
  <c r="I215" i="1"/>
  <c r="J215" i="1"/>
  <c r="K215" i="1"/>
  <c r="L215" i="1"/>
  <c r="M215" i="1"/>
  <c r="N215" i="1"/>
  <c r="O215" i="1"/>
  <c r="P215" i="1"/>
  <c r="D215" i="1"/>
  <c r="E214" i="1"/>
  <c r="F214" i="1"/>
  <c r="G214" i="1"/>
  <c r="H214" i="1"/>
  <c r="I214" i="1"/>
  <c r="J214" i="1"/>
  <c r="K214" i="1"/>
  <c r="L214" i="1"/>
  <c r="M214" i="1"/>
  <c r="N214" i="1"/>
  <c r="O214" i="1"/>
  <c r="P214" i="1"/>
  <c r="D214" i="1"/>
  <c r="E213" i="1"/>
  <c r="F213" i="1"/>
  <c r="G213" i="1"/>
  <c r="H213" i="1"/>
  <c r="I213" i="1"/>
  <c r="J213" i="1"/>
  <c r="K213" i="1"/>
  <c r="L213" i="1"/>
  <c r="M213" i="1"/>
  <c r="N213" i="1"/>
  <c r="O213" i="1"/>
  <c r="P213" i="1"/>
  <c r="E212" i="1"/>
  <c r="F212" i="1"/>
  <c r="G212" i="1"/>
  <c r="H212" i="1"/>
  <c r="I212" i="1"/>
  <c r="J212" i="1"/>
  <c r="K212" i="1"/>
  <c r="L212" i="1"/>
  <c r="M212" i="1"/>
  <c r="N212" i="1"/>
  <c r="O212" i="1"/>
  <c r="P212" i="1"/>
  <c r="E211" i="1"/>
  <c r="F211" i="1"/>
  <c r="G211" i="1"/>
  <c r="H211" i="1"/>
  <c r="I211" i="1"/>
  <c r="J211" i="1"/>
  <c r="K211" i="1"/>
  <c r="L211" i="1"/>
  <c r="M211" i="1"/>
  <c r="N211" i="1"/>
  <c r="O211" i="1"/>
  <c r="P211" i="1"/>
  <c r="D218" i="1"/>
  <c r="D217" i="1"/>
  <c r="D213" i="1"/>
  <c r="D212" i="1"/>
  <c r="D211" i="1"/>
  <c r="AI7" i="11"/>
  <c r="E204" i="1" s="1"/>
  <c r="AI8" i="11"/>
  <c r="F204" i="1" s="1"/>
  <c r="AI9" i="11"/>
  <c r="G204" i="1" s="1"/>
  <c r="AI10" i="11"/>
  <c r="H204" i="1" s="1"/>
  <c r="AI11" i="11"/>
  <c r="I204" i="1" s="1"/>
  <c r="AI12" i="11"/>
  <c r="J204" i="1" s="1"/>
  <c r="AI13" i="11"/>
  <c r="K204" i="1" s="1"/>
  <c r="AI14" i="11"/>
  <c r="L204" i="1" s="1"/>
  <c r="AI15" i="11"/>
  <c r="M204" i="1" s="1"/>
  <c r="AI16" i="11"/>
  <c r="N204" i="1" s="1"/>
  <c r="AI17" i="11"/>
  <c r="O204" i="1" s="1"/>
  <c r="AI18" i="11"/>
  <c r="P204" i="1" s="1"/>
  <c r="AF7" i="11"/>
  <c r="E205" i="1" s="1"/>
  <c r="AF8" i="11"/>
  <c r="F205" i="1" s="1"/>
  <c r="AF9" i="11"/>
  <c r="G205" i="1" s="1"/>
  <c r="AF10" i="11"/>
  <c r="H205" i="1" s="1"/>
  <c r="AF11" i="11"/>
  <c r="I205" i="1" s="1"/>
  <c r="AF12" i="11"/>
  <c r="J205" i="1" s="1"/>
  <c r="AF13" i="11"/>
  <c r="K205" i="1" s="1"/>
  <c r="AF14" i="11"/>
  <c r="L205" i="1" s="1"/>
  <c r="AF15" i="11"/>
  <c r="M205" i="1" s="1"/>
  <c r="AF16" i="11"/>
  <c r="N205" i="1" s="1"/>
  <c r="AF17" i="11"/>
  <c r="O205" i="1" s="1"/>
  <c r="AF18" i="11"/>
  <c r="P205" i="1" s="1"/>
  <c r="AG7" i="11"/>
  <c r="E206" i="1" s="1"/>
  <c r="AG8" i="11"/>
  <c r="F206" i="1" s="1"/>
  <c r="AG9" i="11"/>
  <c r="G206" i="1" s="1"/>
  <c r="AG10" i="11"/>
  <c r="H206" i="1" s="1"/>
  <c r="AG11" i="11"/>
  <c r="I206" i="1" s="1"/>
  <c r="AG12" i="11"/>
  <c r="J206" i="1" s="1"/>
  <c r="AG13" i="11"/>
  <c r="K206" i="1" s="1"/>
  <c r="AG14" i="11"/>
  <c r="L206" i="1" s="1"/>
  <c r="AG15" i="11"/>
  <c r="M206" i="1" s="1"/>
  <c r="AG16" i="11"/>
  <c r="N206" i="1" s="1"/>
  <c r="AG17" i="11"/>
  <c r="O206" i="1" s="1"/>
  <c r="AG18" i="11"/>
  <c r="P206" i="1" s="1"/>
  <c r="AG6" i="11"/>
  <c r="D206" i="1" s="1"/>
  <c r="AI6" i="11"/>
  <c r="D204" i="1" s="1"/>
  <c r="AE7" i="11"/>
  <c r="E203" i="1" s="1"/>
  <c r="AE8" i="11"/>
  <c r="F203" i="1" s="1"/>
  <c r="AE9" i="11"/>
  <c r="G203" i="1" s="1"/>
  <c r="AE10" i="11"/>
  <c r="H203" i="1" s="1"/>
  <c r="AE11" i="11"/>
  <c r="I203" i="1" s="1"/>
  <c r="AE12" i="11"/>
  <c r="J203" i="1" s="1"/>
  <c r="AE13" i="11"/>
  <c r="K203" i="1" s="1"/>
  <c r="AE14" i="11"/>
  <c r="L203" i="1" s="1"/>
  <c r="AE15" i="11"/>
  <c r="M203" i="1" s="1"/>
  <c r="AE16" i="11"/>
  <c r="N203" i="1" s="1"/>
  <c r="AE17" i="11"/>
  <c r="O203" i="1" s="1"/>
  <c r="AE18" i="11"/>
  <c r="P203" i="1" s="1"/>
  <c r="AE6" i="11"/>
  <c r="D203" i="1" s="1"/>
  <c r="AH7" i="11"/>
  <c r="E202" i="1" s="1"/>
  <c r="AH8" i="11"/>
  <c r="F202" i="1" s="1"/>
  <c r="AH9" i="11"/>
  <c r="G202" i="1" s="1"/>
  <c r="AH10" i="11"/>
  <c r="H202" i="1" s="1"/>
  <c r="AH11" i="11"/>
  <c r="I202" i="1" s="1"/>
  <c r="AH12" i="11"/>
  <c r="J202" i="1" s="1"/>
  <c r="AH13" i="11"/>
  <c r="K202" i="1" s="1"/>
  <c r="AH14" i="11"/>
  <c r="L202" i="1" s="1"/>
  <c r="AH15" i="11"/>
  <c r="M202" i="1" s="1"/>
  <c r="AH16" i="11"/>
  <c r="N202" i="1" s="1"/>
  <c r="AH17" i="11"/>
  <c r="O202" i="1" s="1"/>
  <c r="AH18" i="11"/>
  <c r="P202" i="1" s="1"/>
  <c r="AH6" i="11"/>
  <c r="D202" i="1" s="1"/>
  <c r="AD7" i="11"/>
  <c r="E201" i="1" s="1"/>
  <c r="AD8" i="11"/>
  <c r="F201" i="1" s="1"/>
  <c r="AD9" i="11"/>
  <c r="G201" i="1" s="1"/>
  <c r="AD10" i="11"/>
  <c r="H201" i="1" s="1"/>
  <c r="AD11" i="11"/>
  <c r="I201" i="1" s="1"/>
  <c r="AD12" i="11"/>
  <c r="J201" i="1" s="1"/>
  <c r="AD13" i="11"/>
  <c r="K201" i="1" s="1"/>
  <c r="AD14" i="11"/>
  <c r="L201" i="1" s="1"/>
  <c r="AD15" i="11"/>
  <c r="M201" i="1" s="1"/>
  <c r="AD16" i="11"/>
  <c r="N201" i="1" s="1"/>
  <c r="AD17" i="11"/>
  <c r="O201" i="1" s="1"/>
  <c r="AD18" i="11"/>
  <c r="P201" i="1" s="1"/>
  <c r="AC7" i="11"/>
  <c r="E200" i="1" s="1"/>
  <c r="AC8" i="11"/>
  <c r="F200" i="1" s="1"/>
  <c r="AC9" i="11"/>
  <c r="G200" i="1" s="1"/>
  <c r="AC10" i="11"/>
  <c r="H200" i="1" s="1"/>
  <c r="AC11" i="11"/>
  <c r="I200" i="1" s="1"/>
  <c r="AC12" i="11"/>
  <c r="J200" i="1" s="1"/>
  <c r="AC13" i="11"/>
  <c r="K200" i="1" s="1"/>
  <c r="AC14" i="11"/>
  <c r="L200" i="1" s="1"/>
  <c r="AC15" i="11"/>
  <c r="M200" i="1" s="1"/>
  <c r="AC16" i="11"/>
  <c r="N200" i="1" s="1"/>
  <c r="AC17" i="11"/>
  <c r="O200" i="1" s="1"/>
  <c r="AC18" i="11"/>
  <c r="P200" i="1" s="1"/>
  <c r="AB7" i="11"/>
  <c r="E199" i="1" s="1"/>
  <c r="AB8" i="11"/>
  <c r="F199" i="1" s="1"/>
  <c r="AB9" i="11"/>
  <c r="G199" i="1" s="1"/>
  <c r="AB10" i="11"/>
  <c r="H199" i="1" s="1"/>
  <c r="AB11" i="11"/>
  <c r="I199" i="1" s="1"/>
  <c r="AB12" i="11"/>
  <c r="J199" i="1" s="1"/>
  <c r="AB13" i="11"/>
  <c r="K199" i="1" s="1"/>
  <c r="AB14" i="11"/>
  <c r="L199" i="1" s="1"/>
  <c r="AB15" i="11"/>
  <c r="M199" i="1" s="1"/>
  <c r="AB16" i="11"/>
  <c r="N199" i="1" s="1"/>
  <c r="AB17" i="11"/>
  <c r="O199" i="1" s="1"/>
  <c r="AB18" i="11"/>
  <c r="P199" i="1" s="1"/>
  <c r="AF6" i="11"/>
  <c r="D205" i="1" s="1"/>
  <c r="AD6" i="11"/>
  <c r="D201" i="1" s="1"/>
  <c r="AC6" i="11"/>
  <c r="D200" i="1" s="1"/>
  <c r="AB6" i="11"/>
  <c r="D199" i="1" s="1"/>
  <c r="R206" i="1"/>
  <c r="R205" i="1"/>
  <c r="R204" i="1"/>
  <c r="R201" i="1"/>
  <c r="R200" i="1"/>
  <c r="R199" i="1"/>
  <c r="R182" i="1"/>
  <c r="R181" i="1"/>
  <c r="R180" i="1"/>
  <c r="R177" i="1"/>
  <c r="R176" i="1"/>
  <c r="R175" i="1"/>
  <c r="E194" i="1"/>
  <c r="F194" i="1"/>
  <c r="G194" i="1"/>
  <c r="H194" i="1"/>
  <c r="I194" i="1"/>
  <c r="J194" i="1"/>
  <c r="K194" i="1"/>
  <c r="L194" i="1"/>
  <c r="M194" i="1"/>
  <c r="N194" i="1"/>
  <c r="O194" i="1"/>
  <c r="P194" i="1"/>
  <c r="E193" i="1"/>
  <c r="F193" i="1"/>
  <c r="G193" i="1"/>
  <c r="H193" i="1"/>
  <c r="I193" i="1"/>
  <c r="J193" i="1"/>
  <c r="K193" i="1"/>
  <c r="L193" i="1"/>
  <c r="M193" i="1"/>
  <c r="N193" i="1"/>
  <c r="O193" i="1"/>
  <c r="P193" i="1"/>
  <c r="E192" i="1"/>
  <c r="F192" i="1"/>
  <c r="G192" i="1"/>
  <c r="H192" i="1"/>
  <c r="I192" i="1"/>
  <c r="J192" i="1"/>
  <c r="K192" i="1"/>
  <c r="L192" i="1"/>
  <c r="M192" i="1"/>
  <c r="N192" i="1"/>
  <c r="O192" i="1"/>
  <c r="P192" i="1"/>
  <c r="D192" i="1"/>
  <c r="E191" i="1"/>
  <c r="F191" i="1"/>
  <c r="G191" i="1"/>
  <c r="H191" i="1"/>
  <c r="I191" i="1"/>
  <c r="J191" i="1"/>
  <c r="K191" i="1"/>
  <c r="L191" i="1"/>
  <c r="M191" i="1"/>
  <c r="N191" i="1"/>
  <c r="O191" i="1"/>
  <c r="P191" i="1"/>
  <c r="D191" i="1"/>
  <c r="E190" i="1"/>
  <c r="F190" i="1"/>
  <c r="G190" i="1"/>
  <c r="H190" i="1"/>
  <c r="I190" i="1"/>
  <c r="J190" i="1"/>
  <c r="K190" i="1"/>
  <c r="L190" i="1"/>
  <c r="M190" i="1"/>
  <c r="N190" i="1"/>
  <c r="O190" i="1"/>
  <c r="P190" i="1"/>
  <c r="D190" i="1"/>
  <c r="E189" i="1"/>
  <c r="F189" i="1"/>
  <c r="G189" i="1"/>
  <c r="H189" i="1"/>
  <c r="I189" i="1"/>
  <c r="J189" i="1"/>
  <c r="K189" i="1"/>
  <c r="L189" i="1"/>
  <c r="M189" i="1"/>
  <c r="N189" i="1"/>
  <c r="O189" i="1"/>
  <c r="P189" i="1"/>
  <c r="E188" i="1"/>
  <c r="F188" i="1"/>
  <c r="G188" i="1"/>
  <c r="H188" i="1"/>
  <c r="I188" i="1"/>
  <c r="J188" i="1"/>
  <c r="K188" i="1"/>
  <c r="L188" i="1"/>
  <c r="M188" i="1"/>
  <c r="N188" i="1"/>
  <c r="O188" i="1"/>
  <c r="P188" i="1"/>
  <c r="E187" i="1"/>
  <c r="F187" i="1"/>
  <c r="G187" i="1"/>
  <c r="H187" i="1"/>
  <c r="I187" i="1"/>
  <c r="J187" i="1"/>
  <c r="K187" i="1"/>
  <c r="L187" i="1"/>
  <c r="M187" i="1"/>
  <c r="N187" i="1"/>
  <c r="O187" i="1"/>
  <c r="P187" i="1"/>
  <c r="D194" i="1"/>
  <c r="D189" i="1"/>
  <c r="D188" i="1"/>
  <c r="AG7" i="10"/>
  <c r="E182" i="1" s="1"/>
  <c r="AG8" i="10"/>
  <c r="F182" i="1" s="1"/>
  <c r="AG9" i="10"/>
  <c r="G182" i="1" s="1"/>
  <c r="AG10" i="10"/>
  <c r="H182" i="1" s="1"/>
  <c r="AG11" i="10"/>
  <c r="I182" i="1" s="1"/>
  <c r="AG12" i="10"/>
  <c r="J182" i="1" s="1"/>
  <c r="AG13" i="10"/>
  <c r="K182" i="1" s="1"/>
  <c r="AG14" i="10"/>
  <c r="L182" i="1" s="1"/>
  <c r="AG15" i="10"/>
  <c r="M182" i="1" s="1"/>
  <c r="AG16" i="10"/>
  <c r="N182" i="1" s="1"/>
  <c r="AG17" i="10"/>
  <c r="O182" i="1" s="1"/>
  <c r="AG18" i="10"/>
  <c r="P182" i="1" s="1"/>
  <c r="AF7" i="10"/>
  <c r="E181" i="1" s="1"/>
  <c r="AF8" i="10"/>
  <c r="F181" i="1" s="1"/>
  <c r="AF9" i="10"/>
  <c r="G181" i="1" s="1"/>
  <c r="AF10" i="10"/>
  <c r="H181" i="1" s="1"/>
  <c r="AF11" i="10"/>
  <c r="I181" i="1" s="1"/>
  <c r="AF12" i="10"/>
  <c r="J181" i="1" s="1"/>
  <c r="AF13" i="10"/>
  <c r="K181" i="1" s="1"/>
  <c r="AF14" i="10"/>
  <c r="L181" i="1" s="1"/>
  <c r="AF15" i="10"/>
  <c r="M181" i="1" s="1"/>
  <c r="AF16" i="10"/>
  <c r="N181" i="1" s="1"/>
  <c r="AF17" i="10"/>
  <c r="O181" i="1" s="1"/>
  <c r="AI7" i="10"/>
  <c r="E180" i="1" s="1"/>
  <c r="AI8" i="10"/>
  <c r="F180" i="1" s="1"/>
  <c r="AI9" i="10"/>
  <c r="G180" i="1" s="1"/>
  <c r="AI10" i="10"/>
  <c r="H180" i="1" s="1"/>
  <c r="AI11" i="10"/>
  <c r="I180" i="1" s="1"/>
  <c r="AI12" i="10"/>
  <c r="J180" i="1" s="1"/>
  <c r="AI13" i="10"/>
  <c r="K180" i="1" s="1"/>
  <c r="AI14" i="10"/>
  <c r="L180" i="1" s="1"/>
  <c r="AI15" i="10"/>
  <c r="M180" i="1" s="1"/>
  <c r="AI16" i="10"/>
  <c r="N180" i="1" s="1"/>
  <c r="AI17" i="10"/>
  <c r="O180" i="1" s="1"/>
  <c r="AI18" i="10"/>
  <c r="P180" i="1" s="1"/>
  <c r="AI6" i="10"/>
  <c r="D180" i="1" s="1"/>
  <c r="AE7" i="10"/>
  <c r="E179" i="1" s="1"/>
  <c r="AE8" i="10"/>
  <c r="F179" i="1" s="1"/>
  <c r="AE9" i="10"/>
  <c r="G179" i="1" s="1"/>
  <c r="AE10" i="10"/>
  <c r="H179" i="1" s="1"/>
  <c r="AE11" i="10"/>
  <c r="I179" i="1" s="1"/>
  <c r="AE12" i="10"/>
  <c r="J179" i="1" s="1"/>
  <c r="AE13" i="10"/>
  <c r="K179" i="1" s="1"/>
  <c r="AE14" i="10"/>
  <c r="L179" i="1" s="1"/>
  <c r="AE15" i="10"/>
  <c r="M179" i="1" s="1"/>
  <c r="AE16" i="10"/>
  <c r="N179" i="1" s="1"/>
  <c r="AE17" i="10"/>
  <c r="O179" i="1" s="1"/>
  <c r="AE18" i="10"/>
  <c r="P179" i="1" s="1"/>
  <c r="AE6" i="10"/>
  <c r="D179" i="1" s="1"/>
  <c r="AH7" i="10"/>
  <c r="E178" i="1" s="1"/>
  <c r="AH8" i="10"/>
  <c r="F178" i="1" s="1"/>
  <c r="AH9" i="10"/>
  <c r="G178" i="1" s="1"/>
  <c r="AH10" i="10"/>
  <c r="H178" i="1" s="1"/>
  <c r="AH11" i="10"/>
  <c r="I178" i="1" s="1"/>
  <c r="AH12" i="10"/>
  <c r="J178" i="1" s="1"/>
  <c r="AH13" i="10"/>
  <c r="K178" i="1" s="1"/>
  <c r="AH14" i="10"/>
  <c r="L178" i="1" s="1"/>
  <c r="AH15" i="10"/>
  <c r="M178" i="1" s="1"/>
  <c r="AH16" i="10"/>
  <c r="N178" i="1" s="1"/>
  <c r="AH17" i="10"/>
  <c r="O178" i="1" s="1"/>
  <c r="AH18" i="10"/>
  <c r="P178" i="1" s="1"/>
  <c r="AH6" i="10"/>
  <c r="D178" i="1" s="1"/>
  <c r="AD7" i="10"/>
  <c r="E177" i="1" s="1"/>
  <c r="AD8" i="10"/>
  <c r="F177" i="1" s="1"/>
  <c r="AD9" i="10"/>
  <c r="G177" i="1" s="1"/>
  <c r="AD10" i="10"/>
  <c r="H177" i="1" s="1"/>
  <c r="AD11" i="10"/>
  <c r="I177" i="1" s="1"/>
  <c r="AD12" i="10"/>
  <c r="J177" i="1" s="1"/>
  <c r="AD13" i="10"/>
  <c r="K177" i="1" s="1"/>
  <c r="AD14" i="10"/>
  <c r="L177" i="1" s="1"/>
  <c r="AD15" i="10"/>
  <c r="M177" i="1" s="1"/>
  <c r="AD16" i="10"/>
  <c r="N177" i="1" s="1"/>
  <c r="AD17" i="10"/>
  <c r="O177" i="1" s="1"/>
  <c r="AD18" i="10"/>
  <c r="P177" i="1" s="1"/>
  <c r="AC7" i="10"/>
  <c r="E176" i="1" s="1"/>
  <c r="AC8" i="10"/>
  <c r="F176" i="1" s="1"/>
  <c r="AC9" i="10"/>
  <c r="G176" i="1" s="1"/>
  <c r="AC10" i="10"/>
  <c r="H176" i="1" s="1"/>
  <c r="AC11" i="10"/>
  <c r="I176" i="1" s="1"/>
  <c r="AC12" i="10"/>
  <c r="J176" i="1" s="1"/>
  <c r="AC13" i="10"/>
  <c r="K176" i="1" s="1"/>
  <c r="AC14" i="10"/>
  <c r="L176" i="1" s="1"/>
  <c r="AC15" i="10"/>
  <c r="M176" i="1" s="1"/>
  <c r="AC16" i="10"/>
  <c r="N176" i="1" s="1"/>
  <c r="AC17" i="10"/>
  <c r="O176" i="1" s="1"/>
  <c r="AC18" i="10"/>
  <c r="P176" i="1" s="1"/>
  <c r="AB7" i="10"/>
  <c r="E175" i="1" s="1"/>
  <c r="AB8" i="10"/>
  <c r="F175" i="1" s="1"/>
  <c r="AB9" i="10"/>
  <c r="G175" i="1" s="1"/>
  <c r="AB10" i="10"/>
  <c r="H175" i="1" s="1"/>
  <c r="AB11" i="10"/>
  <c r="I175" i="1" s="1"/>
  <c r="AB12" i="10"/>
  <c r="J175" i="1" s="1"/>
  <c r="AB13" i="10"/>
  <c r="K175" i="1" s="1"/>
  <c r="AB14" i="10"/>
  <c r="L175" i="1" s="1"/>
  <c r="AB15" i="10"/>
  <c r="M175" i="1" s="1"/>
  <c r="AB16" i="10"/>
  <c r="N175" i="1" s="1"/>
  <c r="AB17" i="10"/>
  <c r="O175" i="1" s="1"/>
  <c r="AB18" i="10"/>
  <c r="P175" i="1" s="1"/>
  <c r="AG6" i="10"/>
  <c r="D182" i="1" s="1"/>
  <c r="AF18" i="10"/>
  <c r="P181" i="1" s="1"/>
  <c r="AF6" i="10"/>
  <c r="D181" i="1" s="1"/>
  <c r="AD6" i="10"/>
  <c r="D177" i="1" s="1"/>
  <c r="AC6" i="10"/>
  <c r="D176" i="1" s="1"/>
  <c r="AB6" i="10"/>
  <c r="D175" i="1" s="1"/>
  <c r="E170" i="1"/>
  <c r="F170" i="1"/>
  <c r="G170" i="1"/>
  <c r="H170" i="1"/>
  <c r="I170" i="1"/>
  <c r="J170" i="1"/>
  <c r="K170" i="1"/>
  <c r="L170" i="1"/>
  <c r="M170" i="1"/>
  <c r="N170" i="1"/>
  <c r="O170" i="1"/>
  <c r="P170" i="1"/>
  <c r="E169" i="1"/>
  <c r="F169" i="1"/>
  <c r="G169" i="1"/>
  <c r="H169" i="1"/>
  <c r="I169" i="1"/>
  <c r="J169" i="1"/>
  <c r="K169" i="1"/>
  <c r="L169" i="1"/>
  <c r="M169" i="1"/>
  <c r="N169" i="1"/>
  <c r="O169" i="1"/>
  <c r="P169" i="1"/>
  <c r="E168" i="1"/>
  <c r="F168" i="1"/>
  <c r="G168" i="1"/>
  <c r="H168" i="1"/>
  <c r="I168" i="1"/>
  <c r="J168" i="1"/>
  <c r="K168" i="1"/>
  <c r="L168" i="1"/>
  <c r="M168" i="1"/>
  <c r="N168" i="1"/>
  <c r="O168" i="1"/>
  <c r="P168" i="1"/>
  <c r="D168" i="1"/>
  <c r="E167" i="1"/>
  <c r="F167" i="1"/>
  <c r="G167" i="1"/>
  <c r="H167" i="1"/>
  <c r="I167" i="1"/>
  <c r="J167" i="1"/>
  <c r="K167" i="1"/>
  <c r="L167" i="1"/>
  <c r="M167" i="1"/>
  <c r="N167" i="1"/>
  <c r="O167" i="1"/>
  <c r="P167" i="1"/>
  <c r="D167" i="1"/>
  <c r="E166" i="1"/>
  <c r="F166" i="1"/>
  <c r="G166" i="1"/>
  <c r="H166" i="1"/>
  <c r="I166" i="1"/>
  <c r="J166" i="1"/>
  <c r="K166" i="1"/>
  <c r="L166" i="1"/>
  <c r="M166" i="1"/>
  <c r="N166" i="1"/>
  <c r="O166" i="1"/>
  <c r="P166" i="1"/>
  <c r="D166" i="1"/>
  <c r="L165" i="1"/>
  <c r="E165" i="1"/>
  <c r="F165" i="1"/>
  <c r="G165" i="1"/>
  <c r="H165" i="1"/>
  <c r="I165" i="1"/>
  <c r="J165" i="1"/>
  <c r="K165" i="1"/>
  <c r="M165" i="1"/>
  <c r="N165" i="1"/>
  <c r="O165" i="1"/>
  <c r="P165" i="1"/>
  <c r="E164" i="1"/>
  <c r="F164" i="1"/>
  <c r="G164" i="1"/>
  <c r="H164" i="1"/>
  <c r="I164" i="1"/>
  <c r="J164" i="1"/>
  <c r="K164" i="1"/>
  <c r="L164" i="1"/>
  <c r="M164" i="1"/>
  <c r="N164" i="1"/>
  <c r="O164" i="1"/>
  <c r="P164" i="1"/>
  <c r="E163" i="1"/>
  <c r="G163" i="1"/>
  <c r="H163" i="1"/>
  <c r="I163" i="1"/>
  <c r="J163" i="1"/>
  <c r="K163" i="1"/>
  <c r="L163" i="1"/>
  <c r="M163" i="1"/>
  <c r="N163" i="1"/>
  <c r="O163" i="1"/>
  <c r="P163" i="1"/>
  <c r="D170" i="1"/>
  <c r="D169" i="1"/>
  <c r="D165" i="1"/>
  <c r="D164" i="1"/>
  <c r="D163" i="1"/>
  <c r="AH5" i="8"/>
  <c r="E158" i="1" s="1"/>
  <c r="AH6" i="8"/>
  <c r="F158" i="1" s="1"/>
  <c r="AH7" i="8"/>
  <c r="G158" i="1" s="1"/>
  <c r="AH8" i="8"/>
  <c r="H158" i="1" s="1"/>
  <c r="AH9" i="8"/>
  <c r="I158" i="1" s="1"/>
  <c r="AH10" i="8"/>
  <c r="J158" i="1" s="1"/>
  <c r="AH11" i="8"/>
  <c r="K158" i="1" s="1"/>
  <c r="AH12" i="8"/>
  <c r="L158" i="1" s="1"/>
  <c r="AH13" i="8"/>
  <c r="M158" i="1" s="1"/>
  <c r="AH14" i="8"/>
  <c r="N158" i="1" s="1"/>
  <c r="AH15" i="8"/>
  <c r="O158" i="1" s="1"/>
  <c r="AH16" i="8"/>
  <c r="P158" i="1" s="1"/>
  <c r="AG5" i="8"/>
  <c r="E157" i="1" s="1"/>
  <c r="AG6" i="8"/>
  <c r="F157" i="1" s="1"/>
  <c r="AG7" i="8"/>
  <c r="G157" i="1" s="1"/>
  <c r="AG8" i="8"/>
  <c r="H157" i="1" s="1"/>
  <c r="AG9" i="8"/>
  <c r="I157" i="1" s="1"/>
  <c r="AG10" i="8"/>
  <c r="J157" i="1" s="1"/>
  <c r="AG11" i="8"/>
  <c r="K157" i="1" s="1"/>
  <c r="AG12" i="8"/>
  <c r="L157" i="1" s="1"/>
  <c r="AG13" i="8"/>
  <c r="M157" i="1" s="1"/>
  <c r="AG14" i="8"/>
  <c r="N157" i="1" s="1"/>
  <c r="AG15" i="8"/>
  <c r="O157" i="1" s="1"/>
  <c r="AG16" i="8"/>
  <c r="P157" i="1" s="1"/>
  <c r="AI5" i="8"/>
  <c r="E154" i="1" s="1"/>
  <c r="AI6" i="8"/>
  <c r="F154" i="1" s="1"/>
  <c r="AI7" i="8"/>
  <c r="G154" i="1" s="1"/>
  <c r="AI8" i="8"/>
  <c r="H154" i="1" s="1"/>
  <c r="AI9" i="8"/>
  <c r="I154" i="1" s="1"/>
  <c r="AI10" i="8"/>
  <c r="J154" i="1" s="1"/>
  <c r="AI11" i="8"/>
  <c r="K154" i="1" s="1"/>
  <c r="AI12" i="8"/>
  <c r="L154" i="1" s="1"/>
  <c r="AI13" i="8"/>
  <c r="M154" i="1" s="1"/>
  <c r="AI14" i="8"/>
  <c r="N154" i="1" s="1"/>
  <c r="AI15" i="8"/>
  <c r="O154" i="1" s="1"/>
  <c r="AI16" i="8"/>
  <c r="P154" i="1" s="1"/>
  <c r="AF5" i="8"/>
  <c r="E155" i="1" s="1"/>
  <c r="AF6" i="8"/>
  <c r="F155" i="1" s="1"/>
  <c r="AF7" i="8"/>
  <c r="G155" i="1" s="1"/>
  <c r="AF8" i="8"/>
  <c r="H155" i="1" s="1"/>
  <c r="AF9" i="8"/>
  <c r="I155" i="1" s="1"/>
  <c r="AF10" i="8"/>
  <c r="J155" i="1" s="1"/>
  <c r="AF11" i="8"/>
  <c r="K155" i="1" s="1"/>
  <c r="AF12" i="8"/>
  <c r="L155" i="1" s="1"/>
  <c r="AF13" i="8"/>
  <c r="M155" i="1" s="1"/>
  <c r="AF14" i="8"/>
  <c r="N155" i="1" s="1"/>
  <c r="AF15" i="8"/>
  <c r="O155" i="1" s="1"/>
  <c r="AF16" i="8"/>
  <c r="P155" i="1" s="1"/>
  <c r="AJ5" i="8"/>
  <c r="E156" i="1" s="1"/>
  <c r="AJ6" i="8"/>
  <c r="F156" i="1" s="1"/>
  <c r="AJ7" i="8"/>
  <c r="G156" i="1" s="1"/>
  <c r="AJ8" i="8"/>
  <c r="H156" i="1" s="1"/>
  <c r="AJ9" i="8"/>
  <c r="I156" i="1" s="1"/>
  <c r="AJ10" i="8"/>
  <c r="J156" i="1" s="1"/>
  <c r="AJ11" i="8"/>
  <c r="K156" i="1" s="1"/>
  <c r="AJ12" i="8"/>
  <c r="L156" i="1" s="1"/>
  <c r="AJ13" i="8"/>
  <c r="M156" i="1" s="1"/>
  <c r="AJ14" i="8"/>
  <c r="N156" i="1" s="1"/>
  <c r="AJ15" i="8"/>
  <c r="O156" i="1" s="1"/>
  <c r="AJ16" i="8"/>
  <c r="P156" i="1" s="1"/>
  <c r="AJ4" i="8"/>
  <c r="D156" i="1" s="1"/>
  <c r="AF4" i="8"/>
  <c r="D155" i="1" s="1"/>
  <c r="AI4" i="8"/>
  <c r="D154" i="1" s="1"/>
  <c r="AE5" i="8"/>
  <c r="E153" i="1" s="1"/>
  <c r="AE6" i="8"/>
  <c r="F153" i="1" s="1"/>
  <c r="AE7" i="8"/>
  <c r="G153" i="1" s="1"/>
  <c r="AE8" i="8"/>
  <c r="H153" i="1" s="1"/>
  <c r="AE9" i="8"/>
  <c r="I153" i="1" s="1"/>
  <c r="AE10" i="8"/>
  <c r="J153" i="1" s="1"/>
  <c r="AE11" i="8"/>
  <c r="K153" i="1" s="1"/>
  <c r="AE12" i="8"/>
  <c r="L153" i="1" s="1"/>
  <c r="AE13" i="8"/>
  <c r="M153" i="1" s="1"/>
  <c r="AE14" i="8"/>
  <c r="N153" i="1" s="1"/>
  <c r="AE15" i="8"/>
  <c r="O153" i="1" s="1"/>
  <c r="AE16" i="8"/>
  <c r="P153" i="1" s="1"/>
  <c r="AD5" i="8"/>
  <c r="E152" i="1" s="1"/>
  <c r="AD6" i="8"/>
  <c r="F152" i="1" s="1"/>
  <c r="AD7" i="8"/>
  <c r="G152" i="1" s="1"/>
  <c r="AD8" i="8"/>
  <c r="H152" i="1" s="1"/>
  <c r="AD9" i="8"/>
  <c r="I152" i="1" s="1"/>
  <c r="AD10" i="8"/>
  <c r="J152" i="1" s="1"/>
  <c r="AD11" i="8"/>
  <c r="K152" i="1" s="1"/>
  <c r="AD12" i="8"/>
  <c r="L152" i="1" s="1"/>
  <c r="AD13" i="8"/>
  <c r="M152" i="1" s="1"/>
  <c r="AD14" i="8"/>
  <c r="N152" i="1" s="1"/>
  <c r="AD15" i="8"/>
  <c r="O152" i="1" s="1"/>
  <c r="AD16" i="8"/>
  <c r="P152" i="1" s="1"/>
  <c r="AC5" i="8"/>
  <c r="E151" i="1" s="1"/>
  <c r="AC6" i="8"/>
  <c r="F151" i="1" s="1"/>
  <c r="AC7" i="8"/>
  <c r="G151" i="1" s="1"/>
  <c r="AC8" i="8"/>
  <c r="H151" i="1" s="1"/>
  <c r="AC9" i="8"/>
  <c r="I151" i="1" s="1"/>
  <c r="AC10" i="8"/>
  <c r="J151" i="1" s="1"/>
  <c r="AC11" i="8"/>
  <c r="K151" i="1" s="1"/>
  <c r="AC12" i="8"/>
  <c r="L151" i="1" s="1"/>
  <c r="AC13" i="8"/>
  <c r="M151" i="1" s="1"/>
  <c r="AC14" i="8"/>
  <c r="N151" i="1" s="1"/>
  <c r="AC15" i="8"/>
  <c r="O151" i="1" s="1"/>
  <c r="AC16" i="8"/>
  <c r="P151" i="1" s="1"/>
  <c r="AC4" i="8"/>
  <c r="D151" i="1" s="1"/>
  <c r="AH4" i="8"/>
  <c r="D158" i="1" s="1"/>
  <c r="AG4" i="8"/>
  <c r="D157" i="1" s="1"/>
  <c r="AE4" i="8"/>
  <c r="D153" i="1" s="1"/>
  <c r="AD4" i="8"/>
  <c r="D152" i="1" s="1"/>
  <c r="F6" i="8"/>
  <c r="F128" i="1"/>
  <c r="D128" i="1"/>
  <c r="D144" i="1"/>
  <c r="O140" i="1"/>
  <c r="D140" i="1"/>
  <c r="H139" i="1"/>
  <c r="E140" i="1"/>
  <c r="O142" i="1"/>
  <c r="K138" i="1"/>
  <c r="D141" i="1"/>
  <c r="D139" i="1"/>
  <c r="D137" i="1"/>
  <c r="F136" i="1"/>
  <c r="D136" i="1"/>
  <c r="D135" i="1"/>
  <c r="N138" i="1"/>
  <c r="F140" i="1"/>
  <c r="G140" i="1"/>
  <c r="H140" i="1"/>
  <c r="I140" i="1"/>
  <c r="J140" i="1"/>
  <c r="K140" i="1"/>
  <c r="L140" i="1"/>
  <c r="M140" i="1"/>
  <c r="N140" i="1"/>
  <c r="P140" i="1"/>
  <c r="E138" i="1"/>
  <c r="F138" i="1"/>
  <c r="G138" i="1"/>
  <c r="H138" i="1"/>
  <c r="I138" i="1"/>
  <c r="J138" i="1"/>
  <c r="L138" i="1"/>
  <c r="M138" i="1"/>
  <c r="O138" i="1"/>
  <c r="P138" i="1"/>
  <c r="D138" i="1"/>
  <c r="L142" i="1"/>
  <c r="E142" i="1"/>
  <c r="F142" i="1"/>
  <c r="G142" i="1"/>
  <c r="H142" i="1"/>
  <c r="I142" i="1"/>
  <c r="J142" i="1"/>
  <c r="K142" i="1"/>
  <c r="M142" i="1"/>
  <c r="N142" i="1"/>
  <c r="P142" i="1"/>
  <c r="D142" i="1"/>
  <c r="E141" i="1"/>
  <c r="F141" i="1"/>
  <c r="G141" i="1"/>
  <c r="H141" i="1"/>
  <c r="I141" i="1"/>
  <c r="J141" i="1"/>
  <c r="K141" i="1"/>
  <c r="L141" i="1"/>
  <c r="M141" i="1"/>
  <c r="N141" i="1"/>
  <c r="O141" i="1"/>
  <c r="P141" i="1"/>
  <c r="E139" i="1"/>
  <c r="F139" i="1"/>
  <c r="G139" i="1"/>
  <c r="I139" i="1"/>
  <c r="J139" i="1"/>
  <c r="K139" i="1"/>
  <c r="L139" i="1"/>
  <c r="M139" i="1"/>
  <c r="N139" i="1"/>
  <c r="O139" i="1"/>
  <c r="P139" i="1"/>
  <c r="K137" i="1"/>
  <c r="E137" i="1"/>
  <c r="F137" i="1"/>
  <c r="G137" i="1"/>
  <c r="H137" i="1"/>
  <c r="I137" i="1"/>
  <c r="J137" i="1"/>
  <c r="L137" i="1"/>
  <c r="M137" i="1"/>
  <c r="N137" i="1"/>
  <c r="O137" i="1"/>
  <c r="P137" i="1"/>
  <c r="J136" i="1"/>
  <c r="E136" i="1"/>
  <c r="G136" i="1"/>
  <c r="H136" i="1"/>
  <c r="I136" i="1"/>
  <c r="K136" i="1"/>
  <c r="L136" i="1"/>
  <c r="M136" i="1"/>
  <c r="N136" i="1"/>
  <c r="O136" i="1"/>
  <c r="P136" i="1"/>
  <c r="M135" i="1"/>
  <c r="E135" i="1"/>
  <c r="F135" i="1"/>
  <c r="G135" i="1"/>
  <c r="H135" i="1"/>
  <c r="I135" i="1"/>
  <c r="J135" i="1"/>
  <c r="K135" i="1"/>
  <c r="L135" i="1"/>
  <c r="N135" i="1"/>
  <c r="O135" i="1"/>
  <c r="P135" i="1"/>
  <c r="N126" i="1"/>
  <c r="E124" i="1"/>
  <c r="F124" i="1"/>
  <c r="G124" i="1"/>
  <c r="H124" i="1"/>
  <c r="I124" i="1"/>
  <c r="J124" i="1"/>
  <c r="K124" i="1"/>
  <c r="L124" i="1"/>
  <c r="M124" i="1"/>
  <c r="N124" i="1"/>
  <c r="O124" i="1"/>
  <c r="P124" i="1"/>
  <c r="D124" i="1"/>
  <c r="L122" i="1"/>
  <c r="E122" i="1"/>
  <c r="F122" i="1"/>
  <c r="G122" i="1"/>
  <c r="H122" i="1"/>
  <c r="I122" i="1"/>
  <c r="J122" i="1"/>
  <c r="K122" i="1"/>
  <c r="M122" i="1"/>
  <c r="N122" i="1"/>
  <c r="O122" i="1"/>
  <c r="P122" i="1"/>
  <c r="D122" i="1"/>
  <c r="E126" i="1"/>
  <c r="F126" i="1"/>
  <c r="G126" i="1"/>
  <c r="H126" i="1"/>
  <c r="I126" i="1"/>
  <c r="J126" i="1"/>
  <c r="K126" i="1"/>
  <c r="L126" i="1"/>
  <c r="M126" i="1"/>
  <c r="O126" i="1"/>
  <c r="P126" i="1"/>
  <c r="D126" i="1"/>
  <c r="E125" i="1"/>
  <c r="F125" i="1"/>
  <c r="G125" i="1"/>
  <c r="H125" i="1"/>
  <c r="I125" i="1"/>
  <c r="J125" i="1"/>
  <c r="K125" i="1"/>
  <c r="L125" i="1"/>
  <c r="M125" i="1"/>
  <c r="N125" i="1"/>
  <c r="O125" i="1"/>
  <c r="P125" i="1"/>
  <c r="D125" i="1"/>
  <c r="E123" i="1"/>
  <c r="F123" i="1"/>
  <c r="G123" i="1"/>
  <c r="H123" i="1"/>
  <c r="I123" i="1"/>
  <c r="J123" i="1"/>
  <c r="K123" i="1"/>
  <c r="L123" i="1"/>
  <c r="M123" i="1"/>
  <c r="N123" i="1"/>
  <c r="O123" i="1"/>
  <c r="P123" i="1"/>
  <c r="D123" i="1"/>
  <c r="L121" i="1"/>
  <c r="E121" i="1"/>
  <c r="F121" i="1"/>
  <c r="G121" i="1"/>
  <c r="H121" i="1"/>
  <c r="I121" i="1"/>
  <c r="J121" i="1"/>
  <c r="K121" i="1"/>
  <c r="M121" i="1"/>
  <c r="N121" i="1"/>
  <c r="O121" i="1"/>
  <c r="P121" i="1"/>
  <c r="D121" i="1"/>
  <c r="E120" i="1"/>
  <c r="F120" i="1"/>
  <c r="G120" i="1"/>
  <c r="H120" i="1"/>
  <c r="I120" i="1"/>
  <c r="J120" i="1"/>
  <c r="K120" i="1"/>
  <c r="L120" i="1"/>
  <c r="M120" i="1"/>
  <c r="N120" i="1"/>
  <c r="O120" i="1"/>
  <c r="P120" i="1"/>
  <c r="D120" i="1"/>
  <c r="O119" i="1"/>
  <c r="E119" i="1"/>
  <c r="F119" i="1"/>
  <c r="G119" i="1"/>
  <c r="H119" i="1"/>
  <c r="I119" i="1"/>
  <c r="J119" i="1"/>
  <c r="K119" i="1"/>
  <c r="L119" i="1"/>
  <c r="M119" i="1"/>
  <c r="N119" i="1"/>
  <c r="P119" i="1"/>
  <c r="D119" i="1"/>
  <c r="E101" i="1"/>
  <c r="F101" i="1"/>
  <c r="G101" i="1"/>
  <c r="H101" i="1"/>
  <c r="I101" i="1"/>
  <c r="J101" i="1"/>
  <c r="K101" i="1"/>
  <c r="L101" i="1"/>
  <c r="M101" i="1"/>
  <c r="N101" i="1"/>
  <c r="O101" i="1"/>
  <c r="P101" i="1"/>
  <c r="D101" i="1"/>
  <c r="D99" i="1"/>
  <c r="E99" i="1"/>
  <c r="F99" i="1"/>
  <c r="G99" i="1"/>
  <c r="H99" i="1"/>
  <c r="I99" i="1"/>
  <c r="J99" i="1"/>
  <c r="K99" i="1"/>
  <c r="L99" i="1"/>
  <c r="M99" i="1"/>
  <c r="N99" i="1"/>
  <c r="O99" i="1"/>
  <c r="P99" i="1"/>
  <c r="E103" i="1"/>
  <c r="F103" i="1"/>
  <c r="G103" i="1"/>
  <c r="H103" i="1"/>
  <c r="I103" i="1"/>
  <c r="J103" i="1"/>
  <c r="K103" i="1"/>
  <c r="L103" i="1"/>
  <c r="M103" i="1"/>
  <c r="N103" i="1"/>
  <c r="O103" i="1"/>
  <c r="P103" i="1"/>
  <c r="D103" i="1"/>
  <c r="E102" i="1"/>
  <c r="F102" i="1"/>
  <c r="G102" i="1"/>
  <c r="H102" i="1"/>
  <c r="I102" i="1"/>
  <c r="J102" i="1"/>
  <c r="K102" i="1"/>
  <c r="L102" i="1"/>
  <c r="M102" i="1"/>
  <c r="N102" i="1"/>
  <c r="O102" i="1"/>
  <c r="P102" i="1"/>
  <c r="D102" i="1"/>
  <c r="E100" i="1"/>
  <c r="F100" i="1"/>
  <c r="G100" i="1"/>
  <c r="H100" i="1"/>
  <c r="I100" i="1"/>
  <c r="J100" i="1"/>
  <c r="K100" i="1"/>
  <c r="L100" i="1"/>
  <c r="M100" i="1"/>
  <c r="N100" i="1"/>
  <c r="O100" i="1"/>
  <c r="P100" i="1"/>
  <c r="D100" i="1"/>
  <c r="E98" i="1"/>
  <c r="F98" i="1"/>
  <c r="G98" i="1"/>
  <c r="H98" i="1"/>
  <c r="I98" i="1"/>
  <c r="J98" i="1"/>
  <c r="K98" i="1"/>
  <c r="L98" i="1"/>
  <c r="M98" i="1"/>
  <c r="N98" i="1"/>
  <c r="O98" i="1"/>
  <c r="P98" i="1"/>
  <c r="D98" i="1"/>
  <c r="E96" i="1"/>
  <c r="F96" i="1"/>
  <c r="G96" i="1"/>
  <c r="H96" i="1"/>
  <c r="I96" i="1"/>
  <c r="J96" i="1"/>
  <c r="K96" i="1"/>
  <c r="L96" i="1"/>
  <c r="M96" i="1"/>
  <c r="N96" i="1"/>
  <c r="O96" i="1"/>
  <c r="P96" i="1"/>
  <c r="E97" i="1"/>
  <c r="F97" i="1"/>
  <c r="G97" i="1"/>
  <c r="H97" i="1"/>
  <c r="I97" i="1"/>
  <c r="J97" i="1"/>
  <c r="K97" i="1"/>
  <c r="L97" i="1"/>
  <c r="M97" i="1"/>
  <c r="N97" i="1"/>
  <c r="O97" i="1"/>
  <c r="P97" i="1"/>
  <c r="D97" i="1"/>
  <c r="E112" i="1"/>
  <c r="F112" i="1"/>
  <c r="G112" i="1"/>
  <c r="H112" i="1"/>
  <c r="I112" i="1"/>
  <c r="J112" i="1"/>
  <c r="K112" i="1"/>
  <c r="L112" i="1"/>
  <c r="M112" i="1"/>
  <c r="N112" i="1"/>
  <c r="O112" i="1"/>
  <c r="P112" i="1"/>
  <c r="E110" i="1"/>
  <c r="F110" i="1"/>
  <c r="G110" i="1"/>
  <c r="H110" i="1"/>
  <c r="I110" i="1"/>
  <c r="J110" i="1"/>
  <c r="K110" i="1"/>
  <c r="L110" i="1"/>
  <c r="M110" i="1"/>
  <c r="N110" i="1"/>
  <c r="O110" i="1"/>
  <c r="P110" i="1"/>
  <c r="D110" i="1"/>
  <c r="E114" i="1"/>
  <c r="F114" i="1"/>
  <c r="G114" i="1"/>
  <c r="H114" i="1"/>
  <c r="I114" i="1"/>
  <c r="J114" i="1"/>
  <c r="K114" i="1"/>
  <c r="L114" i="1"/>
  <c r="M114" i="1"/>
  <c r="N114" i="1"/>
  <c r="O114" i="1"/>
  <c r="P114" i="1"/>
  <c r="D114" i="1"/>
  <c r="E113" i="1"/>
  <c r="F113" i="1"/>
  <c r="G113" i="1"/>
  <c r="H113" i="1"/>
  <c r="I113" i="1"/>
  <c r="J113" i="1"/>
  <c r="K113" i="1"/>
  <c r="L113" i="1"/>
  <c r="M113" i="1"/>
  <c r="N113" i="1"/>
  <c r="O113" i="1"/>
  <c r="P113" i="1"/>
  <c r="D113" i="1"/>
  <c r="D112" i="1"/>
  <c r="E111" i="1"/>
  <c r="F111" i="1"/>
  <c r="G111" i="1"/>
  <c r="H111" i="1"/>
  <c r="I111" i="1"/>
  <c r="J111" i="1"/>
  <c r="K111" i="1"/>
  <c r="L111" i="1"/>
  <c r="M111" i="1"/>
  <c r="N111" i="1"/>
  <c r="O111" i="1"/>
  <c r="P111" i="1"/>
  <c r="D111" i="1"/>
  <c r="E109" i="1"/>
  <c r="F109" i="1"/>
  <c r="G109" i="1"/>
  <c r="H109" i="1"/>
  <c r="I109" i="1"/>
  <c r="J109" i="1"/>
  <c r="K109" i="1"/>
  <c r="L109" i="1"/>
  <c r="M109" i="1"/>
  <c r="N109" i="1"/>
  <c r="O109" i="1"/>
  <c r="P109" i="1"/>
  <c r="D109" i="1"/>
  <c r="E108" i="1"/>
  <c r="F108" i="1"/>
  <c r="G108" i="1"/>
  <c r="H108" i="1"/>
  <c r="I108" i="1"/>
  <c r="J108" i="1"/>
  <c r="K108" i="1"/>
  <c r="L108" i="1"/>
  <c r="M108" i="1"/>
  <c r="N108" i="1"/>
  <c r="O108" i="1"/>
  <c r="P108" i="1"/>
  <c r="D108" i="1"/>
  <c r="E107" i="1"/>
  <c r="F107" i="1"/>
  <c r="G107" i="1"/>
  <c r="H107" i="1"/>
  <c r="I107" i="1"/>
  <c r="J107" i="1"/>
  <c r="K107" i="1"/>
  <c r="L107" i="1"/>
  <c r="M107" i="1"/>
  <c r="N107" i="1"/>
  <c r="O107" i="1"/>
  <c r="P107" i="1"/>
  <c r="D107" i="1"/>
  <c r="D87" i="1"/>
  <c r="E89" i="1"/>
  <c r="F89" i="1"/>
  <c r="G89" i="1"/>
  <c r="H89" i="1"/>
  <c r="I89" i="1"/>
  <c r="J89" i="1"/>
  <c r="K89" i="1"/>
  <c r="L89" i="1"/>
  <c r="M89" i="1"/>
  <c r="N89" i="1"/>
  <c r="O89" i="1"/>
  <c r="P89" i="1"/>
  <c r="D89" i="1"/>
  <c r="E87" i="1"/>
  <c r="F87" i="1"/>
  <c r="G87" i="1"/>
  <c r="H87" i="1"/>
  <c r="I87" i="1"/>
  <c r="J87" i="1"/>
  <c r="K87" i="1"/>
  <c r="L87" i="1"/>
  <c r="M87" i="1"/>
  <c r="N87" i="1"/>
  <c r="O87" i="1"/>
  <c r="P87" i="1"/>
  <c r="H91" i="1"/>
  <c r="E91" i="1"/>
  <c r="F91" i="1"/>
  <c r="G91" i="1"/>
  <c r="I91" i="1"/>
  <c r="J91" i="1"/>
  <c r="K91" i="1"/>
  <c r="L91" i="1"/>
  <c r="M91" i="1"/>
  <c r="N91" i="1"/>
  <c r="O91" i="1"/>
  <c r="P91" i="1"/>
  <c r="D91" i="1"/>
  <c r="E90" i="1"/>
  <c r="F90" i="1"/>
  <c r="G90" i="1"/>
  <c r="H90" i="1"/>
  <c r="I90" i="1"/>
  <c r="J90" i="1"/>
  <c r="K90" i="1"/>
  <c r="L90" i="1"/>
  <c r="M90" i="1"/>
  <c r="N90" i="1"/>
  <c r="O90" i="1"/>
  <c r="P90" i="1"/>
  <c r="D90" i="1"/>
  <c r="E88" i="1"/>
  <c r="F88" i="1"/>
  <c r="G88" i="1"/>
  <c r="H88" i="1"/>
  <c r="I88" i="1"/>
  <c r="J88" i="1"/>
  <c r="K88" i="1"/>
  <c r="L88" i="1"/>
  <c r="M88" i="1"/>
  <c r="N88" i="1"/>
  <c r="O88" i="1"/>
  <c r="P88" i="1"/>
  <c r="D88" i="1"/>
  <c r="G86" i="1"/>
  <c r="D86" i="1"/>
  <c r="E86" i="1"/>
  <c r="F86" i="1"/>
  <c r="H86" i="1"/>
  <c r="I86" i="1"/>
  <c r="J86" i="1"/>
  <c r="K86" i="1"/>
  <c r="L86" i="1"/>
  <c r="M86" i="1"/>
  <c r="N86" i="1"/>
  <c r="O86" i="1"/>
  <c r="P86" i="1"/>
  <c r="E85" i="1"/>
  <c r="F85" i="1"/>
  <c r="G85" i="1"/>
  <c r="H85" i="1"/>
  <c r="I85" i="1"/>
  <c r="J85" i="1"/>
  <c r="K85" i="1"/>
  <c r="L85" i="1"/>
  <c r="M85" i="1"/>
  <c r="N85" i="1"/>
  <c r="O85" i="1"/>
  <c r="P85" i="1"/>
  <c r="D85" i="1"/>
  <c r="O84" i="1"/>
  <c r="E84" i="1"/>
  <c r="F84" i="1"/>
  <c r="G84" i="1"/>
  <c r="H84" i="1"/>
  <c r="I84" i="1"/>
  <c r="J84" i="1"/>
  <c r="K84" i="1"/>
  <c r="L84" i="1"/>
  <c r="M84" i="1"/>
  <c r="N84" i="1"/>
  <c r="P84" i="1"/>
  <c r="AC10" i="4"/>
  <c r="J67" i="1" s="1"/>
  <c r="AD13" i="4"/>
  <c r="M68" i="1" s="1"/>
  <c r="AI15" i="4"/>
  <c r="O71" i="1" s="1"/>
  <c r="AI5" i="4"/>
  <c r="E71" i="1" s="1"/>
  <c r="AI6" i="4"/>
  <c r="F71" i="1" s="1"/>
  <c r="AI7" i="4"/>
  <c r="G71" i="1" s="1"/>
  <c r="AI8" i="4"/>
  <c r="H71" i="1" s="1"/>
  <c r="AI9" i="4"/>
  <c r="I71" i="1" s="1"/>
  <c r="AI10" i="4"/>
  <c r="J71" i="1" s="1"/>
  <c r="AI11" i="4"/>
  <c r="K71" i="1" s="1"/>
  <c r="AI12" i="4"/>
  <c r="L71" i="1" s="1"/>
  <c r="AI13" i="4"/>
  <c r="M71" i="1" s="1"/>
  <c r="AI14" i="4"/>
  <c r="N71" i="1" s="1"/>
  <c r="AI16" i="4"/>
  <c r="P71" i="1" s="1"/>
  <c r="AI4" i="4"/>
  <c r="D71" i="1" s="1"/>
  <c r="AH5" i="4"/>
  <c r="E69" i="1" s="1"/>
  <c r="AH6" i="4"/>
  <c r="F69" i="1" s="1"/>
  <c r="AH7" i="4"/>
  <c r="G69" i="1" s="1"/>
  <c r="AH8" i="4"/>
  <c r="H69" i="1" s="1"/>
  <c r="AH9" i="4"/>
  <c r="I69" i="1" s="1"/>
  <c r="AH10" i="4"/>
  <c r="J69" i="1" s="1"/>
  <c r="AH11" i="4"/>
  <c r="K69" i="1" s="1"/>
  <c r="AH12" i="4"/>
  <c r="L69" i="1" s="1"/>
  <c r="AH13" i="4"/>
  <c r="M69" i="1" s="1"/>
  <c r="AH14" i="4"/>
  <c r="N69" i="1" s="1"/>
  <c r="AH15" i="4"/>
  <c r="O69" i="1" s="1"/>
  <c r="AH16" i="4"/>
  <c r="P69" i="1" s="1"/>
  <c r="AH4" i="4"/>
  <c r="D69" i="1" s="1"/>
  <c r="AG5" i="4"/>
  <c r="E73" i="1" s="1"/>
  <c r="AG6" i="4"/>
  <c r="F73" i="1" s="1"/>
  <c r="AG7" i="4"/>
  <c r="G73" i="1" s="1"/>
  <c r="AG8" i="4"/>
  <c r="H73" i="1" s="1"/>
  <c r="AG9" i="4"/>
  <c r="I73" i="1" s="1"/>
  <c r="AG10" i="4"/>
  <c r="J73" i="1" s="1"/>
  <c r="AG11" i="4"/>
  <c r="K73" i="1" s="1"/>
  <c r="AG12" i="4"/>
  <c r="L73" i="1" s="1"/>
  <c r="AG13" i="4"/>
  <c r="M73" i="1" s="1"/>
  <c r="AG14" i="4"/>
  <c r="N73" i="1" s="1"/>
  <c r="AG15" i="4"/>
  <c r="O73" i="1" s="1"/>
  <c r="AG16" i="4"/>
  <c r="P73" i="1" s="1"/>
  <c r="AG4" i="4"/>
  <c r="D73" i="1" s="1"/>
  <c r="AF5" i="4"/>
  <c r="E72" i="1" s="1"/>
  <c r="AF6" i="4"/>
  <c r="F72" i="1" s="1"/>
  <c r="AF7" i="4"/>
  <c r="G72" i="1" s="1"/>
  <c r="AF8" i="4"/>
  <c r="H72" i="1" s="1"/>
  <c r="AF9" i="4"/>
  <c r="I72" i="1" s="1"/>
  <c r="AF10" i="4"/>
  <c r="J72" i="1" s="1"/>
  <c r="AF11" i="4"/>
  <c r="K72" i="1" s="1"/>
  <c r="AF12" i="4"/>
  <c r="L72" i="1" s="1"/>
  <c r="AF13" i="4"/>
  <c r="M72" i="1" s="1"/>
  <c r="AF14" i="4"/>
  <c r="N72" i="1" s="1"/>
  <c r="AF15" i="4"/>
  <c r="O72" i="1" s="1"/>
  <c r="AF16" i="4"/>
  <c r="P72" i="1" s="1"/>
  <c r="AF4" i="4"/>
  <c r="D72" i="1" s="1"/>
  <c r="AE5" i="4"/>
  <c r="E70" i="1" s="1"/>
  <c r="AE6" i="4"/>
  <c r="F70" i="1" s="1"/>
  <c r="AE7" i="4"/>
  <c r="G70" i="1" s="1"/>
  <c r="AE8" i="4"/>
  <c r="H70" i="1" s="1"/>
  <c r="AE9" i="4"/>
  <c r="I70" i="1" s="1"/>
  <c r="AE10" i="4"/>
  <c r="J70" i="1" s="1"/>
  <c r="AE11" i="4"/>
  <c r="K70" i="1" s="1"/>
  <c r="AE12" i="4"/>
  <c r="L70" i="1" s="1"/>
  <c r="AE13" i="4"/>
  <c r="M70" i="1" s="1"/>
  <c r="AE14" i="4"/>
  <c r="N70" i="1" s="1"/>
  <c r="AE15" i="4"/>
  <c r="O70" i="1" s="1"/>
  <c r="AE16" i="4"/>
  <c r="P70" i="1" s="1"/>
  <c r="AE4" i="4"/>
  <c r="D70" i="1" s="1"/>
  <c r="AD5" i="4"/>
  <c r="E68" i="1" s="1"/>
  <c r="AD6" i="4"/>
  <c r="F68" i="1" s="1"/>
  <c r="AD7" i="4"/>
  <c r="G68" i="1" s="1"/>
  <c r="AD8" i="4"/>
  <c r="H68" i="1" s="1"/>
  <c r="AD9" i="4"/>
  <c r="I68" i="1" s="1"/>
  <c r="AD10" i="4"/>
  <c r="J68" i="1" s="1"/>
  <c r="AD11" i="4"/>
  <c r="K68" i="1" s="1"/>
  <c r="AD12" i="4"/>
  <c r="L68" i="1" s="1"/>
  <c r="AD14" i="4"/>
  <c r="N68" i="1" s="1"/>
  <c r="AD15" i="4"/>
  <c r="O68" i="1" s="1"/>
  <c r="AD16" i="4"/>
  <c r="P68" i="1" s="1"/>
  <c r="AD4" i="4"/>
  <c r="D68" i="1" s="1"/>
  <c r="AC5" i="4"/>
  <c r="E67" i="1" s="1"/>
  <c r="AC6" i="4"/>
  <c r="F67" i="1" s="1"/>
  <c r="AC7" i="4"/>
  <c r="G67" i="1" s="1"/>
  <c r="AC8" i="4"/>
  <c r="H67" i="1" s="1"/>
  <c r="AC9" i="4"/>
  <c r="I67" i="1" s="1"/>
  <c r="AC11" i="4"/>
  <c r="K67" i="1" s="1"/>
  <c r="AC12" i="4"/>
  <c r="L67" i="1" s="1"/>
  <c r="AC13" i="4"/>
  <c r="M67" i="1" s="1"/>
  <c r="AC14" i="4"/>
  <c r="N67" i="1" s="1"/>
  <c r="AC15" i="4"/>
  <c r="O67" i="1" s="1"/>
  <c r="AC16" i="4"/>
  <c r="P67" i="1" s="1"/>
  <c r="AC4" i="4"/>
  <c r="D67" i="1" s="1"/>
  <c r="AB16" i="4"/>
  <c r="AB5" i="4"/>
  <c r="AB6" i="4"/>
  <c r="AB7" i="4"/>
  <c r="AB9" i="4"/>
  <c r="AB10" i="4"/>
  <c r="AB11" i="4"/>
  <c r="AB12" i="4"/>
  <c r="AB13" i="4"/>
  <c r="AB14" i="4"/>
  <c r="AB15" i="4"/>
  <c r="AZ23" i="12"/>
  <c r="D40" i="1" s="1"/>
  <c r="AZ24" i="12"/>
  <c r="E40" i="1" s="1"/>
  <c r="AZ25" i="12"/>
  <c r="F40" i="1" s="1"/>
  <c r="AZ26" i="12"/>
  <c r="G40" i="1" s="1"/>
  <c r="AZ27" i="12"/>
  <c r="H40" i="1" s="1"/>
  <c r="AZ28" i="12"/>
  <c r="I40" i="1" s="1"/>
  <c r="AZ29" i="12"/>
  <c r="J40" i="1" s="1"/>
  <c r="AZ30" i="12"/>
  <c r="K40" i="1" s="1"/>
  <c r="AZ31" i="12"/>
  <c r="L40" i="1" s="1"/>
  <c r="AZ32" i="12"/>
  <c r="M40" i="1" s="1"/>
  <c r="AZ33" i="12"/>
  <c r="N40" i="1" s="1"/>
  <c r="AZ34" i="12"/>
  <c r="O40" i="1" s="1"/>
  <c r="AZ35" i="12"/>
  <c r="P40" i="1" s="1"/>
  <c r="AZ40" i="12"/>
  <c r="E54" i="1" s="1"/>
  <c r="AZ41" i="12"/>
  <c r="F54" i="1" s="1"/>
  <c r="AZ42" i="12"/>
  <c r="G54" i="1" s="1"/>
  <c r="AZ43" i="12"/>
  <c r="H54" i="1" s="1"/>
  <c r="AZ44" i="12"/>
  <c r="I54" i="1" s="1"/>
  <c r="AZ45" i="12"/>
  <c r="J54" i="1" s="1"/>
  <c r="AZ46" i="12"/>
  <c r="K54" i="1" s="1"/>
  <c r="AZ47" i="12"/>
  <c r="L54" i="1" s="1"/>
  <c r="AZ48" i="12"/>
  <c r="M54" i="1" s="1"/>
  <c r="AZ49" i="12"/>
  <c r="N54" i="1" s="1"/>
  <c r="AZ50" i="12"/>
  <c r="O54" i="1" s="1"/>
  <c r="AZ51" i="12"/>
  <c r="P54" i="1" s="1"/>
  <c r="AZ52" i="12"/>
  <c r="Q54" i="1" s="1"/>
  <c r="AZ39" i="12"/>
  <c r="D54" i="1" s="1"/>
  <c r="AY39" i="12"/>
  <c r="D53" i="1" s="1"/>
  <c r="AY40" i="12"/>
  <c r="E53" i="1" s="1"/>
  <c r="AY41" i="12"/>
  <c r="F53" i="1" s="1"/>
  <c r="AY42" i="12"/>
  <c r="G53" i="1" s="1"/>
  <c r="AY43" i="12"/>
  <c r="H53" i="1" s="1"/>
  <c r="AY44" i="12"/>
  <c r="I53" i="1" s="1"/>
  <c r="AY45" i="12"/>
  <c r="J53" i="1" s="1"/>
  <c r="AY46" i="12"/>
  <c r="K53" i="1" s="1"/>
  <c r="AY47" i="12"/>
  <c r="L53" i="1" s="1"/>
  <c r="AY48" i="12"/>
  <c r="M53" i="1" s="1"/>
  <c r="AY49" i="12"/>
  <c r="N53" i="1" s="1"/>
  <c r="AY50" i="12"/>
  <c r="O53" i="1" s="1"/>
  <c r="AY51" i="12"/>
  <c r="P53" i="1" s="1"/>
  <c r="AY52" i="12"/>
  <c r="Q53" i="1" s="1"/>
  <c r="BD49" i="12"/>
  <c r="N55" i="1" s="1"/>
  <c r="BD40" i="12"/>
  <c r="E55" i="1" s="1"/>
  <c r="BD41" i="12"/>
  <c r="F55" i="1" s="1"/>
  <c r="BD42" i="12"/>
  <c r="G55" i="1" s="1"/>
  <c r="BD43" i="12"/>
  <c r="H55" i="1" s="1"/>
  <c r="BD44" i="12"/>
  <c r="I55" i="1" s="1"/>
  <c r="BD45" i="12"/>
  <c r="J55" i="1" s="1"/>
  <c r="BD46" i="12"/>
  <c r="K55" i="1" s="1"/>
  <c r="BD47" i="12"/>
  <c r="L55" i="1" s="1"/>
  <c r="BD48" i="12"/>
  <c r="M55" i="1" s="1"/>
  <c r="BD50" i="12"/>
  <c r="O55" i="1" s="1"/>
  <c r="BD51" i="12"/>
  <c r="P55" i="1" s="1"/>
  <c r="BD52" i="12"/>
  <c r="Q55" i="1" s="1"/>
  <c r="BD39" i="12"/>
  <c r="D55" i="1" s="1"/>
  <c r="BC40" i="12"/>
  <c r="E59" i="1" s="1"/>
  <c r="BC41" i="12"/>
  <c r="F59" i="1" s="1"/>
  <c r="BC42" i="12"/>
  <c r="G59" i="1" s="1"/>
  <c r="BC43" i="12"/>
  <c r="H59" i="1" s="1"/>
  <c r="BC44" i="12"/>
  <c r="I59" i="1" s="1"/>
  <c r="BC45" i="12"/>
  <c r="J59" i="1" s="1"/>
  <c r="BC46" i="12"/>
  <c r="K59" i="1" s="1"/>
  <c r="BC47" i="12"/>
  <c r="L59" i="1" s="1"/>
  <c r="BC48" i="12"/>
  <c r="M59" i="1" s="1"/>
  <c r="BC49" i="12"/>
  <c r="N59" i="1" s="1"/>
  <c r="BC50" i="12"/>
  <c r="O59" i="1" s="1"/>
  <c r="BC51" i="12"/>
  <c r="P59" i="1" s="1"/>
  <c r="BC52" i="12"/>
  <c r="Q59" i="1" s="1"/>
  <c r="BC39" i="12"/>
  <c r="D59" i="1" s="1"/>
  <c r="BB40" i="12"/>
  <c r="E58" i="1" s="1"/>
  <c r="BB41" i="12"/>
  <c r="F58" i="1" s="1"/>
  <c r="BB42" i="12"/>
  <c r="G58" i="1" s="1"/>
  <c r="BB43" i="12"/>
  <c r="H58" i="1" s="1"/>
  <c r="BB44" i="12"/>
  <c r="I58" i="1" s="1"/>
  <c r="BB45" i="12"/>
  <c r="J58" i="1" s="1"/>
  <c r="BB46" i="12"/>
  <c r="K58" i="1" s="1"/>
  <c r="BB47" i="12"/>
  <c r="L58" i="1" s="1"/>
  <c r="BB48" i="12"/>
  <c r="M58" i="1" s="1"/>
  <c r="BB49" i="12"/>
  <c r="N58" i="1" s="1"/>
  <c r="BB50" i="12"/>
  <c r="O58" i="1" s="1"/>
  <c r="BB51" i="12"/>
  <c r="P58" i="1" s="1"/>
  <c r="BB52" i="12"/>
  <c r="Q58" i="1" s="1"/>
  <c r="BB39" i="12"/>
  <c r="D58" i="1" s="1"/>
  <c r="BB23" i="12"/>
  <c r="D44" i="1" s="1"/>
  <c r="BE39" i="12"/>
  <c r="D57" i="1" s="1"/>
  <c r="BA40" i="12"/>
  <c r="E56" i="1" s="1"/>
  <c r="BA41" i="12"/>
  <c r="F56" i="1" s="1"/>
  <c r="BA42" i="12"/>
  <c r="G56" i="1" s="1"/>
  <c r="BA43" i="12"/>
  <c r="H56" i="1" s="1"/>
  <c r="BA44" i="12"/>
  <c r="I56" i="1" s="1"/>
  <c r="BA45" i="12"/>
  <c r="J56" i="1" s="1"/>
  <c r="BA46" i="12"/>
  <c r="K56" i="1" s="1"/>
  <c r="BA47" i="12"/>
  <c r="L56" i="1" s="1"/>
  <c r="BA48" i="12"/>
  <c r="M56" i="1" s="1"/>
  <c r="BA49" i="12"/>
  <c r="N56" i="1" s="1"/>
  <c r="BA50" i="12"/>
  <c r="O56" i="1" s="1"/>
  <c r="BA51" i="12"/>
  <c r="P56" i="1" s="1"/>
  <c r="BA52" i="12"/>
  <c r="Q56" i="1" s="1"/>
  <c r="BA39" i="12"/>
  <c r="D56" i="1" s="1"/>
  <c r="BA23" i="12"/>
  <c r="D42" i="1" s="1"/>
  <c r="D52" i="1"/>
  <c r="AX51" i="12"/>
  <c r="P52" i="1" s="1"/>
  <c r="AX40" i="12"/>
  <c r="E52" i="1" s="1"/>
  <c r="AX41" i="12"/>
  <c r="F52" i="1" s="1"/>
  <c r="AX42" i="12"/>
  <c r="G52" i="1" s="1"/>
  <c r="AX43" i="12"/>
  <c r="H52" i="1" s="1"/>
  <c r="AX44" i="12"/>
  <c r="I52" i="1" s="1"/>
  <c r="AX45" i="12"/>
  <c r="J52" i="1" s="1"/>
  <c r="AX46" i="12"/>
  <c r="K52" i="1" s="1"/>
  <c r="AX47" i="12"/>
  <c r="L52" i="1" s="1"/>
  <c r="AX48" i="12"/>
  <c r="M52" i="1" s="1"/>
  <c r="AX49" i="12"/>
  <c r="N52" i="1" s="1"/>
  <c r="AX50" i="12"/>
  <c r="O52" i="1" s="1"/>
  <c r="AX52" i="12"/>
  <c r="Q52" i="1" s="1"/>
  <c r="BE40" i="12"/>
  <c r="E57" i="1" s="1"/>
  <c r="BE41" i="12"/>
  <c r="F57" i="1" s="1"/>
  <c r="BE42" i="12"/>
  <c r="G57" i="1" s="1"/>
  <c r="BE43" i="12"/>
  <c r="H57" i="1" s="1"/>
  <c r="BE44" i="12"/>
  <c r="I57" i="1" s="1"/>
  <c r="BE45" i="12"/>
  <c r="J57" i="1" s="1"/>
  <c r="BE46" i="12"/>
  <c r="K57" i="1" s="1"/>
  <c r="BE47" i="12"/>
  <c r="L57" i="1" s="1"/>
  <c r="BE48" i="12"/>
  <c r="M57" i="1" s="1"/>
  <c r="BE49" i="12"/>
  <c r="N57" i="1" s="1"/>
  <c r="BE50" i="12"/>
  <c r="O57" i="1" s="1"/>
  <c r="BE51" i="12"/>
  <c r="P57" i="1" s="1"/>
  <c r="BE52" i="12"/>
  <c r="Q57" i="1" s="1"/>
  <c r="BE24" i="12"/>
  <c r="E43" i="1" s="1"/>
  <c r="BE25" i="12"/>
  <c r="F43" i="1" s="1"/>
  <c r="BE26" i="12"/>
  <c r="G43" i="1" s="1"/>
  <c r="BE27" i="12"/>
  <c r="H43" i="1" s="1"/>
  <c r="BE28" i="12"/>
  <c r="I43" i="1" s="1"/>
  <c r="BE29" i="12"/>
  <c r="J43" i="1" s="1"/>
  <c r="BE30" i="12"/>
  <c r="K43" i="1" s="1"/>
  <c r="BE31" i="12"/>
  <c r="L43" i="1" s="1"/>
  <c r="BE32" i="12"/>
  <c r="M43" i="1" s="1"/>
  <c r="BE33" i="12"/>
  <c r="N43" i="1" s="1"/>
  <c r="BE34" i="12"/>
  <c r="O43" i="1" s="1"/>
  <c r="BE35" i="12"/>
  <c r="P43" i="1" s="1"/>
  <c r="BE23" i="12"/>
  <c r="D43" i="1" s="1"/>
  <c r="BD23" i="12"/>
  <c r="D41" i="1" s="1"/>
  <c r="BD24" i="12"/>
  <c r="E41" i="1" s="1"/>
  <c r="BD25" i="12"/>
  <c r="F41" i="1" s="1"/>
  <c r="BD26" i="12"/>
  <c r="G41" i="1" s="1"/>
  <c r="BD27" i="12"/>
  <c r="H41" i="1" s="1"/>
  <c r="BD28" i="12"/>
  <c r="I41" i="1" s="1"/>
  <c r="BD29" i="12"/>
  <c r="J41" i="1" s="1"/>
  <c r="BD30" i="12"/>
  <c r="K41" i="1" s="1"/>
  <c r="BD31" i="12"/>
  <c r="L41" i="1" s="1"/>
  <c r="BD32" i="12"/>
  <c r="M41" i="1" s="1"/>
  <c r="BD33" i="12"/>
  <c r="N41" i="1" s="1"/>
  <c r="BD34" i="12"/>
  <c r="O41" i="1" s="1"/>
  <c r="BD35" i="12"/>
  <c r="P41" i="1" s="1"/>
  <c r="BC24" i="12"/>
  <c r="E45" i="1" s="1"/>
  <c r="BC25" i="12"/>
  <c r="F45" i="1" s="1"/>
  <c r="BC26" i="12"/>
  <c r="G45" i="1" s="1"/>
  <c r="BC27" i="12"/>
  <c r="H45" i="1" s="1"/>
  <c r="BC28" i="12"/>
  <c r="I45" i="1" s="1"/>
  <c r="BC29" i="12"/>
  <c r="J45" i="1" s="1"/>
  <c r="BC30" i="12"/>
  <c r="K45" i="1" s="1"/>
  <c r="BC31" i="12"/>
  <c r="L45" i="1" s="1"/>
  <c r="BC32" i="12"/>
  <c r="M45" i="1" s="1"/>
  <c r="BC33" i="12"/>
  <c r="N45" i="1" s="1"/>
  <c r="BC34" i="12"/>
  <c r="O45" i="1" s="1"/>
  <c r="BC35" i="12"/>
  <c r="P45" i="1" s="1"/>
  <c r="BC23" i="12"/>
  <c r="D45" i="1" s="1"/>
  <c r="BB33" i="12"/>
  <c r="N44" i="1" s="1"/>
  <c r="BB24" i="12"/>
  <c r="E44" i="1" s="1"/>
  <c r="BB25" i="12"/>
  <c r="F44" i="1" s="1"/>
  <c r="BB26" i="12"/>
  <c r="G44" i="1" s="1"/>
  <c r="BB27" i="12"/>
  <c r="H44" i="1" s="1"/>
  <c r="BB28" i="12"/>
  <c r="I44" i="1" s="1"/>
  <c r="BB29" i="12"/>
  <c r="J44" i="1" s="1"/>
  <c r="BB30" i="12"/>
  <c r="K44" i="1" s="1"/>
  <c r="BB31" i="12"/>
  <c r="L44" i="1" s="1"/>
  <c r="BB32" i="12"/>
  <c r="M44" i="1" s="1"/>
  <c r="BB34" i="12"/>
  <c r="O44" i="1" s="1"/>
  <c r="BB35" i="12"/>
  <c r="P44" i="1" s="1"/>
  <c r="BA24" i="12"/>
  <c r="E42" i="1" s="1"/>
  <c r="BA25" i="12"/>
  <c r="F42" i="1" s="1"/>
  <c r="BA26" i="12"/>
  <c r="G42" i="1" s="1"/>
  <c r="BA27" i="12"/>
  <c r="H42" i="1" s="1"/>
  <c r="BA28" i="12"/>
  <c r="I42" i="1" s="1"/>
  <c r="BA29" i="12"/>
  <c r="J42" i="1" s="1"/>
  <c r="BA30" i="12"/>
  <c r="K42" i="1" s="1"/>
  <c r="BA31" i="12"/>
  <c r="L42" i="1" s="1"/>
  <c r="BA32" i="12"/>
  <c r="M42" i="1" s="1"/>
  <c r="BA33" i="12"/>
  <c r="N42" i="1" s="1"/>
  <c r="BA34" i="12"/>
  <c r="O42" i="1" s="1"/>
  <c r="BA35" i="12"/>
  <c r="P42" i="1" s="1"/>
  <c r="AY32" i="12"/>
  <c r="M39" i="1" s="1"/>
  <c r="AY24" i="12"/>
  <c r="E39" i="1" s="1"/>
  <c r="AY25" i="12"/>
  <c r="F39" i="1" s="1"/>
  <c r="AY26" i="12"/>
  <c r="G39" i="1" s="1"/>
  <c r="AY27" i="12"/>
  <c r="H39" i="1" s="1"/>
  <c r="AY28" i="12"/>
  <c r="I39" i="1" s="1"/>
  <c r="AY29" i="12"/>
  <c r="J39" i="1" s="1"/>
  <c r="AY30" i="12"/>
  <c r="K39" i="1" s="1"/>
  <c r="AY31" i="12"/>
  <c r="L39" i="1" s="1"/>
  <c r="AY33" i="12"/>
  <c r="N39" i="1" s="1"/>
  <c r="AY34" i="12"/>
  <c r="O39" i="1" s="1"/>
  <c r="AY35" i="12"/>
  <c r="P39" i="1" s="1"/>
  <c r="AY23" i="12"/>
  <c r="D39" i="1" s="1"/>
  <c r="AX24" i="12"/>
  <c r="E38" i="1" s="1"/>
  <c r="AX25" i="12"/>
  <c r="F38" i="1" s="1"/>
  <c r="AX26" i="12"/>
  <c r="G38" i="1" s="1"/>
  <c r="AX27" i="12"/>
  <c r="H38" i="1" s="1"/>
  <c r="AX28" i="12"/>
  <c r="I38" i="1" s="1"/>
  <c r="AX29" i="12"/>
  <c r="J38" i="1" s="1"/>
  <c r="AX30" i="12"/>
  <c r="K38" i="1" s="1"/>
  <c r="AX31" i="12"/>
  <c r="L38" i="1" s="1"/>
  <c r="AX32" i="12"/>
  <c r="M38" i="1" s="1"/>
  <c r="AX33" i="12"/>
  <c r="N38" i="1" s="1"/>
  <c r="AX34" i="12"/>
  <c r="O38" i="1" s="1"/>
  <c r="AX35" i="12"/>
  <c r="P38" i="1" s="1"/>
  <c r="AX23" i="12"/>
  <c r="D38" i="1" s="1"/>
  <c r="BE7" i="12"/>
  <c r="E29" i="1" s="1"/>
  <c r="BE8" i="12"/>
  <c r="F29" i="1" s="1"/>
  <c r="BE9" i="12"/>
  <c r="G29" i="1" s="1"/>
  <c r="BE10" i="12"/>
  <c r="H29" i="1" s="1"/>
  <c r="BE11" i="12"/>
  <c r="I29" i="1" s="1"/>
  <c r="BE12" i="12"/>
  <c r="J29" i="1" s="1"/>
  <c r="BE13" i="12"/>
  <c r="K29" i="1" s="1"/>
  <c r="BE14" i="12"/>
  <c r="L29" i="1" s="1"/>
  <c r="BE15" i="12"/>
  <c r="M29" i="1" s="1"/>
  <c r="BE16" i="12"/>
  <c r="N29" i="1" s="1"/>
  <c r="BE17" i="12"/>
  <c r="O29" i="1" s="1"/>
  <c r="BE18" i="12"/>
  <c r="P29" i="1" s="1"/>
  <c r="BE6" i="12"/>
  <c r="D29" i="1" s="1"/>
  <c r="BD18" i="12"/>
  <c r="P27" i="1" s="1"/>
  <c r="BD7" i="12"/>
  <c r="E27" i="1" s="1"/>
  <c r="BD8" i="12"/>
  <c r="F27" i="1" s="1"/>
  <c r="BD9" i="12"/>
  <c r="G27" i="1" s="1"/>
  <c r="BD10" i="12"/>
  <c r="H27" i="1" s="1"/>
  <c r="BD11" i="12"/>
  <c r="I27" i="1" s="1"/>
  <c r="BD12" i="12"/>
  <c r="J27" i="1" s="1"/>
  <c r="BD13" i="12"/>
  <c r="K27" i="1" s="1"/>
  <c r="BD14" i="12"/>
  <c r="L27" i="1" s="1"/>
  <c r="BD15" i="12"/>
  <c r="M27" i="1" s="1"/>
  <c r="BD16" i="12"/>
  <c r="N27" i="1" s="1"/>
  <c r="BD17" i="12"/>
  <c r="O27" i="1" s="1"/>
  <c r="BD6" i="12"/>
  <c r="D27" i="1" s="1"/>
  <c r="BC6" i="12"/>
  <c r="D31" i="1" s="1"/>
  <c r="BC7" i="12"/>
  <c r="E31" i="1" s="1"/>
  <c r="BC8" i="12"/>
  <c r="F31" i="1" s="1"/>
  <c r="BC9" i="12"/>
  <c r="G31" i="1" s="1"/>
  <c r="BC10" i="12"/>
  <c r="H31" i="1" s="1"/>
  <c r="BC11" i="12"/>
  <c r="I31" i="1" s="1"/>
  <c r="BC12" i="12"/>
  <c r="J31" i="1" s="1"/>
  <c r="BC13" i="12"/>
  <c r="K31" i="1" s="1"/>
  <c r="BC14" i="12"/>
  <c r="L31" i="1" s="1"/>
  <c r="BC15" i="12"/>
  <c r="M31" i="1" s="1"/>
  <c r="BC16" i="12"/>
  <c r="N31" i="1" s="1"/>
  <c r="BC17" i="12"/>
  <c r="O31" i="1" s="1"/>
  <c r="BC18" i="12"/>
  <c r="P31" i="1" s="1"/>
  <c r="BB7" i="12"/>
  <c r="E30" i="1" s="1"/>
  <c r="BB8" i="12"/>
  <c r="F30" i="1" s="1"/>
  <c r="BB9" i="12"/>
  <c r="G30" i="1" s="1"/>
  <c r="BB10" i="12"/>
  <c r="H30" i="1" s="1"/>
  <c r="BB11" i="12"/>
  <c r="I30" i="1" s="1"/>
  <c r="BB12" i="12"/>
  <c r="J30" i="1" s="1"/>
  <c r="BB13" i="12"/>
  <c r="K30" i="1" s="1"/>
  <c r="BB14" i="12"/>
  <c r="L30" i="1" s="1"/>
  <c r="BB15" i="12"/>
  <c r="M30" i="1" s="1"/>
  <c r="BB16" i="12"/>
  <c r="N30" i="1" s="1"/>
  <c r="BB17" i="12"/>
  <c r="O30" i="1" s="1"/>
  <c r="BB18" i="12"/>
  <c r="P30" i="1" s="1"/>
  <c r="BB6" i="12"/>
  <c r="D30" i="1" s="1"/>
  <c r="BA6" i="12"/>
  <c r="D28" i="1" s="1"/>
  <c r="AZ7" i="12"/>
  <c r="E26" i="1" s="1"/>
  <c r="AZ8" i="12"/>
  <c r="F26" i="1" s="1"/>
  <c r="AZ9" i="12"/>
  <c r="G26" i="1" s="1"/>
  <c r="AZ10" i="12"/>
  <c r="H26" i="1" s="1"/>
  <c r="AZ11" i="12"/>
  <c r="I26" i="1" s="1"/>
  <c r="AZ12" i="12"/>
  <c r="J26" i="1" s="1"/>
  <c r="AZ13" i="12"/>
  <c r="K26" i="1" s="1"/>
  <c r="AZ14" i="12"/>
  <c r="L26" i="1" s="1"/>
  <c r="AZ15" i="12"/>
  <c r="M26" i="1" s="1"/>
  <c r="AZ16" i="12"/>
  <c r="N26" i="1" s="1"/>
  <c r="AZ17" i="12"/>
  <c r="O26" i="1" s="1"/>
  <c r="AZ18" i="12"/>
  <c r="P26" i="1" s="1"/>
  <c r="AZ6" i="12"/>
  <c r="D26" i="1" s="1"/>
  <c r="AY14" i="12"/>
  <c r="L25" i="1" s="1"/>
  <c r="AY7" i="12"/>
  <c r="E25" i="1" s="1"/>
  <c r="AY8" i="12"/>
  <c r="F25" i="1" s="1"/>
  <c r="AY9" i="12"/>
  <c r="G25" i="1" s="1"/>
  <c r="AY10" i="12"/>
  <c r="H25" i="1" s="1"/>
  <c r="AY11" i="12"/>
  <c r="I25" i="1" s="1"/>
  <c r="AY12" i="12"/>
  <c r="J25" i="1" s="1"/>
  <c r="AY13" i="12"/>
  <c r="K25" i="1" s="1"/>
  <c r="AY15" i="12"/>
  <c r="M25" i="1" s="1"/>
  <c r="AY16" i="12"/>
  <c r="N25" i="1" s="1"/>
  <c r="AY17" i="12"/>
  <c r="O25" i="1" s="1"/>
  <c r="AY18" i="12"/>
  <c r="P25" i="1" s="1"/>
  <c r="AY6" i="12"/>
  <c r="D25" i="1" s="1"/>
  <c r="AX7" i="12"/>
  <c r="AX8" i="12"/>
  <c r="AX9" i="12"/>
  <c r="AX10" i="12"/>
  <c r="AX11" i="12"/>
  <c r="AX12" i="12"/>
  <c r="AX13" i="12"/>
  <c r="AX14" i="12"/>
  <c r="AX15" i="12"/>
  <c r="AX16" i="12"/>
  <c r="AX17" i="12"/>
  <c r="AX18" i="12"/>
  <c r="BA18" i="12"/>
  <c r="P28" i="1" s="1"/>
  <c r="BA17" i="12"/>
  <c r="O28" i="1" s="1"/>
  <c r="BA16" i="12"/>
  <c r="N28" i="1" s="1"/>
  <c r="BA15" i="12"/>
  <c r="M28" i="1" s="1"/>
  <c r="BA14" i="12"/>
  <c r="L28" i="1" s="1"/>
  <c r="BA13" i="12"/>
  <c r="K28" i="1" s="1"/>
  <c r="BA12" i="12"/>
  <c r="J28" i="1" s="1"/>
  <c r="BA11" i="12"/>
  <c r="I28" i="1" s="1"/>
  <c r="BA10" i="12"/>
  <c r="H28" i="1" s="1"/>
  <c r="BA9" i="12"/>
  <c r="G28" i="1" s="1"/>
  <c r="BA8" i="12"/>
  <c r="F28" i="1" s="1"/>
  <c r="BA7" i="12"/>
  <c r="E28" i="1" s="1"/>
  <c r="X5" i="3"/>
  <c r="E13" i="1" s="1"/>
  <c r="X6" i="3"/>
  <c r="F13" i="1" s="1"/>
  <c r="X7" i="3"/>
  <c r="G13" i="1" s="1"/>
  <c r="X8" i="3"/>
  <c r="H13" i="1" s="1"/>
  <c r="X9" i="3"/>
  <c r="I13" i="1" s="1"/>
  <c r="X10" i="3"/>
  <c r="J13" i="1" s="1"/>
  <c r="X11" i="3"/>
  <c r="K13" i="1" s="1"/>
  <c r="X12" i="3"/>
  <c r="L13" i="1" s="1"/>
  <c r="X13" i="3"/>
  <c r="M13" i="1" s="1"/>
  <c r="X14" i="3"/>
  <c r="N13" i="1" s="1"/>
  <c r="X15" i="3"/>
  <c r="O13" i="1" s="1"/>
  <c r="X16" i="3"/>
  <c r="P13" i="1" s="1"/>
  <c r="X4" i="3"/>
  <c r="D13" i="1" s="1"/>
  <c r="W8" i="3"/>
  <c r="H11" i="1" s="1"/>
  <c r="W5" i="3"/>
  <c r="E11" i="1" s="1"/>
  <c r="W6" i="3"/>
  <c r="F11" i="1" s="1"/>
  <c r="W7" i="3"/>
  <c r="G11" i="1" s="1"/>
  <c r="W9" i="3"/>
  <c r="I11" i="1" s="1"/>
  <c r="W10" i="3"/>
  <c r="J11" i="1" s="1"/>
  <c r="W11" i="3"/>
  <c r="K11" i="1" s="1"/>
  <c r="W12" i="3"/>
  <c r="L11" i="1" s="1"/>
  <c r="W13" i="3"/>
  <c r="M11" i="1" s="1"/>
  <c r="W14" i="3"/>
  <c r="N11" i="1" s="1"/>
  <c r="W15" i="3"/>
  <c r="O11" i="1" s="1"/>
  <c r="W16" i="3"/>
  <c r="P11" i="1" s="1"/>
  <c r="W4" i="3"/>
  <c r="D11" i="1" s="1"/>
  <c r="D15" i="1"/>
  <c r="V5" i="3"/>
  <c r="E15" i="1" s="1"/>
  <c r="V6" i="3"/>
  <c r="F15" i="1" s="1"/>
  <c r="V7" i="3"/>
  <c r="G15" i="1" s="1"/>
  <c r="V8" i="3"/>
  <c r="H15" i="1" s="1"/>
  <c r="V9" i="3"/>
  <c r="I15" i="1" s="1"/>
  <c r="V10" i="3"/>
  <c r="J15" i="1" s="1"/>
  <c r="V11" i="3"/>
  <c r="K15" i="1" s="1"/>
  <c r="V12" i="3"/>
  <c r="L15" i="1" s="1"/>
  <c r="V13" i="3"/>
  <c r="M15" i="1" s="1"/>
  <c r="V14" i="3"/>
  <c r="N15" i="1" s="1"/>
  <c r="V15" i="3"/>
  <c r="O15" i="1" s="1"/>
  <c r="V16" i="3"/>
  <c r="P15" i="1" s="1"/>
  <c r="E14" i="1"/>
  <c r="F14" i="1"/>
  <c r="G14" i="1"/>
  <c r="H14" i="1"/>
  <c r="I14" i="1"/>
  <c r="J14" i="1"/>
  <c r="K14" i="1"/>
  <c r="L14" i="1"/>
  <c r="M14" i="1"/>
  <c r="N14" i="1"/>
  <c r="O14" i="1"/>
  <c r="P14" i="1"/>
  <c r="U4" i="3"/>
  <c r="D14" i="1" s="1"/>
  <c r="P12" i="1"/>
  <c r="O12" i="1"/>
  <c r="T4" i="3"/>
  <c r="D12" i="1" s="1"/>
  <c r="E12" i="1"/>
  <c r="F12" i="1"/>
  <c r="G12" i="1"/>
  <c r="H12" i="1"/>
  <c r="I12" i="1"/>
  <c r="J12" i="1"/>
  <c r="K12" i="1"/>
  <c r="L12" i="1"/>
  <c r="M12" i="1"/>
  <c r="N12" i="1"/>
  <c r="E10" i="1"/>
  <c r="F10" i="1"/>
  <c r="G10" i="1"/>
  <c r="H10" i="1"/>
  <c r="I10" i="1"/>
  <c r="J10" i="1"/>
  <c r="K10" i="1"/>
  <c r="L10" i="1"/>
  <c r="M10" i="1"/>
  <c r="N10" i="1"/>
  <c r="O10" i="1"/>
  <c r="P10" i="1"/>
  <c r="S4" i="3"/>
  <c r="D10" i="1" s="1"/>
  <c r="E9" i="1"/>
  <c r="F9" i="1"/>
  <c r="G9" i="1"/>
  <c r="H9" i="1"/>
  <c r="I9" i="1"/>
  <c r="J9" i="1"/>
  <c r="K9" i="1"/>
  <c r="L9" i="1"/>
  <c r="M9" i="1"/>
  <c r="N9" i="1"/>
  <c r="O9" i="1"/>
  <c r="P9" i="1"/>
  <c r="R4" i="3"/>
  <c r="D9" i="1" s="1"/>
  <c r="E8" i="1"/>
  <c r="F8" i="1"/>
  <c r="G8" i="1"/>
  <c r="H8" i="1"/>
  <c r="I8" i="1"/>
  <c r="J8" i="1"/>
  <c r="K8" i="1"/>
  <c r="L8" i="1"/>
  <c r="M8" i="1"/>
  <c r="N8" i="1"/>
  <c r="O8" i="1"/>
  <c r="I256" i="1"/>
  <c r="I144" i="1"/>
  <c r="I128" i="1"/>
  <c r="F12" i="4"/>
  <c r="J128" i="1"/>
  <c r="K128" i="1"/>
  <c r="L128" i="1"/>
  <c r="M128" i="1"/>
  <c r="N128" i="1"/>
  <c r="O128" i="1"/>
  <c r="P128" i="1"/>
  <c r="H128" i="1"/>
  <c r="AY434" i="4"/>
  <c r="AY435" i="4"/>
  <c r="AY436" i="4"/>
  <c r="AY437" i="4"/>
  <c r="AY438" i="4"/>
  <c r="AY439" i="4"/>
  <c r="AY440" i="4"/>
  <c r="AY441" i="4"/>
  <c r="AY442" i="4"/>
  <c r="AY443" i="4"/>
  <c r="AY444" i="4"/>
  <c r="AY445" i="4"/>
  <c r="AY446" i="4"/>
  <c r="AY447" i="4"/>
  <c r="AY448" i="4"/>
  <c r="AY449" i="4"/>
  <c r="AY450" i="4"/>
  <c r="AY451" i="4"/>
  <c r="AY452" i="4"/>
  <c r="AY453" i="4"/>
  <c r="AY454" i="4"/>
  <c r="AY455" i="4"/>
  <c r="AY456" i="4"/>
  <c r="AY457" i="4"/>
  <c r="AY458" i="4"/>
  <c r="AY459" i="4"/>
  <c r="AY460" i="4"/>
  <c r="AY461" i="4"/>
  <c r="AY462" i="4"/>
  <c r="AY463" i="4"/>
  <c r="AY464" i="4"/>
  <c r="AY465" i="4"/>
  <c r="AY466" i="4"/>
  <c r="AY467" i="4"/>
  <c r="AY468" i="4"/>
  <c r="AY469" i="4"/>
  <c r="AY470" i="4"/>
  <c r="AY471" i="4"/>
  <c r="AY472" i="4"/>
  <c r="AY473" i="4"/>
  <c r="AY474" i="4"/>
  <c r="AY475" i="4"/>
  <c r="AY476" i="4"/>
  <c r="AY477" i="4"/>
  <c r="AY478" i="4"/>
  <c r="AY479" i="4"/>
  <c r="AY480" i="4"/>
  <c r="AY481" i="4"/>
  <c r="AY482" i="4"/>
  <c r="AY483" i="4"/>
  <c r="AY484" i="4"/>
  <c r="AY485" i="4"/>
  <c r="AY486" i="4"/>
  <c r="AY487" i="4"/>
  <c r="AY488" i="4"/>
  <c r="AY489" i="4"/>
  <c r="AY490" i="4"/>
  <c r="AY491" i="4"/>
  <c r="AY492" i="4"/>
  <c r="AY493" i="4"/>
  <c r="AY494" i="4"/>
  <c r="AY495" i="4"/>
  <c r="AY496" i="4"/>
  <c r="AY497" i="4"/>
  <c r="AY498" i="4"/>
  <c r="AY499" i="4"/>
  <c r="AY500" i="4"/>
  <c r="AY501" i="4"/>
  <c r="AY502" i="4"/>
  <c r="AY503" i="4"/>
  <c r="AY504" i="4"/>
  <c r="AY505" i="4"/>
  <c r="AY506" i="4"/>
  <c r="AY507" i="4"/>
  <c r="AY508" i="4"/>
  <c r="AY509" i="4"/>
  <c r="AY510" i="4"/>
  <c r="AY511" i="4"/>
  <c r="AY512" i="4"/>
  <c r="AY513" i="4"/>
  <c r="AY514" i="4"/>
  <c r="AY515" i="4"/>
  <c r="AY516" i="4"/>
  <c r="AY517" i="4"/>
  <c r="AY518" i="4"/>
  <c r="AY519" i="4"/>
  <c r="AY520" i="4"/>
  <c r="AY521" i="4"/>
  <c r="AY522" i="4"/>
  <c r="AY523" i="4"/>
  <c r="AY524" i="4"/>
  <c r="AY525" i="4"/>
  <c r="AY526" i="4"/>
  <c r="AY527" i="4"/>
  <c r="AY528" i="4"/>
  <c r="AY529" i="4"/>
  <c r="AY530" i="4"/>
  <c r="AY531" i="4"/>
  <c r="AY532" i="4"/>
  <c r="AY533" i="4"/>
  <c r="AY534" i="4"/>
  <c r="AY535" i="4"/>
  <c r="AY536" i="4"/>
  <c r="AY537" i="4"/>
  <c r="AY538" i="4"/>
  <c r="AY539" i="4"/>
  <c r="AY540" i="4"/>
  <c r="AY541" i="4"/>
  <c r="AY542" i="4"/>
  <c r="AY543" i="4"/>
  <c r="AY544" i="4"/>
  <c r="AY545" i="4"/>
  <c r="AY546" i="4"/>
  <c r="AY547" i="4"/>
  <c r="AY548" i="4"/>
  <c r="AY549" i="4"/>
  <c r="AY550" i="4"/>
  <c r="AY551" i="4"/>
  <c r="AY552" i="4"/>
  <c r="AY553" i="4"/>
  <c r="AY554" i="4"/>
  <c r="AY555" i="4"/>
  <c r="AY556" i="4"/>
  <c r="AY557" i="4"/>
  <c r="AX434" i="4"/>
  <c r="AX435" i="4"/>
  <c r="AX436" i="4"/>
  <c r="AX437" i="4"/>
  <c r="AX438" i="4"/>
  <c r="AX439" i="4"/>
  <c r="AX440" i="4"/>
  <c r="AX441" i="4"/>
  <c r="AX442" i="4"/>
  <c r="AX443" i="4"/>
  <c r="AX444" i="4"/>
  <c r="AX445" i="4"/>
  <c r="AX446" i="4"/>
  <c r="AX447" i="4"/>
  <c r="AX448" i="4"/>
  <c r="AX449" i="4"/>
  <c r="AX450" i="4"/>
  <c r="AX451" i="4"/>
  <c r="AX452" i="4"/>
  <c r="AX453" i="4"/>
  <c r="AX454" i="4"/>
  <c r="AX455" i="4"/>
  <c r="AX456" i="4"/>
  <c r="AX457" i="4"/>
  <c r="AX458" i="4"/>
  <c r="AX459" i="4"/>
  <c r="AX460" i="4"/>
  <c r="AX461" i="4"/>
  <c r="AX462" i="4"/>
  <c r="AX463" i="4"/>
  <c r="AX464" i="4"/>
  <c r="AX465" i="4"/>
  <c r="AX466" i="4"/>
  <c r="AX467" i="4"/>
  <c r="AX468" i="4"/>
  <c r="AX469" i="4"/>
  <c r="AX470" i="4"/>
  <c r="AX471" i="4"/>
  <c r="AX472" i="4"/>
  <c r="AX473" i="4"/>
  <c r="AX474" i="4"/>
  <c r="AX475" i="4"/>
  <c r="AX476" i="4"/>
  <c r="AX477" i="4"/>
  <c r="AX478" i="4"/>
  <c r="AX479" i="4"/>
  <c r="AX480" i="4"/>
  <c r="AX481" i="4"/>
  <c r="AX482" i="4"/>
  <c r="AX483" i="4"/>
  <c r="AX484" i="4"/>
  <c r="AX485" i="4"/>
  <c r="AX486" i="4"/>
  <c r="AX487" i="4"/>
  <c r="AX488" i="4"/>
  <c r="AX489" i="4"/>
  <c r="AX490" i="4"/>
  <c r="AX491" i="4"/>
  <c r="AX492" i="4"/>
  <c r="AX493" i="4"/>
  <c r="AX494" i="4"/>
  <c r="AX495" i="4"/>
  <c r="AX496" i="4"/>
  <c r="AX497" i="4"/>
  <c r="AX498" i="4"/>
  <c r="AX499" i="4"/>
  <c r="AX500" i="4"/>
  <c r="AX501" i="4"/>
  <c r="AX502" i="4"/>
  <c r="AX503" i="4"/>
  <c r="AX504" i="4"/>
  <c r="AX505" i="4"/>
  <c r="AX506" i="4"/>
  <c r="AX507" i="4"/>
  <c r="AX508" i="4"/>
  <c r="AX509" i="4"/>
  <c r="AX510" i="4"/>
  <c r="AX511" i="4"/>
  <c r="AX512" i="4"/>
  <c r="AX513" i="4"/>
  <c r="AX514" i="4"/>
  <c r="AX515" i="4"/>
  <c r="AX516" i="4"/>
  <c r="AX517" i="4"/>
  <c r="AX518" i="4"/>
  <c r="AX519" i="4"/>
  <c r="AX520" i="4"/>
  <c r="AX521" i="4"/>
  <c r="AX522" i="4"/>
  <c r="AX523" i="4"/>
  <c r="AX524" i="4"/>
  <c r="AX525" i="4"/>
  <c r="AX526" i="4"/>
  <c r="AX527" i="4"/>
  <c r="AX528" i="4"/>
  <c r="AX529" i="4"/>
  <c r="AX530" i="4"/>
  <c r="AX531" i="4"/>
  <c r="AX532" i="4"/>
  <c r="AX533" i="4"/>
  <c r="AX534" i="4"/>
  <c r="AX535" i="4"/>
  <c r="AX536" i="4"/>
  <c r="AX537" i="4"/>
  <c r="AX538" i="4"/>
  <c r="AX539" i="4"/>
  <c r="AX540" i="4"/>
  <c r="AX541" i="4"/>
  <c r="AX542" i="4"/>
  <c r="AX543" i="4"/>
  <c r="AX544" i="4"/>
  <c r="AX545" i="4"/>
  <c r="AX546" i="4"/>
  <c r="AX547" i="4"/>
  <c r="AX548" i="4"/>
  <c r="AX549" i="4"/>
  <c r="AX550" i="4"/>
  <c r="AX551" i="4"/>
  <c r="AX552" i="4"/>
  <c r="AX553" i="4"/>
  <c r="AX554" i="4"/>
  <c r="AX555" i="4"/>
  <c r="AX556" i="4"/>
  <c r="AX557" i="4"/>
  <c r="AW434" i="4"/>
  <c r="AW435" i="4"/>
  <c r="AW436" i="4"/>
  <c r="AW437" i="4"/>
  <c r="AW438" i="4"/>
  <c r="AW439" i="4"/>
  <c r="AW440" i="4"/>
  <c r="AW441" i="4"/>
  <c r="AW442" i="4"/>
  <c r="AW443" i="4"/>
  <c r="AW444" i="4"/>
  <c r="AW445" i="4"/>
  <c r="AW446" i="4"/>
  <c r="AW447" i="4"/>
  <c r="AW448" i="4"/>
  <c r="AW449" i="4"/>
  <c r="AW450" i="4"/>
  <c r="AW451" i="4"/>
  <c r="AW452" i="4"/>
  <c r="AW453" i="4"/>
  <c r="AW454" i="4"/>
  <c r="AW455" i="4"/>
  <c r="AW456" i="4"/>
  <c r="AW457" i="4"/>
  <c r="AW458" i="4"/>
  <c r="AW459" i="4"/>
  <c r="AW460" i="4"/>
  <c r="AW461" i="4"/>
  <c r="AW462" i="4"/>
  <c r="AW463" i="4"/>
  <c r="AW464" i="4"/>
  <c r="AW465" i="4"/>
  <c r="AW466" i="4"/>
  <c r="AW467" i="4"/>
  <c r="AW468" i="4"/>
  <c r="AW469" i="4"/>
  <c r="AW470" i="4"/>
  <c r="AW471" i="4"/>
  <c r="AW472" i="4"/>
  <c r="AW473" i="4"/>
  <c r="AW474" i="4"/>
  <c r="AW475" i="4"/>
  <c r="AW476" i="4"/>
  <c r="AW477" i="4"/>
  <c r="AW478" i="4"/>
  <c r="AW479" i="4"/>
  <c r="AW480" i="4"/>
  <c r="AW481" i="4"/>
  <c r="AW482" i="4"/>
  <c r="AW483" i="4"/>
  <c r="AW484" i="4"/>
  <c r="AW485" i="4"/>
  <c r="AW486" i="4"/>
  <c r="AW487" i="4"/>
  <c r="AW488" i="4"/>
  <c r="AW489" i="4"/>
  <c r="AW490" i="4"/>
  <c r="AW491" i="4"/>
  <c r="AW492" i="4"/>
  <c r="AW493" i="4"/>
  <c r="AW494" i="4"/>
  <c r="AW495" i="4"/>
  <c r="AW496" i="4"/>
  <c r="AW497" i="4"/>
  <c r="AW498" i="4"/>
  <c r="AW499" i="4"/>
  <c r="AW500" i="4"/>
  <c r="AW501" i="4"/>
  <c r="AW502" i="4"/>
  <c r="AW503" i="4"/>
  <c r="AW504" i="4"/>
  <c r="AW505" i="4"/>
  <c r="AW506" i="4"/>
  <c r="AW507" i="4"/>
  <c r="AW508" i="4"/>
  <c r="AW509" i="4"/>
  <c r="AW510" i="4"/>
  <c r="AW511" i="4"/>
  <c r="AW512" i="4"/>
  <c r="AW513" i="4"/>
  <c r="AW514" i="4"/>
  <c r="AW515" i="4"/>
  <c r="AW516" i="4"/>
  <c r="AW517" i="4"/>
  <c r="AW518" i="4"/>
  <c r="AW519" i="4"/>
  <c r="AW520" i="4"/>
  <c r="AW521" i="4"/>
  <c r="AW522" i="4"/>
  <c r="AW523" i="4"/>
  <c r="AW524" i="4"/>
  <c r="AW525" i="4"/>
  <c r="AW526" i="4"/>
  <c r="AW527" i="4"/>
  <c r="AW528" i="4"/>
  <c r="AW529" i="4"/>
  <c r="AW530" i="4"/>
  <c r="AW531" i="4"/>
  <c r="AW532" i="4"/>
  <c r="AW533" i="4"/>
  <c r="AW534" i="4"/>
  <c r="AW535" i="4"/>
  <c r="AW536" i="4"/>
  <c r="AW537" i="4"/>
  <c r="AW538" i="4"/>
  <c r="AW539" i="4"/>
  <c r="AW540" i="4"/>
  <c r="AW541" i="4"/>
  <c r="AW542" i="4"/>
  <c r="AW543" i="4"/>
  <c r="AW544" i="4"/>
  <c r="AW545" i="4"/>
  <c r="AW546" i="4"/>
  <c r="AW547" i="4"/>
  <c r="AW548" i="4"/>
  <c r="AW549" i="4"/>
  <c r="AW550" i="4"/>
  <c r="AW551" i="4"/>
  <c r="AW552" i="4"/>
  <c r="AW553" i="4"/>
  <c r="AW554" i="4"/>
  <c r="AW555" i="4"/>
  <c r="AW556" i="4"/>
  <c r="AW557" i="4"/>
  <c r="AV434" i="4"/>
  <c r="AV435" i="4"/>
  <c r="AV436" i="4"/>
  <c r="AV437" i="4"/>
  <c r="AV438" i="4"/>
  <c r="AV439" i="4"/>
  <c r="AV440" i="4"/>
  <c r="AV441" i="4"/>
  <c r="AV442" i="4"/>
  <c r="AV443" i="4"/>
  <c r="AV444" i="4"/>
  <c r="AV445" i="4"/>
  <c r="AV446" i="4"/>
  <c r="AV447" i="4"/>
  <c r="AV448" i="4"/>
  <c r="AV449" i="4"/>
  <c r="AV450" i="4"/>
  <c r="AV451" i="4"/>
  <c r="AV452" i="4"/>
  <c r="AV453" i="4"/>
  <c r="AV454" i="4"/>
  <c r="AV455" i="4"/>
  <c r="AV456" i="4"/>
  <c r="AV457" i="4"/>
  <c r="AV458" i="4"/>
  <c r="AV459" i="4"/>
  <c r="AV460" i="4"/>
  <c r="AV461" i="4"/>
  <c r="AV462" i="4"/>
  <c r="AV463" i="4"/>
  <c r="AV464" i="4"/>
  <c r="AV465" i="4"/>
  <c r="AV466" i="4"/>
  <c r="AV467" i="4"/>
  <c r="AV468" i="4"/>
  <c r="AV469" i="4"/>
  <c r="AV470" i="4"/>
  <c r="AV471" i="4"/>
  <c r="AV472" i="4"/>
  <c r="AV473" i="4"/>
  <c r="AV474" i="4"/>
  <c r="AV475" i="4"/>
  <c r="AV476" i="4"/>
  <c r="AV477" i="4"/>
  <c r="AV478" i="4"/>
  <c r="AV479" i="4"/>
  <c r="AV480" i="4"/>
  <c r="AV481" i="4"/>
  <c r="AV482" i="4"/>
  <c r="AV483" i="4"/>
  <c r="AV484" i="4"/>
  <c r="AV485" i="4"/>
  <c r="AV486" i="4"/>
  <c r="AV487" i="4"/>
  <c r="AV488" i="4"/>
  <c r="AV489" i="4"/>
  <c r="AV490" i="4"/>
  <c r="AV491" i="4"/>
  <c r="AV492" i="4"/>
  <c r="AV493" i="4"/>
  <c r="AV494" i="4"/>
  <c r="AV495" i="4"/>
  <c r="AV496" i="4"/>
  <c r="AV497" i="4"/>
  <c r="AV498" i="4"/>
  <c r="AV499" i="4"/>
  <c r="AV500" i="4"/>
  <c r="AV501" i="4"/>
  <c r="AV502" i="4"/>
  <c r="AV503" i="4"/>
  <c r="AV504" i="4"/>
  <c r="AV505" i="4"/>
  <c r="AV506" i="4"/>
  <c r="AV507" i="4"/>
  <c r="AV508" i="4"/>
  <c r="AV509" i="4"/>
  <c r="AV510" i="4"/>
  <c r="AV511" i="4"/>
  <c r="AV512" i="4"/>
  <c r="AV513" i="4"/>
  <c r="AV514" i="4"/>
  <c r="AV515" i="4"/>
  <c r="AV516" i="4"/>
  <c r="AV517" i="4"/>
  <c r="AV518" i="4"/>
  <c r="AV519" i="4"/>
  <c r="AV520" i="4"/>
  <c r="AV521" i="4"/>
  <c r="AV522" i="4"/>
  <c r="AV523" i="4"/>
  <c r="AV524" i="4"/>
  <c r="AV525" i="4"/>
  <c r="AV526" i="4"/>
  <c r="AV527" i="4"/>
  <c r="AV528" i="4"/>
  <c r="AV529" i="4"/>
  <c r="AV530" i="4"/>
  <c r="AV531" i="4"/>
  <c r="AV532" i="4"/>
  <c r="AV533" i="4"/>
  <c r="AV534" i="4"/>
  <c r="AV535" i="4"/>
  <c r="AV536" i="4"/>
  <c r="AV537" i="4"/>
  <c r="AV538" i="4"/>
  <c r="AV539" i="4"/>
  <c r="AV540" i="4"/>
  <c r="AV541" i="4"/>
  <c r="AV542" i="4"/>
  <c r="AV543" i="4"/>
  <c r="AV544" i="4"/>
  <c r="AV545" i="4"/>
  <c r="AV546" i="4"/>
  <c r="AV547" i="4"/>
  <c r="AV548" i="4"/>
  <c r="AV549" i="4"/>
  <c r="AV550" i="4"/>
  <c r="AV551" i="4"/>
  <c r="AV552" i="4"/>
  <c r="AV553" i="4"/>
  <c r="AV554" i="4"/>
  <c r="AV555" i="4"/>
  <c r="AV556" i="4"/>
  <c r="AV557" i="4"/>
  <c r="AU434" i="4"/>
  <c r="AU435" i="4"/>
  <c r="AU436" i="4"/>
  <c r="AU437" i="4"/>
  <c r="AU438" i="4"/>
  <c r="AU439" i="4"/>
  <c r="AU440" i="4"/>
  <c r="AU441" i="4"/>
  <c r="AU442" i="4"/>
  <c r="AU443" i="4"/>
  <c r="AU444" i="4"/>
  <c r="AU445" i="4"/>
  <c r="AU446" i="4"/>
  <c r="AU447" i="4"/>
  <c r="AU448" i="4"/>
  <c r="AU449" i="4"/>
  <c r="AU450" i="4"/>
  <c r="AU451" i="4"/>
  <c r="AU452" i="4"/>
  <c r="AU453" i="4"/>
  <c r="AU454" i="4"/>
  <c r="AU455" i="4"/>
  <c r="AU456" i="4"/>
  <c r="AU457" i="4"/>
  <c r="AU458" i="4"/>
  <c r="AU459" i="4"/>
  <c r="AU460" i="4"/>
  <c r="AU461" i="4"/>
  <c r="AU462" i="4"/>
  <c r="AU463" i="4"/>
  <c r="AU464" i="4"/>
  <c r="AU465" i="4"/>
  <c r="AU466" i="4"/>
  <c r="AU467" i="4"/>
  <c r="AU468" i="4"/>
  <c r="AU469" i="4"/>
  <c r="AU470" i="4"/>
  <c r="AU471" i="4"/>
  <c r="AU472" i="4"/>
  <c r="AU473" i="4"/>
  <c r="AU474" i="4"/>
  <c r="AU475" i="4"/>
  <c r="AU476" i="4"/>
  <c r="AU477" i="4"/>
  <c r="AU478" i="4"/>
  <c r="AU479" i="4"/>
  <c r="AU480" i="4"/>
  <c r="AU481" i="4"/>
  <c r="AU482" i="4"/>
  <c r="AU483" i="4"/>
  <c r="AU484" i="4"/>
  <c r="AU485" i="4"/>
  <c r="AU486" i="4"/>
  <c r="AU487" i="4"/>
  <c r="AU488" i="4"/>
  <c r="AU489" i="4"/>
  <c r="AU490" i="4"/>
  <c r="AU491" i="4"/>
  <c r="AU492" i="4"/>
  <c r="AU493" i="4"/>
  <c r="AU494" i="4"/>
  <c r="AU495" i="4"/>
  <c r="AU496" i="4"/>
  <c r="AU497" i="4"/>
  <c r="AU498" i="4"/>
  <c r="AU499" i="4"/>
  <c r="AU500" i="4"/>
  <c r="AU501" i="4"/>
  <c r="AU502" i="4"/>
  <c r="AU503" i="4"/>
  <c r="AU504" i="4"/>
  <c r="AU505" i="4"/>
  <c r="AU506" i="4"/>
  <c r="AU507" i="4"/>
  <c r="AU508" i="4"/>
  <c r="AU509" i="4"/>
  <c r="AU510" i="4"/>
  <c r="AU511" i="4"/>
  <c r="AU512" i="4"/>
  <c r="AU513" i="4"/>
  <c r="AU514" i="4"/>
  <c r="AU515" i="4"/>
  <c r="AU516" i="4"/>
  <c r="AU517" i="4"/>
  <c r="AU518" i="4"/>
  <c r="AU519" i="4"/>
  <c r="AU520" i="4"/>
  <c r="AU521" i="4"/>
  <c r="AU522" i="4"/>
  <c r="AU523" i="4"/>
  <c r="AU524" i="4"/>
  <c r="AU525" i="4"/>
  <c r="AU526" i="4"/>
  <c r="AU527" i="4"/>
  <c r="AU528" i="4"/>
  <c r="AU529" i="4"/>
  <c r="AU530" i="4"/>
  <c r="AU531" i="4"/>
  <c r="AU532" i="4"/>
  <c r="AU533" i="4"/>
  <c r="AU534" i="4"/>
  <c r="AU535" i="4"/>
  <c r="AU536" i="4"/>
  <c r="AU537" i="4"/>
  <c r="AU538" i="4"/>
  <c r="AU539" i="4"/>
  <c r="AU540" i="4"/>
  <c r="AU541" i="4"/>
  <c r="AU542" i="4"/>
  <c r="AU543" i="4"/>
  <c r="AU544" i="4"/>
  <c r="AU545" i="4"/>
  <c r="AU546" i="4"/>
  <c r="AU547" i="4"/>
  <c r="AU548" i="4"/>
  <c r="AU549" i="4"/>
  <c r="AU550" i="4"/>
  <c r="AU551" i="4"/>
  <c r="AU552" i="4"/>
  <c r="AU553" i="4"/>
  <c r="AU554" i="4"/>
  <c r="AU555" i="4"/>
  <c r="AU556" i="4"/>
  <c r="AU557" i="4"/>
  <c r="AT434" i="4"/>
  <c r="AT435" i="4"/>
  <c r="AT436" i="4"/>
  <c r="AT437" i="4"/>
  <c r="AT438" i="4"/>
  <c r="AT439" i="4"/>
  <c r="AT440" i="4"/>
  <c r="AT441" i="4"/>
  <c r="AT442" i="4"/>
  <c r="AT443" i="4"/>
  <c r="AT444" i="4"/>
  <c r="AT445" i="4"/>
  <c r="AT446" i="4"/>
  <c r="AT447" i="4"/>
  <c r="AT448" i="4"/>
  <c r="AT449" i="4"/>
  <c r="AT450" i="4"/>
  <c r="AT451" i="4"/>
  <c r="AT452" i="4"/>
  <c r="AT453" i="4"/>
  <c r="AT454" i="4"/>
  <c r="AT455" i="4"/>
  <c r="AT456" i="4"/>
  <c r="AT457" i="4"/>
  <c r="AT458" i="4"/>
  <c r="AT459" i="4"/>
  <c r="AT460" i="4"/>
  <c r="AT461" i="4"/>
  <c r="AT462" i="4"/>
  <c r="AT463" i="4"/>
  <c r="AT464" i="4"/>
  <c r="AT465" i="4"/>
  <c r="AT466" i="4"/>
  <c r="AT467" i="4"/>
  <c r="AT468" i="4"/>
  <c r="AT469" i="4"/>
  <c r="AT470" i="4"/>
  <c r="AT471" i="4"/>
  <c r="AT472" i="4"/>
  <c r="AT473" i="4"/>
  <c r="AT474" i="4"/>
  <c r="AT475" i="4"/>
  <c r="AT476" i="4"/>
  <c r="AT477" i="4"/>
  <c r="AT478" i="4"/>
  <c r="AT479" i="4"/>
  <c r="AT480" i="4"/>
  <c r="AT481" i="4"/>
  <c r="AT482" i="4"/>
  <c r="AT483" i="4"/>
  <c r="AT484" i="4"/>
  <c r="AT485" i="4"/>
  <c r="AT486" i="4"/>
  <c r="AT487" i="4"/>
  <c r="AT488" i="4"/>
  <c r="AT489" i="4"/>
  <c r="AT490" i="4"/>
  <c r="AT491" i="4"/>
  <c r="AT492" i="4"/>
  <c r="AT493" i="4"/>
  <c r="AT494" i="4"/>
  <c r="AT495" i="4"/>
  <c r="AT496" i="4"/>
  <c r="AT497" i="4"/>
  <c r="AT498" i="4"/>
  <c r="AT499" i="4"/>
  <c r="AT500" i="4"/>
  <c r="AT501" i="4"/>
  <c r="AT502" i="4"/>
  <c r="AT503" i="4"/>
  <c r="AT504" i="4"/>
  <c r="AT505" i="4"/>
  <c r="AT506" i="4"/>
  <c r="AT507" i="4"/>
  <c r="AT508" i="4"/>
  <c r="AT509" i="4"/>
  <c r="AT510" i="4"/>
  <c r="AT511" i="4"/>
  <c r="AT512" i="4"/>
  <c r="AT513" i="4"/>
  <c r="AT514" i="4"/>
  <c r="AT515" i="4"/>
  <c r="AT516" i="4"/>
  <c r="AT517" i="4"/>
  <c r="AT518" i="4"/>
  <c r="AT519" i="4"/>
  <c r="AT520" i="4"/>
  <c r="AT521" i="4"/>
  <c r="AT522" i="4"/>
  <c r="AT523" i="4"/>
  <c r="AT524" i="4"/>
  <c r="AT525" i="4"/>
  <c r="AT526" i="4"/>
  <c r="AT527" i="4"/>
  <c r="AT528" i="4"/>
  <c r="AT529" i="4"/>
  <c r="AT530" i="4"/>
  <c r="AT531" i="4"/>
  <c r="AT532" i="4"/>
  <c r="AT533" i="4"/>
  <c r="AT534" i="4"/>
  <c r="AT535" i="4"/>
  <c r="AT536" i="4"/>
  <c r="AT537" i="4"/>
  <c r="AT538" i="4"/>
  <c r="AT539" i="4"/>
  <c r="AT540" i="4"/>
  <c r="AT541" i="4"/>
  <c r="AT542" i="4"/>
  <c r="AT543" i="4"/>
  <c r="AT544" i="4"/>
  <c r="AT545" i="4"/>
  <c r="AT546" i="4"/>
  <c r="AT547" i="4"/>
  <c r="AT548" i="4"/>
  <c r="AT549" i="4"/>
  <c r="AT550" i="4"/>
  <c r="AT551" i="4"/>
  <c r="AT552" i="4"/>
  <c r="AT553" i="4"/>
  <c r="AT554" i="4"/>
  <c r="AT555" i="4"/>
  <c r="AT556" i="4"/>
  <c r="AT557" i="4"/>
  <c r="AS434" i="4"/>
  <c r="AS435" i="4"/>
  <c r="AS436" i="4"/>
  <c r="AS437" i="4"/>
  <c r="AS438" i="4"/>
  <c r="AS439" i="4"/>
  <c r="AS440" i="4"/>
  <c r="AS441" i="4"/>
  <c r="AS442" i="4"/>
  <c r="AS443" i="4"/>
  <c r="AS444" i="4"/>
  <c r="AS445" i="4"/>
  <c r="AS446" i="4"/>
  <c r="AS447" i="4"/>
  <c r="AS448" i="4"/>
  <c r="AS449" i="4"/>
  <c r="AS450" i="4"/>
  <c r="AS451" i="4"/>
  <c r="AS452" i="4"/>
  <c r="AS453" i="4"/>
  <c r="AS454" i="4"/>
  <c r="AS455" i="4"/>
  <c r="AS456" i="4"/>
  <c r="AS457" i="4"/>
  <c r="AS458" i="4"/>
  <c r="AS459" i="4"/>
  <c r="AS460" i="4"/>
  <c r="AS461" i="4"/>
  <c r="AS462" i="4"/>
  <c r="AS463" i="4"/>
  <c r="AS464" i="4"/>
  <c r="AS465" i="4"/>
  <c r="AS466" i="4"/>
  <c r="AS467" i="4"/>
  <c r="AS468" i="4"/>
  <c r="AS469" i="4"/>
  <c r="AS470" i="4"/>
  <c r="AS471" i="4"/>
  <c r="AS472" i="4"/>
  <c r="AS473" i="4"/>
  <c r="AS474" i="4"/>
  <c r="AS475" i="4"/>
  <c r="AS476" i="4"/>
  <c r="AS477" i="4"/>
  <c r="AS478" i="4"/>
  <c r="AS479" i="4"/>
  <c r="AS480" i="4"/>
  <c r="AS481" i="4"/>
  <c r="AS482" i="4"/>
  <c r="AS483" i="4"/>
  <c r="AS484" i="4"/>
  <c r="AS485" i="4"/>
  <c r="AS486" i="4"/>
  <c r="AS487" i="4"/>
  <c r="AS488" i="4"/>
  <c r="AS489" i="4"/>
  <c r="AS490" i="4"/>
  <c r="AS491" i="4"/>
  <c r="AS492" i="4"/>
  <c r="AS493" i="4"/>
  <c r="AS494" i="4"/>
  <c r="AS495" i="4"/>
  <c r="AS496" i="4"/>
  <c r="AS497" i="4"/>
  <c r="AS498" i="4"/>
  <c r="AS499" i="4"/>
  <c r="AS500" i="4"/>
  <c r="AS501" i="4"/>
  <c r="AS502" i="4"/>
  <c r="AS503" i="4"/>
  <c r="AS504" i="4"/>
  <c r="AS505" i="4"/>
  <c r="AS506" i="4"/>
  <c r="AS507" i="4"/>
  <c r="AS508" i="4"/>
  <c r="AS509" i="4"/>
  <c r="AS510" i="4"/>
  <c r="AS511" i="4"/>
  <c r="AS512" i="4"/>
  <c r="AS513" i="4"/>
  <c r="AS514" i="4"/>
  <c r="AS515" i="4"/>
  <c r="AS516" i="4"/>
  <c r="AS517" i="4"/>
  <c r="AS518" i="4"/>
  <c r="AS519" i="4"/>
  <c r="AS520" i="4"/>
  <c r="AS521" i="4"/>
  <c r="AS522" i="4"/>
  <c r="AS523" i="4"/>
  <c r="AS524" i="4"/>
  <c r="AS525" i="4"/>
  <c r="AS526" i="4"/>
  <c r="AS527" i="4"/>
  <c r="AS528" i="4"/>
  <c r="AS529" i="4"/>
  <c r="AS530" i="4"/>
  <c r="AS531" i="4"/>
  <c r="AS532" i="4"/>
  <c r="AS533" i="4"/>
  <c r="AS534" i="4"/>
  <c r="AS535" i="4"/>
  <c r="AS536" i="4"/>
  <c r="AS537" i="4"/>
  <c r="AS538" i="4"/>
  <c r="AS539" i="4"/>
  <c r="AS540" i="4"/>
  <c r="AS541" i="4"/>
  <c r="AS542" i="4"/>
  <c r="AS543" i="4"/>
  <c r="AS544" i="4"/>
  <c r="AS545" i="4"/>
  <c r="AS546" i="4"/>
  <c r="AS547" i="4"/>
  <c r="AS548" i="4"/>
  <c r="AS549" i="4"/>
  <c r="AS550" i="4"/>
  <c r="AS551" i="4"/>
  <c r="AS552" i="4"/>
  <c r="AS553" i="4"/>
  <c r="AS554" i="4"/>
  <c r="AS555" i="4"/>
  <c r="AS556" i="4"/>
  <c r="AS557" i="4"/>
  <c r="AR433" i="4"/>
  <c r="AR434" i="4"/>
  <c r="AR435" i="4"/>
  <c r="AR436" i="4"/>
  <c r="AR437" i="4"/>
  <c r="AR438" i="4"/>
  <c r="AR439" i="4"/>
  <c r="AR440" i="4"/>
  <c r="AR441" i="4"/>
  <c r="AR442" i="4"/>
  <c r="AR443" i="4"/>
  <c r="AR444" i="4"/>
  <c r="AR445" i="4"/>
  <c r="AR446" i="4"/>
  <c r="AR447" i="4"/>
  <c r="AR448" i="4"/>
  <c r="AR449" i="4"/>
  <c r="AR450" i="4"/>
  <c r="AR451" i="4"/>
  <c r="AR452" i="4"/>
  <c r="AR453" i="4"/>
  <c r="AR454" i="4"/>
  <c r="AR455" i="4"/>
  <c r="AR456" i="4"/>
  <c r="AR457" i="4"/>
  <c r="AR458" i="4"/>
  <c r="AR459" i="4"/>
  <c r="AR460" i="4"/>
  <c r="AR461" i="4"/>
  <c r="AR462" i="4"/>
  <c r="AR463" i="4"/>
  <c r="AR464" i="4"/>
  <c r="AR465" i="4"/>
  <c r="AR466" i="4"/>
  <c r="AR467" i="4"/>
  <c r="AR468" i="4"/>
  <c r="AR469" i="4"/>
  <c r="AR470" i="4"/>
  <c r="AR471" i="4"/>
  <c r="AR472" i="4"/>
  <c r="AR473" i="4"/>
  <c r="AR474" i="4"/>
  <c r="AR475" i="4"/>
  <c r="AR476" i="4"/>
  <c r="AR477" i="4"/>
  <c r="AR478" i="4"/>
  <c r="AR479" i="4"/>
  <c r="AR480" i="4"/>
  <c r="AR481" i="4"/>
  <c r="AR482" i="4"/>
  <c r="AR483" i="4"/>
  <c r="AR484" i="4"/>
  <c r="AR485" i="4"/>
  <c r="AR486" i="4"/>
  <c r="AR487" i="4"/>
  <c r="AR488" i="4"/>
  <c r="AR489" i="4"/>
  <c r="AR490" i="4"/>
  <c r="AR491" i="4"/>
  <c r="AR492" i="4"/>
  <c r="AR493" i="4"/>
  <c r="AR494" i="4"/>
  <c r="AR495" i="4"/>
  <c r="AR496" i="4"/>
  <c r="AR497" i="4"/>
  <c r="AR498" i="4"/>
  <c r="AR499" i="4"/>
  <c r="AR500" i="4"/>
  <c r="AR501" i="4"/>
  <c r="AR502" i="4"/>
  <c r="AR503" i="4"/>
  <c r="AR504" i="4"/>
  <c r="AR505" i="4"/>
  <c r="AR506" i="4"/>
  <c r="AR507" i="4"/>
  <c r="AR508" i="4"/>
  <c r="AR509" i="4"/>
  <c r="AR510" i="4"/>
  <c r="AR511" i="4"/>
  <c r="AR512" i="4"/>
  <c r="AR513" i="4"/>
  <c r="AR514" i="4"/>
  <c r="AR515" i="4"/>
  <c r="AR516" i="4"/>
  <c r="AR517" i="4"/>
  <c r="AR518" i="4"/>
  <c r="AR519" i="4"/>
  <c r="AR520" i="4"/>
  <c r="AR521" i="4"/>
  <c r="AR522" i="4"/>
  <c r="AR523" i="4"/>
  <c r="AR524" i="4"/>
  <c r="AR525" i="4"/>
  <c r="AR526" i="4"/>
  <c r="AR527" i="4"/>
  <c r="AR528" i="4"/>
  <c r="AR529" i="4"/>
  <c r="AR530" i="4"/>
  <c r="AR531" i="4"/>
  <c r="AR532" i="4"/>
  <c r="AR533" i="4"/>
  <c r="AR534" i="4"/>
  <c r="AR535" i="4"/>
  <c r="AR536" i="4"/>
  <c r="AR537" i="4"/>
  <c r="AR538" i="4"/>
  <c r="AR539" i="4"/>
  <c r="AR540" i="4"/>
  <c r="AR541" i="4"/>
  <c r="AR542" i="4"/>
  <c r="AR543" i="4"/>
  <c r="AR544" i="4"/>
  <c r="AR545" i="4"/>
  <c r="AR546" i="4"/>
  <c r="AR547" i="4"/>
  <c r="AR548" i="4"/>
  <c r="AR549" i="4"/>
  <c r="AR550" i="4"/>
  <c r="AR551" i="4"/>
  <c r="AR552" i="4"/>
  <c r="AR553" i="4"/>
  <c r="AR554" i="4"/>
  <c r="AR555" i="4"/>
  <c r="AR556" i="4"/>
  <c r="AR557" i="4"/>
  <c r="AY433" i="4"/>
  <c r="AX433" i="4"/>
  <c r="AW433" i="4"/>
  <c r="AV433" i="4"/>
  <c r="AU433" i="4"/>
  <c r="AT433" i="4"/>
  <c r="AS433" i="4"/>
  <c r="AY293" i="4"/>
  <c r="AY294" i="4"/>
  <c r="AY295" i="4"/>
  <c r="AY296" i="4"/>
  <c r="AY297" i="4"/>
  <c r="AY298" i="4"/>
  <c r="AY299" i="4"/>
  <c r="AY300" i="4"/>
  <c r="AY301" i="4"/>
  <c r="AY302" i="4"/>
  <c r="AY303" i="4"/>
  <c r="AY304" i="4"/>
  <c r="AY305" i="4"/>
  <c r="AY306" i="4"/>
  <c r="AY307" i="4"/>
  <c r="AY308" i="4"/>
  <c r="AY309" i="4"/>
  <c r="AY310" i="4"/>
  <c r="AY311" i="4"/>
  <c r="AY312" i="4"/>
  <c r="AY313" i="4"/>
  <c r="AY314" i="4"/>
  <c r="AY315" i="4"/>
  <c r="AY316" i="4"/>
  <c r="AY317" i="4"/>
  <c r="AY318" i="4"/>
  <c r="AY319" i="4"/>
  <c r="AY320" i="4"/>
  <c r="AY321" i="4"/>
  <c r="AY322" i="4"/>
  <c r="AY323" i="4"/>
  <c r="AY324" i="4"/>
  <c r="AY325" i="4"/>
  <c r="AY326" i="4"/>
  <c r="AY327" i="4"/>
  <c r="AY328" i="4"/>
  <c r="AY329" i="4"/>
  <c r="AY330" i="4"/>
  <c r="AY331" i="4"/>
  <c r="AY332" i="4"/>
  <c r="AY333" i="4"/>
  <c r="AY334" i="4"/>
  <c r="AY335" i="4"/>
  <c r="AY336" i="4"/>
  <c r="AY337" i="4"/>
  <c r="AY338" i="4"/>
  <c r="AY339" i="4"/>
  <c r="AY340" i="4"/>
  <c r="AY341" i="4"/>
  <c r="AY342" i="4"/>
  <c r="AY343" i="4"/>
  <c r="AY344" i="4"/>
  <c r="AY345" i="4"/>
  <c r="AY346" i="4"/>
  <c r="AY347" i="4"/>
  <c r="AY348" i="4"/>
  <c r="AY349" i="4"/>
  <c r="AY350" i="4"/>
  <c r="AY351" i="4"/>
  <c r="AY352" i="4"/>
  <c r="AY353" i="4"/>
  <c r="AY354" i="4"/>
  <c r="AY355" i="4"/>
  <c r="AY356" i="4"/>
  <c r="AY357" i="4"/>
  <c r="AY358" i="4"/>
  <c r="AY359" i="4"/>
  <c r="AY360" i="4"/>
  <c r="AY361" i="4"/>
  <c r="AY362" i="4"/>
  <c r="AY363" i="4"/>
  <c r="AY364" i="4"/>
  <c r="AY365" i="4"/>
  <c r="AY366" i="4"/>
  <c r="AY367" i="4"/>
  <c r="AY368" i="4"/>
  <c r="AY369" i="4"/>
  <c r="AY370" i="4"/>
  <c r="AY371" i="4"/>
  <c r="AY372" i="4"/>
  <c r="AY373" i="4"/>
  <c r="AY374" i="4"/>
  <c r="AY375" i="4"/>
  <c r="AY376" i="4"/>
  <c r="AY377" i="4"/>
  <c r="AY378" i="4"/>
  <c r="AY379" i="4"/>
  <c r="AY380" i="4"/>
  <c r="AY381" i="4"/>
  <c r="AY382" i="4"/>
  <c r="AY383" i="4"/>
  <c r="AY384" i="4"/>
  <c r="AY385" i="4"/>
  <c r="AY386" i="4"/>
  <c r="AY387" i="4"/>
  <c r="AY388" i="4"/>
  <c r="AY389" i="4"/>
  <c r="AY390" i="4"/>
  <c r="AY391" i="4"/>
  <c r="AY392" i="4"/>
  <c r="AY393" i="4"/>
  <c r="AY394" i="4"/>
  <c r="AY395" i="4"/>
  <c r="AY396" i="4"/>
  <c r="AY397" i="4"/>
  <c r="AY398" i="4"/>
  <c r="AY399" i="4"/>
  <c r="AY400" i="4"/>
  <c r="AY401" i="4"/>
  <c r="AY402" i="4"/>
  <c r="AY403" i="4"/>
  <c r="AY404" i="4"/>
  <c r="AY405" i="4"/>
  <c r="AY406" i="4"/>
  <c r="AY407" i="4"/>
  <c r="AY408" i="4"/>
  <c r="AY409" i="4"/>
  <c r="AY410" i="4"/>
  <c r="AY411" i="4"/>
  <c r="AY412" i="4"/>
  <c r="AY413" i="4"/>
  <c r="AY414" i="4"/>
  <c r="AY415" i="4"/>
  <c r="AY416" i="4"/>
  <c r="AX293" i="4"/>
  <c r="AX294" i="4"/>
  <c r="AX295" i="4"/>
  <c r="AX296" i="4"/>
  <c r="AX297" i="4"/>
  <c r="AX298" i="4"/>
  <c r="AX299" i="4"/>
  <c r="AX300" i="4"/>
  <c r="AX301" i="4"/>
  <c r="AX302" i="4"/>
  <c r="AX303" i="4"/>
  <c r="AX304" i="4"/>
  <c r="AX305" i="4"/>
  <c r="AX306" i="4"/>
  <c r="AX307" i="4"/>
  <c r="AX308" i="4"/>
  <c r="AX309" i="4"/>
  <c r="AX310" i="4"/>
  <c r="AX311" i="4"/>
  <c r="AX312" i="4"/>
  <c r="AX313" i="4"/>
  <c r="AX314" i="4"/>
  <c r="AX315" i="4"/>
  <c r="AX316" i="4"/>
  <c r="AX317" i="4"/>
  <c r="AX318" i="4"/>
  <c r="AX319" i="4"/>
  <c r="AX320" i="4"/>
  <c r="AX321" i="4"/>
  <c r="AX322" i="4"/>
  <c r="AX323" i="4"/>
  <c r="AX324" i="4"/>
  <c r="AX325" i="4"/>
  <c r="AX326" i="4"/>
  <c r="AX327" i="4"/>
  <c r="AX328" i="4"/>
  <c r="AX329" i="4"/>
  <c r="AX330" i="4"/>
  <c r="AX331" i="4"/>
  <c r="AX332" i="4"/>
  <c r="AX333" i="4"/>
  <c r="AX334" i="4"/>
  <c r="AX335" i="4"/>
  <c r="AX336" i="4"/>
  <c r="AX337" i="4"/>
  <c r="AX338" i="4"/>
  <c r="AX339" i="4"/>
  <c r="AX340" i="4"/>
  <c r="AX341" i="4"/>
  <c r="AX342" i="4"/>
  <c r="AX343" i="4"/>
  <c r="AX344" i="4"/>
  <c r="AX345" i="4"/>
  <c r="AX346" i="4"/>
  <c r="AX347" i="4"/>
  <c r="AX348" i="4"/>
  <c r="AX349" i="4"/>
  <c r="AX350" i="4"/>
  <c r="AX351" i="4"/>
  <c r="AX352" i="4"/>
  <c r="AX353" i="4"/>
  <c r="AX354" i="4"/>
  <c r="AX355" i="4"/>
  <c r="AX356" i="4"/>
  <c r="AX357" i="4"/>
  <c r="AX358" i="4"/>
  <c r="AX359" i="4"/>
  <c r="AX360" i="4"/>
  <c r="AX361" i="4"/>
  <c r="AX362" i="4"/>
  <c r="AX363" i="4"/>
  <c r="AX364" i="4"/>
  <c r="AX365" i="4"/>
  <c r="AX366" i="4"/>
  <c r="AX367" i="4"/>
  <c r="AX368" i="4"/>
  <c r="AX369" i="4"/>
  <c r="AX370" i="4"/>
  <c r="AX371" i="4"/>
  <c r="AX372" i="4"/>
  <c r="AX373" i="4"/>
  <c r="AX374" i="4"/>
  <c r="AX375" i="4"/>
  <c r="AX376" i="4"/>
  <c r="AX377" i="4"/>
  <c r="AX378" i="4"/>
  <c r="AX379" i="4"/>
  <c r="AX380" i="4"/>
  <c r="AX381" i="4"/>
  <c r="AX382" i="4"/>
  <c r="AX383" i="4"/>
  <c r="AX384" i="4"/>
  <c r="AX385" i="4"/>
  <c r="AX386" i="4"/>
  <c r="AX387" i="4"/>
  <c r="AX388" i="4"/>
  <c r="AX389" i="4"/>
  <c r="AX390" i="4"/>
  <c r="AX391" i="4"/>
  <c r="AX392" i="4"/>
  <c r="AX393" i="4"/>
  <c r="AX394" i="4"/>
  <c r="AX395" i="4"/>
  <c r="AX396" i="4"/>
  <c r="AX397" i="4"/>
  <c r="AX398" i="4"/>
  <c r="AX399" i="4"/>
  <c r="AX400" i="4"/>
  <c r="AX401" i="4"/>
  <c r="AX402" i="4"/>
  <c r="AX403" i="4"/>
  <c r="AX404" i="4"/>
  <c r="AX405" i="4"/>
  <c r="AX406" i="4"/>
  <c r="AX407" i="4"/>
  <c r="AX408" i="4"/>
  <c r="AX409" i="4"/>
  <c r="AX410" i="4"/>
  <c r="AX411" i="4"/>
  <c r="AX412" i="4"/>
  <c r="AX413" i="4"/>
  <c r="AX414" i="4"/>
  <c r="AX415" i="4"/>
  <c r="AX416" i="4"/>
  <c r="AW293" i="4"/>
  <c r="AW294" i="4"/>
  <c r="AW295" i="4"/>
  <c r="AW296" i="4"/>
  <c r="AW297" i="4"/>
  <c r="AW298" i="4"/>
  <c r="AW299" i="4"/>
  <c r="AW300" i="4"/>
  <c r="AW301" i="4"/>
  <c r="AW302" i="4"/>
  <c r="AW303" i="4"/>
  <c r="AW304" i="4"/>
  <c r="AW305" i="4"/>
  <c r="AW306" i="4"/>
  <c r="AW307" i="4"/>
  <c r="AW308" i="4"/>
  <c r="AW309" i="4"/>
  <c r="AW310" i="4"/>
  <c r="AW311" i="4"/>
  <c r="AW312" i="4"/>
  <c r="AW313" i="4"/>
  <c r="AW314" i="4"/>
  <c r="AW315" i="4"/>
  <c r="AW316" i="4"/>
  <c r="AW317" i="4"/>
  <c r="AW318" i="4"/>
  <c r="AW319" i="4"/>
  <c r="AW320" i="4"/>
  <c r="AW321" i="4"/>
  <c r="AW322" i="4"/>
  <c r="AW323" i="4"/>
  <c r="AW324" i="4"/>
  <c r="AW325" i="4"/>
  <c r="AW326" i="4"/>
  <c r="AW327" i="4"/>
  <c r="AW328" i="4"/>
  <c r="AW329" i="4"/>
  <c r="AW330" i="4"/>
  <c r="AW331" i="4"/>
  <c r="AW332" i="4"/>
  <c r="AW333" i="4"/>
  <c r="AW334" i="4"/>
  <c r="AW335" i="4"/>
  <c r="AW336" i="4"/>
  <c r="AW337" i="4"/>
  <c r="AW338" i="4"/>
  <c r="AW339" i="4"/>
  <c r="AW340" i="4"/>
  <c r="AW341" i="4"/>
  <c r="AW342" i="4"/>
  <c r="AW343" i="4"/>
  <c r="AW344" i="4"/>
  <c r="AW345" i="4"/>
  <c r="AW346" i="4"/>
  <c r="AW347" i="4"/>
  <c r="AW348" i="4"/>
  <c r="AW349" i="4"/>
  <c r="AW350" i="4"/>
  <c r="AW351" i="4"/>
  <c r="AW352" i="4"/>
  <c r="AW353" i="4"/>
  <c r="AW354" i="4"/>
  <c r="AW355" i="4"/>
  <c r="AW356" i="4"/>
  <c r="AW357" i="4"/>
  <c r="AW358" i="4"/>
  <c r="AW359" i="4"/>
  <c r="AW360" i="4"/>
  <c r="AW361" i="4"/>
  <c r="AW362" i="4"/>
  <c r="AW363" i="4"/>
  <c r="AW364" i="4"/>
  <c r="AW365" i="4"/>
  <c r="AW366" i="4"/>
  <c r="AW367" i="4"/>
  <c r="AW368" i="4"/>
  <c r="AW369" i="4"/>
  <c r="AW370" i="4"/>
  <c r="AW371" i="4"/>
  <c r="AW372" i="4"/>
  <c r="AW373" i="4"/>
  <c r="AW374" i="4"/>
  <c r="AW375" i="4"/>
  <c r="AW376" i="4"/>
  <c r="AW377" i="4"/>
  <c r="AW378" i="4"/>
  <c r="AW379" i="4"/>
  <c r="AW380" i="4"/>
  <c r="AW381" i="4"/>
  <c r="AW382" i="4"/>
  <c r="AW383" i="4"/>
  <c r="AW384" i="4"/>
  <c r="AW385" i="4"/>
  <c r="AW386" i="4"/>
  <c r="AW387" i="4"/>
  <c r="AW388" i="4"/>
  <c r="AW389" i="4"/>
  <c r="AW390" i="4"/>
  <c r="AW391" i="4"/>
  <c r="AW392" i="4"/>
  <c r="AW393" i="4"/>
  <c r="AW394" i="4"/>
  <c r="AW395" i="4"/>
  <c r="AW396" i="4"/>
  <c r="AW397" i="4"/>
  <c r="AW398" i="4"/>
  <c r="AW399" i="4"/>
  <c r="AW400" i="4"/>
  <c r="AW401" i="4"/>
  <c r="AW402" i="4"/>
  <c r="AW403" i="4"/>
  <c r="AW404" i="4"/>
  <c r="AW405" i="4"/>
  <c r="AW406" i="4"/>
  <c r="AW407" i="4"/>
  <c r="AW408" i="4"/>
  <c r="AW409" i="4"/>
  <c r="AW410" i="4"/>
  <c r="AW411" i="4"/>
  <c r="AW412" i="4"/>
  <c r="AW413" i="4"/>
  <c r="AW414" i="4"/>
  <c r="AW415" i="4"/>
  <c r="AW416" i="4"/>
  <c r="AV293" i="4"/>
  <c r="AV294" i="4"/>
  <c r="AV295" i="4"/>
  <c r="AV296" i="4"/>
  <c r="AV297" i="4"/>
  <c r="AV298" i="4"/>
  <c r="AV299" i="4"/>
  <c r="AV300" i="4"/>
  <c r="AV301" i="4"/>
  <c r="AV302" i="4"/>
  <c r="AV303" i="4"/>
  <c r="AV304" i="4"/>
  <c r="AV305" i="4"/>
  <c r="AV306" i="4"/>
  <c r="AV307" i="4"/>
  <c r="AV308" i="4"/>
  <c r="AV309" i="4"/>
  <c r="AV310" i="4"/>
  <c r="AV311" i="4"/>
  <c r="AV312" i="4"/>
  <c r="AV313" i="4"/>
  <c r="AV314" i="4"/>
  <c r="AV315" i="4"/>
  <c r="AV316" i="4"/>
  <c r="AV317" i="4"/>
  <c r="AV318" i="4"/>
  <c r="AV319" i="4"/>
  <c r="AV320" i="4"/>
  <c r="AV321" i="4"/>
  <c r="AV322" i="4"/>
  <c r="AV323" i="4"/>
  <c r="AV324" i="4"/>
  <c r="AV325" i="4"/>
  <c r="AV326" i="4"/>
  <c r="AV327" i="4"/>
  <c r="AV328" i="4"/>
  <c r="AV329" i="4"/>
  <c r="AV330" i="4"/>
  <c r="AV331" i="4"/>
  <c r="AV332" i="4"/>
  <c r="AV333" i="4"/>
  <c r="AV334" i="4"/>
  <c r="AV335" i="4"/>
  <c r="AV336" i="4"/>
  <c r="AV337" i="4"/>
  <c r="AV338" i="4"/>
  <c r="AV339" i="4"/>
  <c r="AV340" i="4"/>
  <c r="AV341" i="4"/>
  <c r="AV342" i="4"/>
  <c r="AV343" i="4"/>
  <c r="AV344" i="4"/>
  <c r="AV345" i="4"/>
  <c r="AV346" i="4"/>
  <c r="AV347" i="4"/>
  <c r="AV348" i="4"/>
  <c r="AV349" i="4"/>
  <c r="AV350" i="4"/>
  <c r="AV351" i="4"/>
  <c r="AV352" i="4"/>
  <c r="AV353" i="4"/>
  <c r="AV354" i="4"/>
  <c r="AV355" i="4"/>
  <c r="AV356" i="4"/>
  <c r="AV357" i="4"/>
  <c r="AV358" i="4"/>
  <c r="AV359" i="4"/>
  <c r="AV360" i="4"/>
  <c r="AV361" i="4"/>
  <c r="AV362" i="4"/>
  <c r="AV363" i="4"/>
  <c r="AV364" i="4"/>
  <c r="AV365" i="4"/>
  <c r="AV366" i="4"/>
  <c r="AV367" i="4"/>
  <c r="AV368" i="4"/>
  <c r="AV369" i="4"/>
  <c r="AV370" i="4"/>
  <c r="AV371" i="4"/>
  <c r="AV372" i="4"/>
  <c r="AV373" i="4"/>
  <c r="AV374" i="4"/>
  <c r="AV375" i="4"/>
  <c r="AV376" i="4"/>
  <c r="AV377" i="4"/>
  <c r="AV378" i="4"/>
  <c r="AV379" i="4"/>
  <c r="AV380" i="4"/>
  <c r="AV381" i="4"/>
  <c r="AV382" i="4"/>
  <c r="AV383" i="4"/>
  <c r="AV384" i="4"/>
  <c r="AV385" i="4"/>
  <c r="AV386" i="4"/>
  <c r="AV387" i="4"/>
  <c r="AV388" i="4"/>
  <c r="AV389" i="4"/>
  <c r="AV390" i="4"/>
  <c r="AV391" i="4"/>
  <c r="AV392" i="4"/>
  <c r="AV393" i="4"/>
  <c r="AV394" i="4"/>
  <c r="AV395" i="4"/>
  <c r="AV396" i="4"/>
  <c r="AV397" i="4"/>
  <c r="AV398" i="4"/>
  <c r="AV399" i="4"/>
  <c r="AV400" i="4"/>
  <c r="AV401" i="4"/>
  <c r="AV402" i="4"/>
  <c r="AV403" i="4"/>
  <c r="AV404" i="4"/>
  <c r="AV405" i="4"/>
  <c r="AV406" i="4"/>
  <c r="AV407" i="4"/>
  <c r="AV408" i="4"/>
  <c r="AV409" i="4"/>
  <c r="AV410" i="4"/>
  <c r="AV411" i="4"/>
  <c r="AV412" i="4"/>
  <c r="AV413" i="4"/>
  <c r="AV414" i="4"/>
  <c r="AV415" i="4"/>
  <c r="AV416" i="4"/>
  <c r="AU293" i="4"/>
  <c r="AU294" i="4"/>
  <c r="AU295" i="4"/>
  <c r="AU296" i="4"/>
  <c r="AU297" i="4"/>
  <c r="AU298" i="4"/>
  <c r="AU299" i="4"/>
  <c r="AU300" i="4"/>
  <c r="AU301" i="4"/>
  <c r="AU302" i="4"/>
  <c r="AU303" i="4"/>
  <c r="AU304" i="4"/>
  <c r="AU305" i="4"/>
  <c r="AU306" i="4"/>
  <c r="AU307" i="4"/>
  <c r="AU308" i="4"/>
  <c r="AU309" i="4"/>
  <c r="AU310" i="4"/>
  <c r="AU311" i="4"/>
  <c r="AU312" i="4"/>
  <c r="AU313" i="4"/>
  <c r="AU314" i="4"/>
  <c r="AU315" i="4"/>
  <c r="AU316" i="4"/>
  <c r="AU317" i="4"/>
  <c r="AU318" i="4"/>
  <c r="AU319" i="4"/>
  <c r="AU320" i="4"/>
  <c r="AU321" i="4"/>
  <c r="AU322" i="4"/>
  <c r="AU323" i="4"/>
  <c r="AU324" i="4"/>
  <c r="AU325" i="4"/>
  <c r="AU326" i="4"/>
  <c r="AU327" i="4"/>
  <c r="AU328" i="4"/>
  <c r="AU329" i="4"/>
  <c r="AU330" i="4"/>
  <c r="AU331" i="4"/>
  <c r="AU332" i="4"/>
  <c r="AU333" i="4"/>
  <c r="AU334" i="4"/>
  <c r="AU335" i="4"/>
  <c r="AU336" i="4"/>
  <c r="AU337" i="4"/>
  <c r="AU338" i="4"/>
  <c r="AU339" i="4"/>
  <c r="AU340" i="4"/>
  <c r="AU341" i="4"/>
  <c r="AU342" i="4"/>
  <c r="AU343" i="4"/>
  <c r="AU344" i="4"/>
  <c r="AU345" i="4"/>
  <c r="AU346" i="4"/>
  <c r="AU347" i="4"/>
  <c r="AU348" i="4"/>
  <c r="AU349" i="4"/>
  <c r="AU350" i="4"/>
  <c r="AU351" i="4"/>
  <c r="AU352" i="4"/>
  <c r="AU353" i="4"/>
  <c r="AU354" i="4"/>
  <c r="AU355" i="4"/>
  <c r="AU356" i="4"/>
  <c r="AU357" i="4"/>
  <c r="AU358" i="4"/>
  <c r="AU359" i="4"/>
  <c r="AU360" i="4"/>
  <c r="AU361" i="4"/>
  <c r="AU362" i="4"/>
  <c r="AU363" i="4"/>
  <c r="AU364" i="4"/>
  <c r="AU365" i="4"/>
  <c r="AU366" i="4"/>
  <c r="AU367" i="4"/>
  <c r="AU368" i="4"/>
  <c r="AU369" i="4"/>
  <c r="AU370" i="4"/>
  <c r="AU371" i="4"/>
  <c r="AU372" i="4"/>
  <c r="AU373" i="4"/>
  <c r="AU374" i="4"/>
  <c r="AU375" i="4"/>
  <c r="AU376" i="4"/>
  <c r="AU377" i="4"/>
  <c r="AU378" i="4"/>
  <c r="AU379" i="4"/>
  <c r="AU380" i="4"/>
  <c r="AU381" i="4"/>
  <c r="AU382" i="4"/>
  <c r="AU383" i="4"/>
  <c r="AU384" i="4"/>
  <c r="AU385" i="4"/>
  <c r="AU386" i="4"/>
  <c r="AU387" i="4"/>
  <c r="AU388" i="4"/>
  <c r="AU389" i="4"/>
  <c r="AU390" i="4"/>
  <c r="AU391" i="4"/>
  <c r="AU392" i="4"/>
  <c r="AU393" i="4"/>
  <c r="AU394" i="4"/>
  <c r="AU395" i="4"/>
  <c r="AU396" i="4"/>
  <c r="AU397" i="4"/>
  <c r="AU398" i="4"/>
  <c r="AU399" i="4"/>
  <c r="AU400" i="4"/>
  <c r="AU401" i="4"/>
  <c r="AU402" i="4"/>
  <c r="AU403" i="4"/>
  <c r="AU404" i="4"/>
  <c r="AU405" i="4"/>
  <c r="AU406" i="4"/>
  <c r="AU407" i="4"/>
  <c r="AU408" i="4"/>
  <c r="AU409" i="4"/>
  <c r="AU410" i="4"/>
  <c r="AU411" i="4"/>
  <c r="AU412" i="4"/>
  <c r="AU413" i="4"/>
  <c r="AU414" i="4"/>
  <c r="AU415" i="4"/>
  <c r="AU416" i="4"/>
  <c r="AT293" i="4"/>
  <c r="AT294" i="4"/>
  <c r="AT295" i="4"/>
  <c r="AT296" i="4"/>
  <c r="AT297" i="4"/>
  <c r="AT298" i="4"/>
  <c r="AT299" i="4"/>
  <c r="AT300" i="4"/>
  <c r="AT301" i="4"/>
  <c r="AT302" i="4"/>
  <c r="AT303" i="4"/>
  <c r="AT304" i="4"/>
  <c r="AT305" i="4"/>
  <c r="AT306" i="4"/>
  <c r="AT307" i="4"/>
  <c r="AT308" i="4"/>
  <c r="AT309" i="4"/>
  <c r="AT310" i="4"/>
  <c r="AT311" i="4"/>
  <c r="AT312" i="4"/>
  <c r="AT313" i="4"/>
  <c r="AT314" i="4"/>
  <c r="AT315" i="4"/>
  <c r="AT316" i="4"/>
  <c r="AT317" i="4"/>
  <c r="AT318" i="4"/>
  <c r="AT319" i="4"/>
  <c r="AT320" i="4"/>
  <c r="AT321" i="4"/>
  <c r="AT322" i="4"/>
  <c r="AT323" i="4"/>
  <c r="AT324" i="4"/>
  <c r="AT325" i="4"/>
  <c r="AT326" i="4"/>
  <c r="AT327" i="4"/>
  <c r="AT328" i="4"/>
  <c r="AT329" i="4"/>
  <c r="AT330" i="4"/>
  <c r="AT331" i="4"/>
  <c r="AT332" i="4"/>
  <c r="AT333" i="4"/>
  <c r="AT334" i="4"/>
  <c r="AT335" i="4"/>
  <c r="AT336" i="4"/>
  <c r="AT337" i="4"/>
  <c r="AT338" i="4"/>
  <c r="AT339" i="4"/>
  <c r="AT340" i="4"/>
  <c r="AT341" i="4"/>
  <c r="AT342" i="4"/>
  <c r="AT343" i="4"/>
  <c r="AT344" i="4"/>
  <c r="AT345" i="4"/>
  <c r="AT346" i="4"/>
  <c r="AT347" i="4"/>
  <c r="AT348" i="4"/>
  <c r="AT349" i="4"/>
  <c r="AT350" i="4"/>
  <c r="AT351" i="4"/>
  <c r="AT352" i="4"/>
  <c r="AT353" i="4"/>
  <c r="AT354" i="4"/>
  <c r="AT355" i="4"/>
  <c r="AT356" i="4"/>
  <c r="AT357" i="4"/>
  <c r="AT358" i="4"/>
  <c r="AT359" i="4"/>
  <c r="AT360" i="4"/>
  <c r="AT361" i="4"/>
  <c r="AT362" i="4"/>
  <c r="AT363" i="4"/>
  <c r="AT364" i="4"/>
  <c r="AT365" i="4"/>
  <c r="AT366" i="4"/>
  <c r="AT367" i="4"/>
  <c r="AT368" i="4"/>
  <c r="AT369" i="4"/>
  <c r="AT370" i="4"/>
  <c r="AT371" i="4"/>
  <c r="AT372" i="4"/>
  <c r="AT373" i="4"/>
  <c r="AT374" i="4"/>
  <c r="AT375" i="4"/>
  <c r="AT376" i="4"/>
  <c r="AT377" i="4"/>
  <c r="AT378" i="4"/>
  <c r="AT379" i="4"/>
  <c r="AT380" i="4"/>
  <c r="AT381" i="4"/>
  <c r="AT382" i="4"/>
  <c r="AT383" i="4"/>
  <c r="AT384" i="4"/>
  <c r="AT385" i="4"/>
  <c r="AT386" i="4"/>
  <c r="AT387" i="4"/>
  <c r="AT388" i="4"/>
  <c r="AT389" i="4"/>
  <c r="AT390" i="4"/>
  <c r="AT391" i="4"/>
  <c r="AT392" i="4"/>
  <c r="AT393" i="4"/>
  <c r="AT394" i="4"/>
  <c r="AT395" i="4"/>
  <c r="AT396" i="4"/>
  <c r="AT397" i="4"/>
  <c r="AT398" i="4"/>
  <c r="AT399" i="4"/>
  <c r="AT400" i="4"/>
  <c r="AT401" i="4"/>
  <c r="AT402" i="4"/>
  <c r="AT403" i="4"/>
  <c r="AT404" i="4"/>
  <c r="AT405" i="4"/>
  <c r="AT406" i="4"/>
  <c r="AT407" i="4"/>
  <c r="AT408" i="4"/>
  <c r="AT409" i="4"/>
  <c r="AT410" i="4"/>
  <c r="AT411" i="4"/>
  <c r="AT412" i="4"/>
  <c r="AT413" i="4"/>
  <c r="AT414" i="4"/>
  <c r="AT415" i="4"/>
  <c r="AT416" i="4"/>
  <c r="AS293" i="4"/>
  <c r="AS294" i="4"/>
  <c r="AS295" i="4"/>
  <c r="AS296" i="4"/>
  <c r="AS297" i="4"/>
  <c r="AS298" i="4"/>
  <c r="AS299" i="4"/>
  <c r="AS300" i="4"/>
  <c r="AS301" i="4"/>
  <c r="AS302" i="4"/>
  <c r="AS303" i="4"/>
  <c r="AS304" i="4"/>
  <c r="AS305" i="4"/>
  <c r="AS306" i="4"/>
  <c r="AS307" i="4"/>
  <c r="AS308" i="4"/>
  <c r="AS309" i="4"/>
  <c r="AS310" i="4"/>
  <c r="AS311" i="4"/>
  <c r="AS312" i="4"/>
  <c r="AS313" i="4"/>
  <c r="AS314" i="4"/>
  <c r="AS315" i="4"/>
  <c r="AS316" i="4"/>
  <c r="AS317" i="4"/>
  <c r="AS318" i="4"/>
  <c r="AS319" i="4"/>
  <c r="AS320" i="4"/>
  <c r="AS321" i="4"/>
  <c r="AS322" i="4"/>
  <c r="AS323" i="4"/>
  <c r="AS324" i="4"/>
  <c r="AS325" i="4"/>
  <c r="AS326" i="4"/>
  <c r="AS327" i="4"/>
  <c r="AS328" i="4"/>
  <c r="AS329" i="4"/>
  <c r="AS330" i="4"/>
  <c r="AS331" i="4"/>
  <c r="AS332" i="4"/>
  <c r="AS333" i="4"/>
  <c r="AS334" i="4"/>
  <c r="AS335" i="4"/>
  <c r="AS336" i="4"/>
  <c r="AS337" i="4"/>
  <c r="AS338" i="4"/>
  <c r="AS339" i="4"/>
  <c r="AS340" i="4"/>
  <c r="AS341" i="4"/>
  <c r="AS342" i="4"/>
  <c r="AS343" i="4"/>
  <c r="AS344" i="4"/>
  <c r="AS345" i="4"/>
  <c r="AS346" i="4"/>
  <c r="AS347" i="4"/>
  <c r="AS348" i="4"/>
  <c r="AS349" i="4"/>
  <c r="AS350" i="4"/>
  <c r="AS351" i="4"/>
  <c r="AS352" i="4"/>
  <c r="AS353" i="4"/>
  <c r="AS354" i="4"/>
  <c r="AS355" i="4"/>
  <c r="AS356" i="4"/>
  <c r="AS357" i="4"/>
  <c r="AS358" i="4"/>
  <c r="AS359" i="4"/>
  <c r="AS360" i="4"/>
  <c r="AS361" i="4"/>
  <c r="AS362" i="4"/>
  <c r="AS363" i="4"/>
  <c r="AS364" i="4"/>
  <c r="AS365" i="4"/>
  <c r="AS366" i="4"/>
  <c r="AS367" i="4"/>
  <c r="AS368" i="4"/>
  <c r="AS369" i="4"/>
  <c r="AS370" i="4"/>
  <c r="AS371" i="4"/>
  <c r="AS372" i="4"/>
  <c r="AS373" i="4"/>
  <c r="AS374" i="4"/>
  <c r="AS375" i="4"/>
  <c r="AS376" i="4"/>
  <c r="AS377" i="4"/>
  <c r="AS378" i="4"/>
  <c r="AS379" i="4"/>
  <c r="AS380" i="4"/>
  <c r="AS381" i="4"/>
  <c r="AS382" i="4"/>
  <c r="AS383" i="4"/>
  <c r="AS384" i="4"/>
  <c r="AS385" i="4"/>
  <c r="AS386" i="4"/>
  <c r="AS387" i="4"/>
  <c r="AS388" i="4"/>
  <c r="AS389" i="4"/>
  <c r="AS390" i="4"/>
  <c r="AS391" i="4"/>
  <c r="AS392" i="4"/>
  <c r="AS393" i="4"/>
  <c r="AS394" i="4"/>
  <c r="AS395" i="4"/>
  <c r="AS396" i="4"/>
  <c r="AS397" i="4"/>
  <c r="AS398" i="4"/>
  <c r="AS399" i="4"/>
  <c r="AS400" i="4"/>
  <c r="AS401" i="4"/>
  <c r="AS402" i="4"/>
  <c r="AS403" i="4"/>
  <c r="AS404" i="4"/>
  <c r="AS405" i="4"/>
  <c r="AS406" i="4"/>
  <c r="AS407" i="4"/>
  <c r="AS408" i="4"/>
  <c r="AS409" i="4"/>
  <c r="AS410" i="4"/>
  <c r="AS411" i="4"/>
  <c r="AS412" i="4"/>
  <c r="AS413" i="4"/>
  <c r="AS414" i="4"/>
  <c r="AS415" i="4"/>
  <c r="AS416" i="4"/>
  <c r="AR293" i="4"/>
  <c r="AR294" i="4"/>
  <c r="AR295" i="4"/>
  <c r="AR296" i="4"/>
  <c r="AR297" i="4"/>
  <c r="AR298" i="4"/>
  <c r="AR299" i="4"/>
  <c r="AR300" i="4"/>
  <c r="AR301" i="4"/>
  <c r="AR302" i="4"/>
  <c r="AR303" i="4"/>
  <c r="AR304" i="4"/>
  <c r="AR305" i="4"/>
  <c r="AR306" i="4"/>
  <c r="AR307" i="4"/>
  <c r="AR308" i="4"/>
  <c r="AR309" i="4"/>
  <c r="AR310" i="4"/>
  <c r="AR311" i="4"/>
  <c r="AR312" i="4"/>
  <c r="AR313" i="4"/>
  <c r="AR314" i="4"/>
  <c r="AR315" i="4"/>
  <c r="AR316" i="4"/>
  <c r="AR317" i="4"/>
  <c r="AR318" i="4"/>
  <c r="AR319" i="4"/>
  <c r="AR320" i="4"/>
  <c r="AR321" i="4"/>
  <c r="AR322" i="4"/>
  <c r="AR323" i="4"/>
  <c r="AR324" i="4"/>
  <c r="AR325" i="4"/>
  <c r="AR326" i="4"/>
  <c r="AR327" i="4"/>
  <c r="AR328" i="4"/>
  <c r="AR329" i="4"/>
  <c r="AR330" i="4"/>
  <c r="AR331" i="4"/>
  <c r="AR332" i="4"/>
  <c r="AR333" i="4"/>
  <c r="AR334" i="4"/>
  <c r="AR335" i="4"/>
  <c r="AR336" i="4"/>
  <c r="AR337" i="4"/>
  <c r="AR338" i="4"/>
  <c r="AR339" i="4"/>
  <c r="AR340" i="4"/>
  <c r="AR341" i="4"/>
  <c r="AR342" i="4"/>
  <c r="AR343" i="4"/>
  <c r="AR344" i="4"/>
  <c r="AR345" i="4"/>
  <c r="AR346" i="4"/>
  <c r="AR347" i="4"/>
  <c r="AR348" i="4"/>
  <c r="AR349" i="4"/>
  <c r="AR350" i="4"/>
  <c r="AR351" i="4"/>
  <c r="AR352" i="4"/>
  <c r="AR353" i="4"/>
  <c r="AR354" i="4"/>
  <c r="AR355" i="4"/>
  <c r="AR356" i="4"/>
  <c r="AR357" i="4"/>
  <c r="AR358" i="4"/>
  <c r="AR359" i="4"/>
  <c r="AR360" i="4"/>
  <c r="AR361" i="4"/>
  <c r="AR362" i="4"/>
  <c r="AR363" i="4"/>
  <c r="AR364" i="4"/>
  <c r="AR365" i="4"/>
  <c r="AR366" i="4"/>
  <c r="AR367" i="4"/>
  <c r="AR368" i="4"/>
  <c r="AR369" i="4"/>
  <c r="AR370" i="4"/>
  <c r="AR371" i="4"/>
  <c r="AR372" i="4"/>
  <c r="AR373" i="4"/>
  <c r="AR374" i="4"/>
  <c r="AR375" i="4"/>
  <c r="AR376" i="4"/>
  <c r="AR377" i="4"/>
  <c r="AR378" i="4"/>
  <c r="AR379" i="4"/>
  <c r="AR380" i="4"/>
  <c r="AR381" i="4"/>
  <c r="AR382" i="4"/>
  <c r="AR383" i="4"/>
  <c r="AR384" i="4"/>
  <c r="AR385" i="4"/>
  <c r="AR386" i="4"/>
  <c r="AR387" i="4"/>
  <c r="AR388" i="4"/>
  <c r="AR389" i="4"/>
  <c r="AR390" i="4"/>
  <c r="AR391" i="4"/>
  <c r="AR392" i="4"/>
  <c r="AR393" i="4"/>
  <c r="AR394" i="4"/>
  <c r="AR395" i="4"/>
  <c r="AR396" i="4"/>
  <c r="AR397" i="4"/>
  <c r="AR398" i="4"/>
  <c r="AR399" i="4"/>
  <c r="AR400" i="4"/>
  <c r="AR401" i="4"/>
  <c r="AR402" i="4"/>
  <c r="AR403" i="4"/>
  <c r="AR404" i="4"/>
  <c r="AR405" i="4"/>
  <c r="AR406" i="4"/>
  <c r="AR407" i="4"/>
  <c r="AR408" i="4"/>
  <c r="AR409" i="4"/>
  <c r="AR410" i="4"/>
  <c r="AR411" i="4"/>
  <c r="AR412" i="4"/>
  <c r="AR413" i="4"/>
  <c r="AR414" i="4"/>
  <c r="AR415" i="4"/>
  <c r="AR416" i="4"/>
  <c r="AY292" i="4"/>
  <c r="AX292" i="4"/>
  <c r="AW292" i="4"/>
  <c r="AV292" i="4"/>
  <c r="AU292" i="4"/>
  <c r="AT292" i="4"/>
  <c r="AS292" i="4"/>
  <c r="AR292" i="4"/>
  <c r="AY193" i="4"/>
  <c r="AY194" i="4"/>
  <c r="AY195" i="4"/>
  <c r="AY196" i="4"/>
  <c r="AY197" i="4"/>
  <c r="AY198" i="4"/>
  <c r="AY199" i="4"/>
  <c r="AY200" i="4"/>
  <c r="AY201" i="4"/>
  <c r="AY202" i="4"/>
  <c r="AY203" i="4"/>
  <c r="AY204" i="4"/>
  <c r="AY205" i="4"/>
  <c r="AY206" i="4"/>
  <c r="AY207" i="4"/>
  <c r="AY208" i="4"/>
  <c r="AY209" i="4"/>
  <c r="AY210" i="4"/>
  <c r="AY211" i="4"/>
  <c r="AY212" i="4"/>
  <c r="AY213" i="4"/>
  <c r="AY214" i="4"/>
  <c r="AY215" i="4"/>
  <c r="AY216" i="4"/>
  <c r="AY217" i="4"/>
  <c r="AY218" i="4"/>
  <c r="AY219" i="4"/>
  <c r="AY220" i="4"/>
  <c r="AY221" i="4"/>
  <c r="AY222" i="4"/>
  <c r="AY223" i="4"/>
  <c r="AY224" i="4"/>
  <c r="AY225" i="4"/>
  <c r="AY226" i="4"/>
  <c r="AY227" i="4"/>
  <c r="AY228" i="4"/>
  <c r="AY229" i="4"/>
  <c r="AY230" i="4"/>
  <c r="AY231" i="4"/>
  <c r="AY232" i="4"/>
  <c r="AY233" i="4"/>
  <c r="AY234" i="4"/>
  <c r="AY235" i="4"/>
  <c r="AY236" i="4"/>
  <c r="AY237" i="4"/>
  <c r="AY238" i="4"/>
  <c r="AY239" i="4"/>
  <c r="AY240" i="4"/>
  <c r="AY241" i="4"/>
  <c r="AY242" i="4"/>
  <c r="AY243" i="4"/>
  <c r="AY244" i="4"/>
  <c r="AY245" i="4"/>
  <c r="AY246" i="4"/>
  <c r="AY247" i="4"/>
  <c r="AY248" i="4"/>
  <c r="AY249" i="4"/>
  <c r="AY250" i="4"/>
  <c r="AY251" i="4"/>
  <c r="AY252" i="4"/>
  <c r="AY253" i="4"/>
  <c r="AY254" i="4"/>
  <c r="AY255" i="4"/>
  <c r="AY256" i="4"/>
  <c r="AY257" i="4"/>
  <c r="AY258" i="4"/>
  <c r="AY259" i="4"/>
  <c r="AY260" i="4"/>
  <c r="AY261" i="4"/>
  <c r="AY262" i="4"/>
  <c r="AY263" i="4"/>
  <c r="AY264" i="4"/>
  <c r="AY265" i="4"/>
  <c r="AY266" i="4"/>
  <c r="AY267" i="4"/>
  <c r="AY268" i="4"/>
  <c r="AY269" i="4"/>
  <c r="AY270" i="4"/>
  <c r="AY271" i="4"/>
  <c r="AY272" i="4"/>
  <c r="AY273" i="4"/>
  <c r="AY274" i="4"/>
  <c r="AX193" i="4"/>
  <c r="AX194" i="4"/>
  <c r="AX195" i="4"/>
  <c r="AX196" i="4"/>
  <c r="AX197" i="4"/>
  <c r="AX198" i="4"/>
  <c r="AX199" i="4"/>
  <c r="AX200" i="4"/>
  <c r="AX201" i="4"/>
  <c r="AX202" i="4"/>
  <c r="AX203" i="4"/>
  <c r="AX204" i="4"/>
  <c r="AX205" i="4"/>
  <c r="AX206" i="4"/>
  <c r="AX207" i="4"/>
  <c r="AX208" i="4"/>
  <c r="AX209" i="4"/>
  <c r="AX210" i="4"/>
  <c r="AX211" i="4"/>
  <c r="AX212" i="4"/>
  <c r="AX213" i="4"/>
  <c r="AX214" i="4"/>
  <c r="AX215" i="4"/>
  <c r="AX216" i="4"/>
  <c r="AX217" i="4"/>
  <c r="AX218" i="4"/>
  <c r="AX219" i="4"/>
  <c r="AX220" i="4"/>
  <c r="AX221" i="4"/>
  <c r="AX222" i="4"/>
  <c r="AX223" i="4"/>
  <c r="AX224" i="4"/>
  <c r="AX225" i="4"/>
  <c r="AX226" i="4"/>
  <c r="AX227" i="4"/>
  <c r="AX228" i="4"/>
  <c r="AX229" i="4"/>
  <c r="AX230" i="4"/>
  <c r="AX231" i="4"/>
  <c r="AX232" i="4"/>
  <c r="AX233" i="4"/>
  <c r="AX234" i="4"/>
  <c r="AX235" i="4"/>
  <c r="AX236" i="4"/>
  <c r="AX237" i="4"/>
  <c r="AX238" i="4"/>
  <c r="AX239" i="4"/>
  <c r="AX240" i="4"/>
  <c r="AX241" i="4"/>
  <c r="AX242" i="4"/>
  <c r="AX243" i="4"/>
  <c r="AX244" i="4"/>
  <c r="AX245" i="4"/>
  <c r="AX246" i="4"/>
  <c r="AX247" i="4"/>
  <c r="AX248" i="4"/>
  <c r="AX249" i="4"/>
  <c r="AX250" i="4"/>
  <c r="AX251" i="4"/>
  <c r="AX252" i="4"/>
  <c r="AX253" i="4"/>
  <c r="AX254" i="4"/>
  <c r="AX255" i="4"/>
  <c r="AX256" i="4"/>
  <c r="AX257" i="4"/>
  <c r="AX258" i="4"/>
  <c r="AX259" i="4"/>
  <c r="AX260" i="4"/>
  <c r="AX261" i="4"/>
  <c r="AX262" i="4"/>
  <c r="AX263" i="4"/>
  <c r="AX264" i="4"/>
  <c r="AX265" i="4"/>
  <c r="AX266" i="4"/>
  <c r="AX267" i="4"/>
  <c r="AX268" i="4"/>
  <c r="AX269" i="4"/>
  <c r="AX270" i="4"/>
  <c r="AX271" i="4"/>
  <c r="AX272" i="4"/>
  <c r="AX273" i="4"/>
  <c r="AX274" i="4"/>
  <c r="AW193" i="4"/>
  <c r="AW194" i="4"/>
  <c r="AW195" i="4"/>
  <c r="AW196" i="4"/>
  <c r="AW197" i="4"/>
  <c r="AW198" i="4"/>
  <c r="AW199" i="4"/>
  <c r="AW200" i="4"/>
  <c r="AW201" i="4"/>
  <c r="AW202" i="4"/>
  <c r="AW203" i="4"/>
  <c r="AW204" i="4"/>
  <c r="AW205" i="4"/>
  <c r="AW206" i="4"/>
  <c r="AW207" i="4"/>
  <c r="AW208" i="4"/>
  <c r="AW209" i="4"/>
  <c r="AW210" i="4"/>
  <c r="AW211" i="4"/>
  <c r="AW212" i="4"/>
  <c r="AW213" i="4"/>
  <c r="AW214" i="4"/>
  <c r="AW215" i="4"/>
  <c r="AW216" i="4"/>
  <c r="AW217" i="4"/>
  <c r="AW218" i="4"/>
  <c r="AW219" i="4"/>
  <c r="AW220" i="4"/>
  <c r="AW221" i="4"/>
  <c r="AW222" i="4"/>
  <c r="AW223" i="4"/>
  <c r="AW224" i="4"/>
  <c r="AW225" i="4"/>
  <c r="AW226" i="4"/>
  <c r="AW227" i="4"/>
  <c r="AW228" i="4"/>
  <c r="AW229" i="4"/>
  <c r="AW230" i="4"/>
  <c r="AW231" i="4"/>
  <c r="AW232" i="4"/>
  <c r="AW233" i="4"/>
  <c r="AW234" i="4"/>
  <c r="AW235" i="4"/>
  <c r="AW236" i="4"/>
  <c r="AW237" i="4"/>
  <c r="AW238" i="4"/>
  <c r="AW239" i="4"/>
  <c r="AW240" i="4"/>
  <c r="AW241" i="4"/>
  <c r="AW242" i="4"/>
  <c r="AW243" i="4"/>
  <c r="AW244" i="4"/>
  <c r="AW245" i="4"/>
  <c r="AW246" i="4"/>
  <c r="AW247" i="4"/>
  <c r="AW248" i="4"/>
  <c r="AW249" i="4"/>
  <c r="AW250" i="4"/>
  <c r="AW251" i="4"/>
  <c r="AW252" i="4"/>
  <c r="AW253" i="4"/>
  <c r="AW254" i="4"/>
  <c r="AW255" i="4"/>
  <c r="AW256" i="4"/>
  <c r="AW257" i="4"/>
  <c r="AW258" i="4"/>
  <c r="AW259" i="4"/>
  <c r="AW260" i="4"/>
  <c r="AW261" i="4"/>
  <c r="AW262" i="4"/>
  <c r="AW263" i="4"/>
  <c r="AW264" i="4"/>
  <c r="AW265" i="4"/>
  <c r="AW266" i="4"/>
  <c r="AW267" i="4"/>
  <c r="AW268" i="4"/>
  <c r="AW269" i="4"/>
  <c r="AW270" i="4"/>
  <c r="AW271" i="4"/>
  <c r="AW272" i="4"/>
  <c r="AW273" i="4"/>
  <c r="AW274" i="4"/>
  <c r="AV193" i="4"/>
  <c r="AV194" i="4"/>
  <c r="AV195" i="4"/>
  <c r="AV196" i="4"/>
  <c r="AV197" i="4"/>
  <c r="AV198" i="4"/>
  <c r="AV199" i="4"/>
  <c r="AV200" i="4"/>
  <c r="AV201" i="4"/>
  <c r="AV202" i="4"/>
  <c r="AV203" i="4"/>
  <c r="AV204" i="4"/>
  <c r="AV205" i="4"/>
  <c r="AV206" i="4"/>
  <c r="AV207" i="4"/>
  <c r="AV208" i="4"/>
  <c r="AV209" i="4"/>
  <c r="AV210" i="4"/>
  <c r="AV211" i="4"/>
  <c r="AV212" i="4"/>
  <c r="AV213" i="4"/>
  <c r="AV214" i="4"/>
  <c r="AV215" i="4"/>
  <c r="AV216" i="4"/>
  <c r="AV217" i="4"/>
  <c r="AV218" i="4"/>
  <c r="AV219" i="4"/>
  <c r="AV220" i="4"/>
  <c r="AV221" i="4"/>
  <c r="AV222" i="4"/>
  <c r="AV223" i="4"/>
  <c r="AV224" i="4"/>
  <c r="AV225" i="4"/>
  <c r="AV226" i="4"/>
  <c r="AV227" i="4"/>
  <c r="AV228" i="4"/>
  <c r="AV229" i="4"/>
  <c r="AV230" i="4"/>
  <c r="AV231" i="4"/>
  <c r="AV232" i="4"/>
  <c r="AV233" i="4"/>
  <c r="AV234" i="4"/>
  <c r="AV235" i="4"/>
  <c r="AV236" i="4"/>
  <c r="AV237" i="4"/>
  <c r="AV238" i="4"/>
  <c r="AV239" i="4"/>
  <c r="AV240" i="4"/>
  <c r="AV241" i="4"/>
  <c r="AV242" i="4"/>
  <c r="AV243" i="4"/>
  <c r="AV244" i="4"/>
  <c r="AV245" i="4"/>
  <c r="AV246" i="4"/>
  <c r="AV247" i="4"/>
  <c r="AV248" i="4"/>
  <c r="AV249" i="4"/>
  <c r="AV250" i="4"/>
  <c r="AV251" i="4"/>
  <c r="AV252" i="4"/>
  <c r="AV253" i="4"/>
  <c r="AV254" i="4"/>
  <c r="AV255" i="4"/>
  <c r="AV256" i="4"/>
  <c r="AV257" i="4"/>
  <c r="AV258" i="4"/>
  <c r="AV259" i="4"/>
  <c r="AV260" i="4"/>
  <c r="AV261" i="4"/>
  <c r="AV262" i="4"/>
  <c r="AV263" i="4"/>
  <c r="AV264" i="4"/>
  <c r="AV265" i="4"/>
  <c r="AV266" i="4"/>
  <c r="AV267" i="4"/>
  <c r="AV268" i="4"/>
  <c r="AV269" i="4"/>
  <c r="AV270" i="4"/>
  <c r="AV271" i="4"/>
  <c r="AV272" i="4"/>
  <c r="AV273" i="4"/>
  <c r="AV274" i="4"/>
  <c r="AT193" i="4"/>
  <c r="AT194" i="4"/>
  <c r="AT195" i="4"/>
  <c r="AT196" i="4"/>
  <c r="AT197" i="4"/>
  <c r="AT198" i="4"/>
  <c r="AT199" i="4"/>
  <c r="AT200" i="4"/>
  <c r="AT201" i="4"/>
  <c r="AT202" i="4"/>
  <c r="AT203" i="4"/>
  <c r="AT204" i="4"/>
  <c r="AT205" i="4"/>
  <c r="AT206" i="4"/>
  <c r="AT207" i="4"/>
  <c r="AT208" i="4"/>
  <c r="AT209" i="4"/>
  <c r="AT210" i="4"/>
  <c r="AT211" i="4"/>
  <c r="AT212" i="4"/>
  <c r="AT213" i="4"/>
  <c r="AT214" i="4"/>
  <c r="AT215" i="4"/>
  <c r="AT216" i="4"/>
  <c r="AT217" i="4"/>
  <c r="AT218" i="4"/>
  <c r="AT219" i="4"/>
  <c r="AT220" i="4"/>
  <c r="AT221" i="4"/>
  <c r="AT222" i="4"/>
  <c r="AT223" i="4"/>
  <c r="AT224" i="4"/>
  <c r="AT225" i="4"/>
  <c r="AT226" i="4"/>
  <c r="AT227" i="4"/>
  <c r="AT228" i="4"/>
  <c r="AT229" i="4"/>
  <c r="AT230" i="4"/>
  <c r="AT231" i="4"/>
  <c r="AT232" i="4"/>
  <c r="AT233" i="4"/>
  <c r="AT234" i="4"/>
  <c r="AT235" i="4"/>
  <c r="AT236" i="4"/>
  <c r="AT237" i="4"/>
  <c r="AT238" i="4"/>
  <c r="AT239" i="4"/>
  <c r="AT240" i="4"/>
  <c r="AT241" i="4"/>
  <c r="AT242" i="4"/>
  <c r="AT243" i="4"/>
  <c r="AT244" i="4"/>
  <c r="AT245" i="4"/>
  <c r="AT246" i="4"/>
  <c r="AT247" i="4"/>
  <c r="AT248" i="4"/>
  <c r="AT249" i="4"/>
  <c r="AT250" i="4"/>
  <c r="AT251" i="4"/>
  <c r="AT252" i="4"/>
  <c r="AT253" i="4"/>
  <c r="AT254" i="4"/>
  <c r="AT255" i="4"/>
  <c r="AT256" i="4"/>
  <c r="AT257" i="4"/>
  <c r="AT258" i="4"/>
  <c r="AT259" i="4"/>
  <c r="AT260" i="4"/>
  <c r="AT261" i="4"/>
  <c r="AT262" i="4"/>
  <c r="AT263" i="4"/>
  <c r="AT264" i="4"/>
  <c r="AT265" i="4"/>
  <c r="AT266" i="4"/>
  <c r="AT267" i="4"/>
  <c r="AT268" i="4"/>
  <c r="AT269" i="4"/>
  <c r="AT270" i="4"/>
  <c r="AT271" i="4"/>
  <c r="AT272" i="4"/>
  <c r="AT273" i="4"/>
  <c r="AT274" i="4"/>
  <c r="AS193" i="4"/>
  <c r="AS194" i="4"/>
  <c r="AS195" i="4"/>
  <c r="AS196" i="4"/>
  <c r="AS197" i="4"/>
  <c r="AS198" i="4"/>
  <c r="AS199" i="4"/>
  <c r="AS200" i="4"/>
  <c r="AS201" i="4"/>
  <c r="AS202" i="4"/>
  <c r="AS203" i="4"/>
  <c r="AS204" i="4"/>
  <c r="AS205" i="4"/>
  <c r="AS206" i="4"/>
  <c r="AS207" i="4"/>
  <c r="AS208" i="4"/>
  <c r="AS209" i="4"/>
  <c r="AS210" i="4"/>
  <c r="AS211" i="4"/>
  <c r="AS212" i="4"/>
  <c r="AS213" i="4"/>
  <c r="AS214" i="4"/>
  <c r="AS215" i="4"/>
  <c r="AS216" i="4"/>
  <c r="AS217" i="4"/>
  <c r="AS218" i="4"/>
  <c r="AS219" i="4"/>
  <c r="AS220" i="4"/>
  <c r="AS221" i="4"/>
  <c r="AS222" i="4"/>
  <c r="AS223" i="4"/>
  <c r="AS224" i="4"/>
  <c r="AS225" i="4"/>
  <c r="AS226" i="4"/>
  <c r="AS227" i="4"/>
  <c r="AS228" i="4"/>
  <c r="AS229" i="4"/>
  <c r="AS230" i="4"/>
  <c r="AS231" i="4"/>
  <c r="AS232" i="4"/>
  <c r="AS233" i="4"/>
  <c r="AS234" i="4"/>
  <c r="AS235" i="4"/>
  <c r="AS236" i="4"/>
  <c r="AS237" i="4"/>
  <c r="AS238" i="4"/>
  <c r="AS239" i="4"/>
  <c r="AS240" i="4"/>
  <c r="AS241" i="4"/>
  <c r="AS242" i="4"/>
  <c r="AS243" i="4"/>
  <c r="AS244" i="4"/>
  <c r="AS245" i="4"/>
  <c r="AS246" i="4"/>
  <c r="AS247" i="4"/>
  <c r="AS248" i="4"/>
  <c r="AS249" i="4"/>
  <c r="AS250" i="4"/>
  <c r="AS251" i="4"/>
  <c r="AS252" i="4"/>
  <c r="AS253" i="4"/>
  <c r="AS254" i="4"/>
  <c r="AS255" i="4"/>
  <c r="AS256" i="4"/>
  <c r="AS257" i="4"/>
  <c r="AS258" i="4"/>
  <c r="AS259" i="4"/>
  <c r="AS260" i="4"/>
  <c r="AS261" i="4"/>
  <c r="AS262" i="4"/>
  <c r="AS263" i="4"/>
  <c r="AS264" i="4"/>
  <c r="AS265" i="4"/>
  <c r="AS266" i="4"/>
  <c r="AS267" i="4"/>
  <c r="AS268" i="4"/>
  <c r="AS269" i="4"/>
  <c r="AS270" i="4"/>
  <c r="AS271" i="4"/>
  <c r="AS272" i="4"/>
  <c r="AS273" i="4"/>
  <c r="AS274" i="4"/>
  <c r="AR193" i="4"/>
  <c r="AR194" i="4"/>
  <c r="AR195" i="4"/>
  <c r="AR196" i="4"/>
  <c r="AR197" i="4"/>
  <c r="AR198" i="4"/>
  <c r="AR199" i="4"/>
  <c r="AR200" i="4"/>
  <c r="AR201" i="4"/>
  <c r="AR202" i="4"/>
  <c r="AR203" i="4"/>
  <c r="AR204" i="4"/>
  <c r="AR205" i="4"/>
  <c r="AR206" i="4"/>
  <c r="AR207" i="4"/>
  <c r="AR208" i="4"/>
  <c r="AR209" i="4"/>
  <c r="AR210" i="4"/>
  <c r="AR211" i="4"/>
  <c r="AR212" i="4"/>
  <c r="AR213" i="4"/>
  <c r="AR214" i="4"/>
  <c r="AR215" i="4"/>
  <c r="AR216" i="4"/>
  <c r="AR217" i="4"/>
  <c r="AR218" i="4"/>
  <c r="AR219" i="4"/>
  <c r="AR220" i="4"/>
  <c r="AR221" i="4"/>
  <c r="AR222" i="4"/>
  <c r="AR223" i="4"/>
  <c r="AR224" i="4"/>
  <c r="AR225" i="4"/>
  <c r="AR226" i="4"/>
  <c r="AR227" i="4"/>
  <c r="AR228" i="4"/>
  <c r="AR229" i="4"/>
  <c r="AR230" i="4"/>
  <c r="AR231" i="4"/>
  <c r="AR232" i="4"/>
  <c r="AR233" i="4"/>
  <c r="AR234" i="4"/>
  <c r="AR235" i="4"/>
  <c r="AR236" i="4"/>
  <c r="AR237" i="4"/>
  <c r="AR238" i="4"/>
  <c r="AR239" i="4"/>
  <c r="AR240" i="4"/>
  <c r="AR241" i="4"/>
  <c r="AR242" i="4"/>
  <c r="AR243" i="4"/>
  <c r="AR244" i="4"/>
  <c r="AR245" i="4"/>
  <c r="AR246" i="4"/>
  <c r="AR247" i="4"/>
  <c r="AR248" i="4"/>
  <c r="AR249" i="4"/>
  <c r="AR250" i="4"/>
  <c r="AR251" i="4"/>
  <c r="AR252" i="4"/>
  <c r="AR253" i="4"/>
  <c r="AR254" i="4"/>
  <c r="AR255" i="4"/>
  <c r="AR256" i="4"/>
  <c r="AR257" i="4"/>
  <c r="AR258" i="4"/>
  <c r="AR259" i="4"/>
  <c r="AR260" i="4"/>
  <c r="AR261" i="4"/>
  <c r="AR262" i="4"/>
  <c r="AR263" i="4"/>
  <c r="AR264" i="4"/>
  <c r="AR265" i="4"/>
  <c r="AR266" i="4"/>
  <c r="AR267" i="4"/>
  <c r="AR268" i="4"/>
  <c r="AR269" i="4"/>
  <c r="AR270" i="4"/>
  <c r="AR271" i="4"/>
  <c r="AR272" i="4"/>
  <c r="AR273" i="4"/>
  <c r="AR274" i="4"/>
  <c r="AQ434" i="4"/>
  <c r="AQ435" i="4"/>
  <c r="AQ436" i="4"/>
  <c r="AQ437" i="4"/>
  <c r="AQ438" i="4"/>
  <c r="AQ439" i="4"/>
  <c r="AQ440" i="4"/>
  <c r="AQ441" i="4"/>
  <c r="AQ442" i="4"/>
  <c r="AQ443" i="4"/>
  <c r="AQ444" i="4"/>
  <c r="AQ445" i="4"/>
  <c r="AQ446" i="4"/>
  <c r="AQ447" i="4"/>
  <c r="AQ448" i="4"/>
  <c r="AQ449" i="4"/>
  <c r="AQ450" i="4"/>
  <c r="AQ451" i="4"/>
  <c r="AQ452" i="4"/>
  <c r="AQ453" i="4"/>
  <c r="AQ454" i="4"/>
  <c r="AQ455" i="4"/>
  <c r="AQ456" i="4"/>
  <c r="AQ457" i="4"/>
  <c r="AQ458" i="4"/>
  <c r="AQ459" i="4"/>
  <c r="AQ460" i="4"/>
  <c r="AQ461" i="4"/>
  <c r="AQ462" i="4"/>
  <c r="AQ463" i="4"/>
  <c r="AQ464" i="4"/>
  <c r="AQ465" i="4"/>
  <c r="AQ466" i="4"/>
  <c r="AQ467" i="4"/>
  <c r="AQ468" i="4"/>
  <c r="AQ469" i="4"/>
  <c r="AQ470" i="4"/>
  <c r="AQ471" i="4"/>
  <c r="AQ472" i="4"/>
  <c r="AQ473" i="4"/>
  <c r="AQ474" i="4"/>
  <c r="AQ475" i="4"/>
  <c r="AQ476" i="4"/>
  <c r="AQ477" i="4"/>
  <c r="AQ478" i="4"/>
  <c r="AQ479" i="4"/>
  <c r="AQ480" i="4"/>
  <c r="AQ481" i="4"/>
  <c r="AQ482" i="4"/>
  <c r="AQ483" i="4"/>
  <c r="AQ484" i="4"/>
  <c r="AQ485" i="4"/>
  <c r="AQ486" i="4"/>
  <c r="AQ487" i="4"/>
  <c r="AQ488" i="4"/>
  <c r="AQ489" i="4"/>
  <c r="AQ490" i="4"/>
  <c r="AQ491" i="4"/>
  <c r="AQ492" i="4"/>
  <c r="AQ493" i="4"/>
  <c r="AQ494" i="4"/>
  <c r="AQ495" i="4"/>
  <c r="AQ496" i="4"/>
  <c r="AQ497" i="4"/>
  <c r="AQ498" i="4"/>
  <c r="AQ499" i="4"/>
  <c r="AQ500" i="4"/>
  <c r="AQ501" i="4"/>
  <c r="AQ502" i="4"/>
  <c r="AQ503" i="4"/>
  <c r="AQ504" i="4"/>
  <c r="AQ505" i="4"/>
  <c r="AQ506" i="4"/>
  <c r="AQ507" i="4"/>
  <c r="AQ508" i="4"/>
  <c r="AQ509" i="4"/>
  <c r="AQ510" i="4"/>
  <c r="AQ511" i="4"/>
  <c r="AQ512" i="4"/>
  <c r="AQ513" i="4"/>
  <c r="AQ514" i="4"/>
  <c r="AQ515" i="4"/>
  <c r="AQ516" i="4"/>
  <c r="AQ517" i="4"/>
  <c r="AQ518" i="4"/>
  <c r="AQ519" i="4"/>
  <c r="AQ520" i="4"/>
  <c r="AQ521" i="4"/>
  <c r="AQ522" i="4"/>
  <c r="AQ523" i="4"/>
  <c r="AQ524" i="4"/>
  <c r="AQ525" i="4"/>
  <c r="AQ526" i="4"/>
  <c r="AQ527" i="4"/>
  <c r="AQ528" i="4"/>
  <c r="AQ529" i="4"/>
  <c r="AQ530" i="4"/>
  <c r="AQ531" i="4"/>
  <c r="AQ532" i="4"/>
  <c r="AQ533" i="4"/>
  <c r="AQ534" i="4"/>
  <c r="AQ535" i="4"/>
  <c r="AQ536" i="4"/>
  <c r="AQ537" i="4"/>
  <c r="AQ538" i="4"/>
  <c r="AQ539" i="4"/>
  <c r="AQ540" i="4"/>
  <c r="AQ541" i="4"/>
  <c r="AQ542" i="4"/>
  <c r="AQ543" i="4"/>
  <c r="AQ544" i="4"/>
  <c r="AQ545" i="4"/>
  <c r="AQ546" i="4"/>
  <c r="AQ547" i="4"/>
  <c r="AQ548" i="4"/>
  <c r="AQ549" i="4"/>
  <c r="AQ550" i="4"/>
  <c r="AQ551" i="4"/>
  <c r="AQ552" i="4"/>
  <c r="AQ553" i="4"/>
  <c r="AQ554" i="4"/>
  <c r="AQ555" i="4"/>
  <c r="AQ556" i="4"/>
  <c r="AQ557" i="4"/>
  <c r="AQ433" i="4"/>
  <c r="AO434" i="4"/>
  <c r="AO435" i="4"/>
  <c r="AO436" i="4"/>
  <c r="AO437" i="4"/>
  <c r="AO438" i="4"/>
  <c r="AO439" i="4"/>
  <c r="AO440" i="4"/>
  <c r="AO441" i="4"/>
  <c r="AO442" i="4"/>
  <c r="AO443" i="4"/>
  <c r="AO444" i="4"/>
  <c r="AO445" i="4"/>
  <c r="AO446" i="4"/>
  <c r="AO447" i="4"/>
  <c r="AO448" i="4"/>
  <c r="AO449" i="4"/>
  <c r="AO450" i="4"/>
  <c r="AO451" i="4"/>
  <c r="AO452" i="4"/>
  <c r="AO453" i="4"/>
  <c r="AO454" i="4"/>
  <c r="AO455" i="4"/>
  <c r="AO456" i="4"/>
  <c r="AO457" i="4"/>
  <c r="AO458" i="4"/>
  <c r="AO459" i="4"/>
  <c r="AO460" i="4"/>
  <c r="AO461" i="4"/>
  <c r="AO462" i="4"/>
  <c r="AO463" i="4"/>
  <c r="AO464" i="4"/>
  <c r="AO465" i="4"/>
  <c r="AO466" i="4"/>
  <c r="AO467" i="4"/>
  <c r="AO468" i="4"/>
  <c r="AO469" i="4"/>
  <c r="AO470" i="4"/>
  <c r="AO471" i="4"/>
  <c r="AO472" i="4"/>
  <c r="AO473" i="4"/>
  <c r="AO474" i="4"/>
  <c r="AO475" i="4"/>
  <c r="AO476" i="4"/>
  <c r="AO477" i="4"/>
  <c r="AO478" i="4"/>
  <c r="AO479" i="4"/>
  <c r="AO480" i="4"/>
  <c r="AO481" i="4"/>
  <c r="AO482" i="4"/>
  <c r="AO483" i="4"/>
  <c r="AO484" i="4"/>
  <c r="AO485" i="4"/>
  <c r="AO486" i="4"/>
  <c r="AO487" i="4"/>
  <c r="AO488" i="4"/>
  <c r="AO489" i="4"/>
  <c r="AO490" i="4"/>
  <c r="AO491" i="4"/>
  <c r="AO492" i="4"/>
  <c r="AO493" i="4"/>
  <c r="AO494" i="4"/>
  <c r="AO495" i="4"/>
  <c r="AO496" i="4"/>
  <c r="AO497" i="4"/>
  <c r="AO498" i="4"/>
  <c r="AO499" i="4"/>
  <c r="AO500" i="4"/>
  <c r="AO501" i="4"/>
  <c r="AO502" i="4"/>
  <c r="AO503" i="4"/>
  <c r="AO504" i="4"/>
  <c r="AO505" i="4"/>
  <c r="AO506" i="4"/>
  <c r="AO507" i="4"/>
  <c r="AO508" i="4"/>
  <c r="AO509" i="4"/>
  <c r="AO510" i="4"/>
  <c r="AO511" i="4"/>
  <c r="AO512" i="4"/>
  <c r="AO513" i="4"/>
  <c r="AO514" i="4"/>
  <c r="AO515" i="4"/>
  <c r="AO516" i="4"/>
  <c r="AO517" i="4"/>
  <c r="AO518" i="4"/>
  <c r="AO519" i="4"/>
  <c r="AO520" i="4"/>
  <c r="AO521" i="4"/>
  <c r="AO522" i="4"/>
  <c r="AO523" i="4"/>
  <c r="AO524" i="4"/>
  <c r="AO525" i="4"/>
  <c r="AO526" i="4"/>
  <c r="AO527" i="4"/>
  <c r="AO528" i="4"/>
  <c r="AO529" i="4"/>
  <c r="AO530" i="4"/>
  <c r="AO531" i="4"/>
  <c r="AO532" i="4"/>
  <c r="AO533" i="4"/>
  <c r="AO534" i="4"/>
  <c r="AO535" i="4"/>
  <c r="AO536" i="4"/>
  <c r="AO537" i="4"/>
  <c r="AO538" i="4"/>
  <c r="AO539" i="4"/>
  <c r="AO540" i="4"/>
  <c r="AO541" i="4"/>
  <c r="AO542" i="4"/>
  <c r="AO543" i="4"/>
  <c r="AO544" i="4"/>
  <c r="AO545" i="4"/>
  <c r="AO546" i="4"/>
  <c r="AO547" i="4"/>
  <c r="AO548" i="4"/>
  <c r="AO549" i="4"/>
  <c r="AO550" i="4"/>
  <c r="AO551" i="4"/>
  <c r="AO552" i="4"/>
  <c r="AO553" i="4"/>
  <c r="AO554" i="4"/>
  <c r="AO555" i="4"/>
  <c r="AO556" i="4"/>
  <c r="AO557" i="4"/>
  <c r="AO433" i="4"/>
  <c r="AP434" i="4"/>
  <c r="AP435" i="4"/>
  <c r="AP436" i="4"/>
  <c r="AP437" i="4"/>
  <c r="AP438" i="4"/>
  <c r="AP439" i="4"/>
  <c r="AP440" i="4"/>
  <c r="AP441" i="4"/>
  <c r="AP442" i="4"/>
  <c r="AP443" i="4"/>
  <c r="AP444" i="4"/>
  <c r="AP445" i="4"/>
  <c r="AP446" i="4"/>
  <c r="AP447" i="4"/>
  <c r="AP448" i="4"/>
  <c r="AP449" i="4"/>
  <c r="AP450" i="4"/>
  <c r="AP451" i="4"/>
  <c r="AP452" i="4"/>
  <c r="AP453" i="4"/>
  <c r="AP454" i="4"/>
  <c r="AP455" i="4"/>
  <c r="AP456" i="4"/>
  <c r="AP457" i="4"/>
  <c r="AP458" i="4"/>
  <c r="AP459" i="4"/>
  <c r="AP460" i="4"/>
  <c r="AP461" i="4"/>
  <c r="AP462" i="4"/>
  <c r="AP463" i="4"/>
  <c r="AP464" i="4"/>
  <c r="AP465" i="4"/>
  <c r="AP466" i="4"/>
  <c r="AP467" i="4"/>
  <c r="AP468" i="4"/>
  <c r="AP469" i="4"/>
  <c r="AP470" i="4"/>
  <c r="AP471" i="4"/>
  <c r="AP472" i="4"/>
  <c r="AP473" i="4"/>
  <c r="AP474" i="4"/>
  <c r="AP475" i="4"/>
  <c r="AP476" i="4"/>
  <c r="AP477" i="4"/>
  <c r="AP478" i="4"/>
  <c r="AP479" i="4"/>
  <c r="AP480" i="4"/>
  <c r="AP481" i="4"/>
  <c r="AP482" i="4"/>
  <c r="AP483" i="4"/>
  <c r="AP484" i="4"/>
  <c r="AP485" i="4"/>
  <c r="AP486" i="4"/>
  <c r="AP487" i="4"/>
  <c r="AP488" i="4"/>
  <c r="AP489" i="4"/>
  <c r="AP490" i="4"/>
  <c r="AP491" i="4"/>
  <c r="AP492" i="4"/>
  <c r="AP493" i="4"/>
  <c r="AP494" i="4"/>
  <c r="AP495" i="4"/>
  <c r="AP496" i="4"/>
  <c r="AP497" i="4"/>
  <c r="AP498" i="4"/>
  <c r="AP499" i="4"/>
  <c r="AP500" i="4"/>
  <c r="AP501" i="4"/>
  <c r="AP502" i="4"/>
  <c r="AP503" i="4"/>
  <c r="AP504" i="4"/>
  <c r="AP505" i="4"/>
  <c r="AP506" i="4"/>
  <c r="AP507" i="4"/>
  <c r="AP508" i="4"/>
  <c r="AP509" i="4"/>
  <c r="AP510" i="4"/>
  <c r="AP511" i="4"/>
  <c r="AP512" i="4"/>
  <c r="AP513" i="4"/>
  <c r="AP514" i="4"/>
  <c r="AP515" i="4"/>
  <c r="AP516" i="4"/>
  <c r="AP517" i="4"/>
  <c r="AP518" i="4"/>
  <c r="AP519" i="4"/>
  <c r="AP520" i="4"/>
  <c r="AP521" i="4"/>
  <c r="AP522" i="4"/>
  <c r="AP523" i="4"/>
  <c r="AP524" i="4"/>
  <c r="AP525" i="4"/>
  <c r="AP526" i="4"/>
  <c r="AP527" i="4"/>
  <c r="AP528" i="4"/>
  <c r="AP529" i="4"/>
  <c r="AP530" i="4"/>
  <c r="AP531" i="4"/>
  <c r="AP532" i="4"/>
  <c r="AP533" i="4"/>
  <c r="AP534" i="4"/>
  <c r="AP535" i="4"/>
  <c r="AP536" i="4"/>
  <c r="AP537" i="4"/>
  <c r="AP538" i="4"/>
  <c r="AP539" i="4"/>
  <c r="AP540" i="4"/>
  <c r="AP541" i="4"/>
  <c r="AP542" i="4"/>
  <c r="AP543" i="4"/>
  <c r="AP544" i="4"/>
  <c r="AP545" i="4"/>
  <c r="AP546" i="4"/>
  <c r="AP547" i="4"/>
  <c r="AP548" i="4"/>
  <c r="AP549" i="4"/>
  <c r="AP550" i="4"/>
  <c r="AP551" i="4"/>
  <c r="AP552" i="4"/>
  <c r="AP553" i="4"/>
  <c r="AP554" i="4"/>
  <c r="AP555" i="4"/>
  <c r="AP556" i="4"/>
  <c r="AP557" i="4"/>
  <c r="AP433" i="4"/>
  <c r="AQ293" i="4"/>
  <c r="AQ294" i="4"/>
  <c r="AQ295" i="4"/>
  <c r="AQ296" i="4"/>
  <c r="AQ297" i="4"/>
  <c r="AQ298" i="4"/>
  <c r="AQ299" i="4"/>
  <c r="AQ300" i="4"/>
  <c r="AQ301" i="4"/>
  <c r="AQ302" i="4"/>
  <c r="AQ303" i="4"/>
  <c r="AQ304" i="4"/>
  <c r="AQ305" i="4"/>
  <c r="AQ306" i="4"/>
  <c r="AQ307" i="4"/>
  <c r="AQ308" i="4"/>
  <c r="AQ309" i="4"/>
  <c r="AQ310" i="4"/>
  <c r="AQ311" i="4"/>
  <c r="AQ312" i="4"/>
  <c r="AQ313" i="4"/>
  <c r="AQ314" i="4"/>
  <c r="AQ315" i="4"/>
  <c r="AQ316" i="4"/>
  <c r="AQ317" i="4"/>
  <c r="AQ318" i="4"/>
  <c r="AQ319" i="4"/>
  <c r="AQ320" i="4"/>
  <c r="AQ321" i="4"/>
  <c r="AQ322" i="4"/>
  <c r="AQ323" i="4"/>
  <c r="AQ324" i="4"/>
  <c r="AQ325" i="4"/>
  <c r="AQ326" i="4"/>
  <c r="AQ327" i="4"/>
  <c r="AQ328" i="4"/>
  <c r="AQ329" i="4"/>
  <c r="AQ330" i="4"/>
  <c r="AQ331" i="4"/>
  <c r="AQ332" i="4"/>
  <c r="AQ333" i="4"/>
  <c r="AQ334" i="4"/>
  <c r="AQ335" i="4"/>
  <c r="AQ336" i="4"/>
  <c r="AQ337" i="4"/>
  <c r="AQ338" i="4"/>
  <c r="AQ339" i="4"/>
  <c r="AQ340" i="4"/>
  <c r="AQ341" i="4"/>
  <c r="AQ342" i="4"/>
  <c r="AQ343" i="4"/>
  <c r="AQ344" i="4"/>
  <c r="AQ345" i="4"/>
  <c r="AQ346" i="4"/>
  <c r="AQ347" i="4"/>
  <c r="AQ348" i="4"/>
  <c r="AQ349" i="4"/>
  <c r="AQ350" i="4"/>
  <c r="AQ351" i="4"/>
  <c r="AQ352" i="4"/>
  <c r="AQ353" i="4"/>
  <c r="AQ354" i="4"/>
  <c r="AQ355" i="4"/>
  <c r="AQ356" i="4"/>
  <c r="AQ357" i="4"/>
  <c r="AQ358" i="4"/>
  <c r="AQ359" i="4"/>
  <c r="AQ360" i="4"/>
  <c r="AQ361" i="4"/>
  <c r="AQ362" i="4"/>
  <c r="AQ363" i="4"/>
  <c r="AQ364" i="4"/>
  <c r="AQ365" i="4"/>
  <c r="AQ366" i="4"/>
  <c r="AQ367" i="4"/>
  <c r="AQ368" i="4"/>
  <c r="AQ369" i="4"/>
  <c r="AQ370" i="4"/>
  <c r="AQ371" i="4"/>
  <c r="AQ372" i="4"/>
  <c r="AQ373" i="4"/>
  <c r="AQ374" i="4"/>
  <c r="AQ375" i="4"/>
  <c r="AQ376" i="4"/>
  <c r="AQ377" i="4"/>
  <c r="AQ378" i="4"/>
  <c r="AQ379" i="4"/>
  <c r="AQ380" i="4"/>
  <c r="AQ381" i="4"/>
  <c r="AQ382" i="4"/>
  <c r="AQ383" i="4"/>
  <c r="AQ384" i="4"/>
  <c r="AQ385" i="4"/>
  <c r="AQ386" i="4"/>
  <c r="AQ387" i="4"/>
  <c r="AQ388" i="4"/>
  <c r="AQ389" i="4"/>
  <c r="AQ390" i="4"/>
  <c r="AQ391" i="4"/>
  <c r="AQ392" i="4"/>
  <c r="AQ393" i="4"/>
  <c r="AQ394" i="4"/>
  <c r="AQ395" i="4"/>
  <c r="AQ396" i="4"/>
  <c r="AQ397" i="4"/>
  <c r="AQ398" i="4"/>
  <c r="AQ399" i="4"/>
  <c r="AQ400" i="4"/>
  <c r="AQ401" i="4"/>
  <c r="AQ402" i="4"/>
  <c r="AQ403" i="4"/>
  <c r="AQ404" i="4"/>
  <c r="AQ405" i="4"/>
  <c r="AQ406" i="4"/>
  <c r="AQ407" i="4"/>
  <c r="AQ408" i="4"/>
  <c r="AQ409" i="4"/>
  <c r="AQ410" i="4"/>
  <c r="AQ411" i="4"/>
  <c r="AQ412" i="4"/>
  <c r="AQ413" i="4"/>
  <c r="AQ414" i="4"/>
  <c r="AQ415" i="4"/>
  <c r="AQ416" i="4"/>
  <c r="AQ292" i="4"/>
  <c r="AP293" i="4"/>
  <c r="AP294" i="4"/>
  <c r="AP295" i="4"/>
  <c r="AP296" i="4"/>
  <c r="AP297" i="4"/>
  <c r="AP298" i="4"/>
  <c r="AP299" i="4"/>
  <c r="AP300" i="4"/>
  <c r="AP301" i="4"/>
  <c r="AP302" i="4"/>
  <c r="AP303" i="4"/>
  <c r="AP304" i="4"/>
  <c r="AP305" i="4"/>
  <c r="AP306" i="4"/>
  <c r="AP307" i="4"/>
  <c r="AP308" i="4"/>
  <c r="AP309" i="4"/>
  <c r="AP310" i="4"/>
  <c r="AP311" i="4"/>
  <c r="AP312" i="4"/>
  <c r="AP313" i="4"/>
  <c r="AP314" i="4"/>
  <c r="AP315" i="4"/>
  <c r="AP316" i="4"/>
  <c r="AP317" i="4"/>
  <c r="AP318" i="4"/>
  <c r="AP319" i="4"/>
  <c r="AP320" i="4"/>
  <c r="AP321" i="4"/>
  <c r="AP322" i="4"/>
  <c r="AP323" i="4"/>
  <c r="AP324" i="4"/>
  <c r="AP325" i="4"/>
  <c r="AP326" i="4"/>
  <c r="AP327" i="4"/>
  <c r="AP328" i="4"/>
  <c r="AP329" i="4"/>
  <c r="AP330" i="4"/>
  <c r="AP331" i="4"/>
  <c r="AP332" i="4"/>
  <c r="AP333" i="4"/>
  <c r="AP334" i="4"/>
  <c r="AP335" i="4"/>
  <c r="AP336" i="4"/>
  <c r="AP337" i="4"/>
  <c r="AP338" i="4"/>
  <c r="AP339" i="4"/>
  <c r="AP340" i="4"/>
  <c r="AP341" i="4"/>
  <c r="AP342" i="4"/>
  <c r="AP343" i="4"/>
  <c r="AP344" i="4"/>
  <c r="AP345" i="4"/>
  <c r="AP346" i="4"/>
  <c r="AP347" i="4"/>
  <c r="AP348" i="4"/>
  <c r="AP349" i="4"/>
  <c r="AP350" i="4"/>
  <c r="AP351" i="4"/>
  <c r="AP352" i="4"/>
  <c r="AP353" i="4"/>
  <c r="AP354" i="4"/>
  <c r="AP355" i="4"/>
  <c r="AP356" i="4"/>
  <c r="AP357" i="4"/>
  <c r="AP358" i="4"/>
  <c r="AP359" i="4"/>
  <c r="AP360" i="4"/>
  <c r="AP361" i="4"/>
  <c r="AP362" i="4"/>
  <c r="AP363" i="4"/>
  <c r="AP364" i="4"/>
  <c r="AP365" i="4"/>
  <c r="AP366" i="4"/>
  <c r="AP367" i="4"/>
  <c r="AP368" i="4"/>
  <c r="AP369" i="4"/>
  <c r="AP370" i="4"/>
  <c r="AP371" i="4"/>
  <c r="AP372" i="4"/>
  <c r="AP373" i="4"/>
  <c r="AP374" i="4"/>
  <c r="AP375" i="4"/>
  <c r="AP376" i="4"/>
  <c r="AP377" i="4"/>
  <c r="AP378" i="4"/>
  <c r="AP379" i="4"/>
  <c r="AP380" i="4"/>
  <c r="AP381" i="4"/>
  <c r="AP382" i="4"/>
  <c r="AP383" i="4"/>
  <c r="AP384" i="4"/>
  <c r="AP385" i="4"/>
  <c r="AP386" i="4"/>
  <c r="AP387" i="4"/>
  <c r="AP388" i="4"/>
  <c r="AP389" i="4"/>
  <c r="AP390" i="4"/>
  <c r="AP391" i="4"/>
  <c r="AP392" i="4"/>
  <c r="AP393" i="4"/>
  <c r="AP394" i="4"/>
  <c r="AP395" i="4"/>
  <c r="AP396" i="4"/>
  <c r="AP397" i="4"/>
  <c r="AP398" i="4"/>
  <c r="AP399" i="4"/>
  <c r="AP400" i="4"/>
  <c r="AP401" i="4"/>
  <c r="AP402" i="4"/>
  <c r="AP403" i="4"/>
  <c r="AP404" i="4"/>
  <c r="AP405" i="4"/>
  <c r="AP406" i="4"/>
  <c r="AP407" i="4"/>
  <c r="AP408" i="4"/>
  <c r="AP409" i="4"/>
  <c r="AP410" i="4"/>
  <c r="AP411" i="4"/>
  <c r="AP412" i="4"/>
  <c r="AP413" i="4"/>
  <c r="AP414" i="4"/>
  <c r="AP415" i="4"/>
  <c r="AP416" i="4"/>
  <c r="AP292" i="4"/>
  <c r="AO293" i="4"/>
  <c r="AO294" i="4"/>
  <c r="AO295" i="4"/>
  <c r="AO296" i="4"/>
  <c r="AO297" i="4"/>
  <c r="AO298" i="4"/>
  <c r="AO299" i="4"/>
  <c r="AO300" i="4"/>
  <c r="AO301" i="4"/>
  <c r="AO302" i="4"/>
  <c r="AO303" i="4"/>
  <c r="AO304" i="4"/>
  <c r="AO305" i="4"/>
  <c r="AO306" i="4"/>
  <c r="AO307" i="4"/>
  <c r="AO308" i="4"/>
  <c r="AO309" i="4"/>
  <c r="AO310" i="4"/>
  <c r="AO311" i="4"/>
  <c r="AO312" i="4"/>
  <c r="AO313" i="4"/>
  <c r="AO314" i="4"/>
  <c r="AO315" i="4"/>
  <c r="AO316" i="4"/>
  <c r="AO317" i="4"/>
  <c r="AO318" i="4"/>
  <c r="AO319" i="4"/>
  <c r="AO320" i="4"/>
  <c r="AO321" i="4"/>
  <c r="AO322" i="4"/>
  <c r="AO323" i="4"/>
  <c r="AO324" i="4"/>
  <c r="AO325" i="4"/>
  <c r="AO326" i="4"/>
  <c r="AO327" i="4"/>
  <c r="AO328" i="4"/>
  <c r="AO329" i="4"/>
  <c r="AO330" i="4"/>
  <c r="AO331" i="4"/>
  <c r="AO332" i="4"/>
  <c r="AO333" i="4"/>
  <c r="AO334" i="4"/>
  <c r="AO335" i="4"/>
  <c r="AO336" i="4"/>
  <c r="AO337" i="4"/>
  <c r="AO338" i="4"/>
  <c r="AO339" i="4"/>
  <c r="AO340" i="4"/>
  <c r="AO341" i="4"/>
  <c r="AO342" i="4"/>
  <c r="AO343" i="4"/>
  <c r="AO344" i="4"/>
  <c r="AO345" i="4"/>
  <c r="AO346" i="4"/>
  <c r="AO347" i="4"/>
  <c r="AO348" i="4"/>
  <c r="AO349" i="4"/>
  <c r="AO350" i="4"/>
  <c r="AO351" i="4"/>
  <c r="AO352" i="4"/>
  <c r="AO353" i="4"/>
  <c r="AO354" i="4"/>
  <c r="AO355" i="4"/>
  <c r="AO356" i="4"/>
  <c r="AO357" i="4"/>
  <c r="AO358" i="4"/>
  <c r="AO359" i="4"/>
  <c r="AO360" i="4"/>
  <c r="AO361" i="4"/>
  <c r="AO362" i="4"/>
  <c r="AO363" i="4"/>
  <c r="AO364" i="4"/>
  <c r="AO365" i="4"/>
  <c r="AO366" i="4"/>
  <c r="AO367" i="4"/>
  <c r="AO368" i="4"/>
  <c r="AO369" i="4"/>
  <c r="AO370" i="4"/>
  <c r="AO371" i="4"/>
  <c r="AO372" i="4"/>
  <c r="AO373" i="4"/>
  <c r="AO374" i="4"/>
  <c r="AO375" i="4"/>
  <c r="AO376" i="4"/>
  <c r="AO377" i="4"/>
  <c r="AO378" i="4"/>
  <c r="AO379" i="4"/>
  <c r="AO380" i="4"/>
  <c r="AO381" i="4"/>
  <c r="AO382" i="4"/>
  <c r="AO383" i="4"/>
  <c r="AO384" i="4"/>
  <c r="AO385" i="4"/>
  <c r="AO386" i="4"/>
  <c r="AO387" i="4"/>
  <c r="AO388" i="4"/>
  <c r="AO389" i="4"/>
  <c r="AO390" i="4"/>
  <c r="AO391" i="4"/>
  <c r="AO392" i="4"/>
  <c r="AO393" i="4"/>
  <c r="AO394" i="4"/>
  <c r="AO395" i="4"/>
  <c r="AO396" i="4"/>
  <c r="AO397" i="4"/>
  <c r="AO398" i="4"/>
  <c r="AO399" i="4"/>
  <c r="AO400" i="4"/>
  <c r="AO401" i="4"/>
  <c r="AO402" i="4"/>
  <c r="AO403" i="4"/>
  <c r="AO404" i="4"/>
  <c r="AO405" i="4"/>
  <c r="AO406" i="4"/>
  <c r="AO407" i="4"/>
  <c r="AO408" i="4"/>
  <c r="AO409" i="4"/>
  <c r="AO410" i="4"/>
  <c r="AO411" i="4"/>
  <c r="AO412" i="4"/>
  <c r="AO413" i="4"/>
  <c r="AO414" i="4"/>
  <c r="AO415" i="4"/>
  <c r="AO416" i="4"/>
  <c r="AO292" i="4"/>
  <c r="AN193" i="4"/>
  <c r="AN194" i="4"/>
  <c r="AN195" i="4"/>
  <c r="AN196" i="4"/>
  <c r="AN197" i="4"/>
  <c r="AN198" i="4"/>
  <c r="AN199" i="4"/>
  <c r="AN200" i="4"/>
  <c r="AN201" i="4"/>
  <c r="AN202" i="4"/>
  <c r="AN203" i="4"/>
  <c r="AN204" i="4"/>
  <c r="AN205" i="4"/>
  <c r="AN206" i="4"/>
  <c r="AN207" i="4"/>
  <c r="AN208" i="4"/>
  <c r="AN209" i="4"/>
  <c r="AN210" i="4"/>
  <c r="AN211" i="4"/>
  <c r="AN212" i="4"/>
  <c r="AN213" i="4"/>
  <c r="AN214" i="4"/>
  <c r="AN215" i="4"/>
  <c r="AN216" i="4"/>
  <c r="AN217" i="4"/>
  <c r="AN218" i="4"/>
  <c r="AN219" i="4"/>
  <c r="AN220" i="4"/>
  <c r="AN221" i="4"/>
  <c r="AN222" i="4"/>
  <c r="AN223" i="4"/>
  <c r="AN224" i="4"/>
  <c r="AN225" i="4"/>
  <c r="AN226" i="4"/>
  <c r="AN227" i="4"/>
  <c r="AN228" i="4"/>
  <c r="AN229" i="4"/>
  <c r="AN230" i="4"/>
  <c r="AN231" i="4"/>
  <c r="AN232" i="4"/>
  <c r="AN233" i="4"/>
  <c r="AN234" i="4"/>
  <c r="AN235" i="4"/>
  <c r="AN236" i="4"/>
  <c r="AN237" i="4"/>
  <c r="AN238" i="4"/>
  <c r="AN239" i="4"/>
  <c r="AN240" i="4"/>
  <c r="AN241" i="4"/>
  <c r="AN242" i="4"/>
  <c r="AN243" i="4"/>
  <c r="AN244" i="4"/>
  <c r="AN245" i="4"/>
  <c r="AN246" i="4"/>
  <c r="AN247" i="4"/>
  <c r="AN248" i="4"/>
  <c r="AN249" i="4"/>
  <c r="AN250" i="4"/>
  <c r="AN251" i="4"/>
  <c r="AN252" i="4"/>
  <c r="AN253" i="4"/>
  <c r="AN254" i="4"/>
  <c r="AN255" i="4"/>
  <c r="AN256" i="4"/>
  <c r="AN257" i="4"/>
  <c r="AN258" i="4"/>
  <c r="AN259" i="4"/>
  <c r="AN260" i="4"/>
  <c r="AN261" i="4"/>
  <c r="AN262" i="4"/>
  <c r="AN263" i="4"/>
  <c r="AN264" i="4"/>
  <c r="AN265" i="4"/>
  <c r="AN266" i="4"/>
  <c r="AN267" i="4"/>
  <c r="AN268" i="4"/>
  <c r="AN269" i="4"/>
  <c r="AN270" i="4"/>
  <c r="AN271" i="4"/>
  <c r="AN272" i="4"/>
  <c r="AN273" i="4"/>
  <c r="AN274" i="4"/>
  <c r="AO193" i="4"/>
  <c r="AO194" i="4"/>
  <c r="AO195" i="4"/>
  <c r="AO196" i="4"/>
  <c r="AO197" i="4"/>
  <c r="AO198" i="4"/>
  <c r="AO199" i="4"/>
  <c r="AO200" i="4"/>
  <c r="AO201" i="4"/>
  <c r="AO202" i="4"/>
  <c r="AO203" i="4"/>
  <c r="AO204" i="4"/>
  <c r="AO205" i="4"/>
  <c r="AO206" i="4"/>
  <c r="AO207" i="4"/>
  <c r="AO208" i="4"/>
  <c r="AO209" i="4"/>
  <c r="AO210" i="4"/>
  <c r="AO211" i="4"/>
  <c r="AO212" i="4"/>
  <c r="AO213" i="4"/>
  <c r="AO214" i="4"/>
  <c r="AO215" i="4"/>
  <c r="AO216" i="4"/>
  <c r="AO217" i="4"/>
  <c r="AO218" i="4"/>
  <c r="AO219" i="4"/>
  <c r="AO220" i="4"/>
  <c r="AO221" i="4"/>
  <c r="AO222" i="4"/>
  <c r="AO223" i="4"/>
  <c r="AO224" i="4"/>
  <c r="AO225" i="4"/>
  <c r="AO226" i="4"/>
  <c r="AO227" i="4"/>
  <c r="AO228" i="4"/>
  <c r="AO229" i="4"/>
  <c r="AO230" i="4"/>
  <c r="AO231" i="4"/>
  <c r="AO232" i="4"/>
  <c r="AO233" i="4"/>
  <c r="AO234" i="4"/>
  <c r="AO235" i="4"/>
  <c r="AO236" i="4"/>
  <c r="AO237" i="4"/>
  <c r="AO238" i="4"/>
  <c r="AO239" i="4"/>
  <c r="AO240" i="4"/>
  <c r="AO241" i="4"/>
  <c r="AO242" i="4"/>
  <c r="AO243" i="4"/>
  <c r="AO244" i="4"/>
  <c r="AO245" i="4"/>
  <c r="AO246" i="4"/>
  <c r="AO247" i="4"/>
  <c r="AO248" i="4"/>
  <c r="AO249" i="4"/>
  <c r="AO250" i="4"/>
  <c r="AO251" i="4"/>
  <c r="AO252" i="4"/>
  <c r="AO253" i="4"/>
  <c r="AO254" i="4"/>
  <c r="AO255" i="4"/>
  <c r="AO256" i="4"/>
  <c r="AO257" i="4"/>
  <c r="AO258" i="4"/>
  <c r="AO259" i="4"/>
  <c r="AO260" i="4"/>
  <c r="AO261" i="4"/>
  <c r="AO262" i="4"/>
  <c r="AO263" i="4"/>
  <c r="AO264" i="4"/>
  <c r="AO265" i="4"/>
  <c r="AO266" i="4"/>
  <c r="AO267" i="4"/>
  <c r="AO268" i="4"/>
  <c r="AO269" i="4"/>
  <c r="AO270" i="4"/>
  <c r="AO271" i="4"/>
  <c r="AO272" i="4"/>
  <c r="AO273" i="4"/>
  <c r="AO274" i="4"/>
  <c r="AP193" i="4"/>
  <c r="AP194" i="4"/>
  <c r="AP195" i="4"/>
  <c r="AP196" i="4"/>
  <c r="AP197" i="4"/>
  <c r="AP198" i="4"/>
  <c r="AP199" i="4"/>
  <c r="AP200" i="4"/>
  <c r="AP201" i="4"/>
  <c r="AP202" i="4"/>
  <c r="AP203" i="4"/>
  <c r="AP204" i="4"/>
  <c r="AP205" i="4"/>
  <c r="AP206" i="4"/>
  <c r="AP207" i="4"/>
  <c r="AP208" i="4"/>
  <c r="AP209" i="4"/>
  <c r="AP210" i="4"/>
  <c r="AP211" i="4"/>
  <c r="AP212" i="4"/>
  <c r="AP213" i="4"/>
  <c r="AP214" i="4"/>
  <c r="AP215" i="4"/>
  <c r="AP216" i="4"/>
  <c r="AP217" i="4"/>
  <c r="AP218" i="4"/>
  <c r="AP219" i="4"/>
  <c r="AP220" i="4"/>
  <c r="AP221" i="4"/>
  <c r="AP222" i="4"/>
  <c r="AP223" i="4"/>
  <c r="AP224" i="4"/>
  <c r="AP225" i="4"/>
  <c r="AP226" i="4"/>
  <c r="AP227" i="4"/>
  <c r="AP228" i="4"/>
  <c r="AP229" i="4"/>
  <c r="AP230" i="4"/>
  <c r="AP231" i="4"/>
  <c r="AP232" i="4"/>
  <c r="AP233" i="4"/>
  <c r="AP234" i="4"/>
  <c r="AP235" i="4"/>
  <c r="AP236" i="4"/>
  <c r="AP237" i="4"/>
  <c r="AP238" i="4"/>
  <c r="AP239" i="4"/>
  <c r="AP240" i="4"/>
  <c r="AP241" i="4"/>
  <c r="AP242" i="4"/>
  <c r="AP243" i="4"/>
  <c r="AP244" i="4"/>
  <c r="AP245" i="4"/>
  <c r="AP246" i="4"/>
  <c r="AP247" i="4"/>
  <c r="AP248" i="4"/>
  <c r="AP249" i="4"/>
  <c r="AP250" i="4"/>
  <c r="AP251" i="4"/>
  <c r="AP252" i="4"/>
  <c r="AP253" i="4"/>
  <c r="AP254" i="4"/>
  <c r="AP255" i="4"/>
  <c r="AP256" i="4"/>
  <c r="AP257" i="4"/>
  <c r="AP258" i="4"/>
  <c r="AP259" i="4"/>
  <c r="AP260" i="4"/>
  <c r="AP261" i="4"/>
  <c r="AP262" i="4"/>
  <c r="AP263" i="4"/>
  <c r="AP264" i="4"/>
  <c r="AP265" i="4"/>
  <c r="AP266" i="4"/>
  <c r="AP267" i="4"/>
  <c r="AP268" i="4"/>
  <c r="AP269" i="4"/>
  <c r="AP270" i="4"/>
  <c r="AP271" i="4"/>
  <c r="AP272" i="4"/>
  <c r="AP273" i="4"/>
  <c r="AP274" i="4"/>
  <c r="AQ193" i="4"/>
  <c r="AQ194" i="4"/>
  <c r="AQ195" i="4"/>
  <c r="AQ196" i="4"/>
  <c r="AQ197" i="4"/>
  <c r="AQ198" i="4"/>
  <c r="AQ199" i="4"/>
  <c r="AQ200" i="4"/>
  <c r="AQ201" i="4"/>
  <c r="AQ202" i="4"/>
  <c r="AQ203" i="4"/>
  <c r="AQ204" i="4"/>
  <c r="AQ205" i="4"/>
  <c r="AQ206" i="4"/>
  <c r="AQ207" i="4"/>
  <c r="AQ208" i="4"/>
  <c r="AQ209" i="4"/>
  <c r="AQ210" i="4"/>
  <c r="AQ211" i="4"/>
  <c r="AQ212" i="4"/>
  <c r="AQ213" i="4"/>
  <c r="AQ214" i="4"/>
  <c r="AQ215" i="4"/>
  <c r="AQ216" i="4"/>
  <c r="AQ217" i="4"/>
  <c r="AQ218" i="4"/>
  <c r="AQ219" i="4"/>
  <c r="AQ220" i="4"/>
  <c r="AQ221" i="4"/>
  <c r="AQ222" i="4"/>
  <c r="AQ223" i="4"/>
  <c r="AQ224" i="4"/>
  <c r="AQ225" i="4"/>
  <c r="AQ226" i="4"/>
  <c r="AQ227" i="4"/>
  <c r="AQ228" i="4"/>
  <c r="AQ229" i="4"/>
  <c r="AQ230" i="4"/>
  <c r="AQ231" i="4"/>
  <c r="AQ232" i="4"/>
  <c r="AQ233" i="4"/>
  <c r="AQ234" i="4"/>
  <c r="AQ235" i="4"/>
  <c r="AQ236" i="4"/>
  <c r="AQ237" i="4"/>
  <c r="AQ238" i="4"/>
  <c r="AQ239" i="4"/>
  <c r="AQ240" i="4"/>
  <c r="AQ241" i="4"/>
  <c r="AQ242" i="4"/>
  <c r="AQ243" i="4"/>
  <c r="AQ244" i="4"/>
  <c r="AQ245" i="4"/>
  <c r="AQ246" i="4"/>
  <c r="AQ247" i="4"/>
  <c r="AQ248" i="4"/>
  <c r="AQ249" i="4"/>
  <c r="AQ250" i="4"/>
  <c r="AQ251" i="4"/>
  <c r="AQ252" i="4"/>
  <c r="AQ253" i="4"/>
  <c r="AQ254" i="4"/>
  <c r="AQ255" i="4"/>
  <c r="AQ256" i="4"/>
  <c r="AQ257" i="4"/>
  <c r="AQ258" i="4"/>
  <c r="AQ259" i="4"/>
  <c r="AQ260" i="4"/>
  <c r="AQ261" i="4"/>
  <c r="AQ262" i="4"/>
  <c r="AQ263" i="4"/>
  <c r="AQ264" i="4"/>
  <c r="AQ265" i="4"/>
  <c r="AQ266" i="4"/>
  <c r="AQ267" i="4"/>
  <c r="AQ268" i="4"/>
  <c r="AQ269" i="4"/>
  <c r="AQ270" i="4"/>
  <c r="AQ271" i="4"/>
  <c r="AQ272" i="4"/>
  <c r="AQ273" i="4"/>
  <c r="AQ274" i="4"/>
  <c r="H256" i="1"/>
  <c r="G256" i="1"/>
  <c r="F256" i="1"/>
  <c r="E256" i="1"/>
  <c r="AP11" i="11"/>
  <c r="CU6" i="6"/>
  <c r="CU7" i="6" s="1"/>
  <c r="F144" i="1"/>
  <c r="G144" i="1"/>
  <c r="BA8" i="6"/>
  <c r="G128" i="1"/>
  <c r="E8" i="6"/>
  <c r="E7" i="6"/>
  <c r="AV6" i="6"/>
  <c r="AN297" i="4"/>
  <c r="AN433" i="4"/>
  <c r="AN434" i="4"/>
  <c r="AN435" i="4"/>
  <c r="AN436" i="4"/>
  <c r="AN437" i="4"/>
  <c r="AN438" i="4"/>
  <c r="AN439" i="4"/>
  <c r="AN440" i="4"/>
  <c r="AN441" i="4"/>
  <c r="AN442" i="4"/>
  <c r="AN443" i="4"/>
  <c r="AN444" i="4"/>
  <c r="AN445" i="4"/>
  <c r="AN446" i="4"/>
  <c r="AN447" i="4"/>
  <c r="AN448" i="4"/>
  <c r="AN449" i="4"/>
  <c r="AN450" i="4"/>
  <c r="AN451" i="4"/>
  <c r="AN452" i="4"/>
  <c r="AN453" i="4"/>
  <c r="AN454" i="4"/>
  <c r="AN455" i="4"/>
  <c r="AN456" i="4"/>
  <c r="AN457" i="4"/>
  <c r="AN458" i="4"/>
  <c r="AN459" i="4"/>
  <c r="AN460" i="4"/>
  <c r="AN461" i="4"/>
  <c r="AN462" i="4"/>
  <c r="AN463" i="4"/>
  <c r="AN464" i="4"/>
  <c r="AN465" i="4"/>
  <c r="AN466" i="4"/>
  <c r="AN467" i="4"/>
  <c r="AN468" i="4"/>
  <c r="AN469" i="4"/>
  <c r="AN470" i="4"/>
  <c r="AN471" i="4"/>
  <c r="AN472" i="4"/>
  <c r="AN473" i="4"/>
  <c r="AN474" i="4"/>
  <c r="AN475" i="4"/>
  <c r="AN476" i="4"/>
  <c r="AN477" i="4"/>
  <c r="AN478" i="4"/>
  <c r="AN479" i="4"/>
  <c r="AN480" i="4"/>
  <c r="AN481" i="4"/>
  <c r="AN482" i="4"/>
  <c r="AN483" i="4"/>
  <c r="AN484" i="4"/>
  <c r="AN485" i="4"/>
  <c r="AN486" i="4"/>
  <c r="AN487" i="4"/>
  <c r="AN488" i="4"/>
  <c r="AN489" i="4"/>
  <c r="AN490" i="4"/>
  <c r="AN491" i="4"/>
  <c r="AN492" i="4"/>
  <c r="AN493" i="4"/>
  <c r="AN494" i="4"/>
  <c r="AN495" i="4"/>
  <c r="AN496" i="4"/>
  <c r="AN497" i="4"/>
  <c r="AN498" i="4"/>
  <c r="AN499" i="4"/>
  <c r="AN500" i="4"/>
  <c r="AN501" i="4"/>
  <c r="AN502" i="4"/>
  <c r="AN503" i="4"/>
  <c r="AN504" i="4"/>
  <c r="AN505" i="4"/>
  <c r="AN506" i="4"/>
  <c r="AN507" i="4"/>
  <c r="AN508" i="4"/>
  <c r="AN509" i="4"/>
  <c r="AN510" i="4"/>
  <c r="AN511" i="4"/>
  <c r="AN512" i="4"/>
  <c r="AN513" i="4"/>
  <c r="AN514" i="4"/>
  <c r="AN515" i="4"/>
  <c r="AN516" i="4"/>
  <c r="AN517" i="4"/>
  <c r="AN518" i="4"/>
  <c r="AN519" i="4"/>
  <c r="AN520" i="4"/>
  <c r="AN521" i="4"/>
  <c r="AN522" i="4"/>
  <c r="AN523" i="4"/>
  <c r="AN524" i="4"/>
  <c r="AN525" i="4"/>
  <c r="AN526" i="4"/>
  <c r="AN527" i="4"/>
  <c r="AN528" i="4"/>
  <c r="AN529" i="4"/>
  <c r="AN530" i="4"/>
  <c r="AN531" i="4"/>
  <c r="AN532" i="4"/>
  <c r="AN533" i="4"/>
  <c r="AN534" i="4"/>
  <c r="AN535" i="4"/>
  <c r="AN536" i="4"/>
  <c r="AN537" i="4"/>
  <c r="AN538" i="4"/>
  <c r="AN539" i="4"/>
  <c r="AN540" i="4"/>
  <c r="AN541" i="4"/>
  <c r="AN542" i="4"/>
  <c r="AN543" i="4"/>
  <c r="AN544" i="4"/>
  <c r="AN545" i="4"/>
  <c r="AN546" i="4"/>
  <c r="AN547" i="4"/>
  <c r="AN548" i="4"/>
  <c r="AN549" i="4"/>
  <c r="AN550" i="4"/>
  <c r="AN551" i="4"/>
  <c r="AN552" i="4"/>
  <c r="AN553" i="4"/>
  <c r="AN554" i="4"/>
  <c r="AN555" i="4"/>
  <c r="AN556" i="4"/>
  <c r="AN557" i="4"/>
  <c r="AN335" i="4"/>
  <c r="AN415" i="4"/>
  <c r="AN414" i="4"/>
  <c r="AN413" i="4"/>
  <c r="AN412" i="4"/>
  <c r="AN410" i="4"/>
  <c r="AN354" i="4"/>
  <c r="AN293" i="4"/>
  <c r="AN294" i="4"/>
  <c r="AN295" i="4"/>
  <c r="AN296" i="4"/>
  <c r="AN298" i="4"/>
  <c r="AN299" i="4"/>
  <c r="AN300" i="4"/>
  <c r="AN301" i="4"/>
  <c r="AN302" i="4"/>
  <c r="AN303" i="4"/>
  <c r="AN304" i="4"/>
  <c r="AN305" i="4"/>
  <c r="AN306" i="4"/>
  <c r="AN307" i="4"/>
  <c r="AN308" i="4"/>
  <c r="AN309" i="4"/>
  <c r="AN310" i="4"/>
  <c r="AN311" i="4"/>
  <c r="AN312" i="4"/>
  <c r="AN313" i="4"/>
  <c r="AN314" i="4"/>
  <c r="AN315" i="4"/>
  <c r="AN316" i="4"/>
  <c r="AN317" i="4"/>
  <c r="AN318" i="4"/>
  <c r="AN319" i="4"/>
  <c r="AN320" i="4"/>
  <c r="AN321" i="4"/>
  <c r="AN322" i="4"/>
  <c r="AN323" i="4"/>
  <c r="AN324" i="4"/>
  <c r="AN325" i="4"/>
  <c r="AN326" i="4"/>
  <c r="AN327" i="4"/>
  <c r="AN328" i="4"/>
  <c r="AN329" i="4"/>
  <c r="AN330" i="4"/>
  <c r="AN331" i="4"/>
  <c r="AN332" i="4"/>
  <c r="AN333" i="4"/>
  <c r="AN334" i="4"/>
  <c r="AN336" i="4"/>
  <c r="AN337" i="4"/>
  <c r="AN338" i="4"/>
  <c r="AN339" i="4"/>
  <c r="AN340" i="4"/>
  <c r="AN341" i="4"/>
  <c r="AN342" i="4"/>
  <c r="AN343" i="4"/>
  <c r="AN344" i="4"/>
  <c r="AN345" i="4"/>
  <c r="AN346" i="4"/>
  <c r="AN347" i="4"/>
  <c r="AN348" i="4"/>
  <c r="AN349" i="4"/>
  <c r="AN350" i="4"/>
  <c r="AN351" i="4"/>
  <c r="AN352" i="4"/>
  <c r="AN353" i="4"/>
  <c r="AN355" i="4"/>
  <c r="AN356" i="4"/>
  <c r="AN357" i="4"/>
  <c r="AN358" i="4"/>
  <c r="AN359" i="4"/>
  <c r="AN360" i="4"/>
  <c r="AN361" i="4"/>
  <c r="AN362" i="4"/>
  <c r="AN363" i="4"/>
  <c r="AN364" i="4"/>
  <c r="AN365" i="4"/>
  <c r="AN366" i="4"/>
  <c r="AN367" i="4"/>
  <c r="AN368" i="4"/>
  <c r="AN369" i="4"/>
  <c r="AN370" i="4"/>
  <c r="AN371" i="4"/>
  <c r="AN372" i="4"/>
  <c r="AN373" i="4"/>
  <c r="AN374" i="4"/>
  <c r="AN375" i="4"/>
  <c r="AN376" i="4"/>
  <c r="AN377" i="4"/>
  <c r="AN378" i="4"/>
  <c r="AN379" i="4"/>
  <c r="AN380" i="4"/>
  <c r="AN381" i="4"/>
  <c r="AN382" i="4"/>
  <c r="AN383" i="4"/>
  <c r="AN384" i="4"/>
  <c r="AN385" i="4"/>
  <c r="AN386" i="4"/>
  <c r="AN387" i="4"/>
  <c r="AN388" i="4"/>
  <c r="AN389" i="4"/>
  <c r="AN390" i="4"/>
  <c r="AN391" i="4"/>
  <c r="AN392" i="4"/>
  <c r="AN393" i="4"/>
  <c r="AN394" i="4"/>
  <c r="AN395" i="4"/>
  <c r="AN396" i="4"/>
  <c r="AN397" i="4"/>
  <c r="AN398" i="4"/>
  <c r="AN399" i="4"/>
  <c r="AN400" i="4"/>
  <c r="AN401" i="4"/>
  <c r="AN402" i="4"/>
  <c r="AN403" i="4"/>
  <c r="AN404" i="4"/>
  <c r="AN405" i="4"/>
  <c r="AN406" i="4"/>
  <c r="AN407" i="4"/>
  <c r="AN408" i="4"/>
  <c r="AN409" i="4"/>
  <c r="AN411" i="4"/>
  <c r="AN416" i="4"/>
  <c r="BM8" i="12"/>
  <c r="BN8" i="12" s="1"/>
  <c r="BO8" i="12" s="1"/>
  <c r="N61" i="1" s="1"/>
  <c r="BM7" i="12"/>
  <c r="BM6" i="12"/>
  <c r="R3" i="12"/>
  <c r="S3" i="12" s="1"/>
  <c r="T3" i="12" s="1"/>
  <c r="R5" i="12"/>
  <c r="S5" i="12" s="1"/>
  <c r="T5" i="12" s="1"/>
  <c r="R4" i="12"/>
  <c r="S4" i="12" s="1"/>
  <c r="T4" i="12" s="1"/>
  <c r="I5" i="12"/>
  <c r="H5" i="12"/>
  <c r="G6" i="12"/>
  <c r="G5" i="12"/>
  <c r="AI6" i="3"/>
  <c r="Q128" i="1"/>
  <c r="R224" i="1"/>
  <c r="R225" i="1"/>
  <c r="R228" i="1"/>
  <c r="R230" i="1"/>
  <c r="R91" i="1"/>
  <c r="R90" i="1"/>
  <c r="R229" i="1"/>
  <c r="J256" i="1"/>
  <c r="K256" i="1"/>
  <c r="L256" i="1"/>
  <c r="M256" i="1"/>
  <c r="N256" i="1"/>
  <c r="O256" i="1"/>
  <c r="P256" i="1"/>
  <c r="R247" i="1"/>
  <c r="R248" i="1"/>
  <c r="R249" i="1"/>
  <c r="R252" i="1"/>
  <c r="R253" i="1"/>
  <c r="R254" i="1"/>
  <c r="R235" i="1"/>
  <c r="R236" i="1"/>
  <c r="R237" i="1"/>
  <c r="R240" i="1"/>
  <c r="R241" i="1"/>
  <c r="R242" i="1"/>
  <c r="R211" i="1"/>
  <c r="R212" i="1"/>
  <c r="R213" i="1"/>
  <c r="R216" i="1"/>
  <c r="R217" i="1"/>
  <c r="AP8" i="11"/>
  <c r="AP9" i="11"/>
  <c r="AP10" i="11"/>
  <c r="AP12" i="11"/>
  <c r="AP13" i="11"/>
  <c r="AP14" i="11"/>
  <c r="AP15" i="11"/>
  <c r="AP16" i="11"/>
  <c r="AP17" i="11"/>
  <c r="AP18" i="11"/>
  <c r="AP19" i="11"/>
  <c r="AP20" i="11"/>
  <c r="AP7" i="11"/>
  <c r="AP6" i="11"/>
  <c r="E8" i="11"/>
  <c r="E14" i="11"/>
  <c r="E15" i="11"/>
  <c r="E16" i="11"/>
  <c r="E17" i="11"/>
  <c r="E18" i="11"/>
  <c r="E19" i="11"/>
  <c r="E20" i="11"/>
  <c r="R187" i="1"/>
  <c r="R188" i="1"/>
  <c r="R189" i="1"/>
  <c r="R192" i="1"/>
  <c r="R193" i="1"/>
  <c r="R194" i="1"/>
  <c r="R218" i="1"/>
  <c r="AP20" i="10"/>
  <c r="AP8" i="10"/>
  <c r="AP9" i="10"/>
  <c r="AP10" i="10"/>
  <c r="AP11" i="10"/>
  <c r="AP12" i="10"/>
  <c r="AP13" i="10"/>
  <c r="AP14" i="10"/>
  <c r="AP15" i="10"/>
  <c r="AP16" i="10"/>
  <c r="AP17" i="10"/>
  <c r="AP18" i="10"/>
  <c r="AP19" i="10"/>
  <c r="AP7" i="10"/>
  <c r="AP6" i="10"/>
  <c r="E8" i="10"/>
  <c r="E9" i="10"/>
  <c r="E10" i="10"/>
  <c r="E11" i="10"/>
  <c r="E12" i="10"/>
  <c r="E13" i="10"/>
  <c r="E14" i="10"/>
  <c r="E15" i="10"/>
  <c r="E16" i="10"/>
  <c r="E17" i="10"/>
  <c r="E18" i="10"/>
  <c r="E19" i="10"/>
  <c r="E20" i="10"/>
  <c r="E7" i="10"/>
  <c r="E6" i="10"/>
  <c r="R163" i="1"/>
  <c r="R164" i="1"/>
  <c r="R165" i="1"/>
  <c r="R168" i="1"/>
  <c r="R169" i="1"/>
  <c r="R170" i="1"/>
  <c r="AQ20" i="8"/>
  <c r="AQ10" i="8"/>
  <c r="AQ11" i="8"/>
  <c r="AQ12" i="8"/>
  <c r="AQ13" i="8"/>
  <c r="AQ14" i="8"/>
  <c r="AQ15" i="8"/>
  <c r="AQ16" i="8"/>
  <c r="AQ17" i="8"/>
  <c r="AQ18" i="8"/>
  <c r="AQ19" i="8"/>
  <c r="AQ7" i="8"/>
  <c r="AQ6" i="8"/>
  <c r="AQ9" i="8"/>
  <c r="AQ8" i="8"/>
  <c r="R151" i="1"/>
  <c r="R152" i="1"/>
  <c r="R153" i="1"/>
  <c r="R156" i="1"/>
  <c r="R157" i="1"/>
  <c r="R158" i="1"/>
  <c r="F9" i="8"/>
  <c r="F7" i="8"/>
  <c r="F8" i="8"/>
  <c r="F10" i="8"/>
  <c r="F11" i="8"/>
  <c r="F12" i="8"/>
  <c r="F13" i="8"/>
  <c r="F14" i="8"/>
  <c r="F15" i="8"/>
  <c r="F16" i="8"/>
  <c r="F17" i="8"/>
  <c r="F18" i="8"/>
  <c r="F19" i="8"/>
  <c r="F20" i="8"/>
  <c r="Q144" i="1"/>
  <c r="R144" i="1"/>
  <c r="P144" i="1"/>
  <c r="O144" i="1"/>
  <c r="N144" i="1"/>
  <c r="M144" i="1"/>
  <c r="L144" i="1"/>
  <c r="K144" i="1"/>
  <c r="J144" i="1"/>
  <c r="H144" i="1"/>
  <c r="E144" i="1"/>
  <c r="R135" i="1"/>
  <c r="R136" i="1"/>
  <c r="R137" i="1"/>
  <c r="R140" i="1"/>
  <c r="R141" i="1"/>
  <c r="R142" i="1"/>
  <c r="BA20" i="6"/>
  <c r="BA9" i="6"/>
  <c r="BA10" i="6"/>
  <c r="BA11" i="6"/>
  <c r="BA12" i="6"/>
  <c r="BA13" i="6"/>
  <c r="BA14" i="6"/>
  <c r="BA15" i="6"/>
  <c r="BA16" i="6"/>
  <c r="BA17" i="6"/>
  <c r="BA18" i="6"/>
  <c r="BA19" i="6"/>
  <c r="BA7" i="6"/>
  <c r="BA6" i="6"/>
  <c r="E128" i="1"/>
  <c r="R126" i="1"/>
  <c r="R125" i="1"/>
  <c r="R124" i="1"/>
  <c r="R121" i="1"/>
  <c r="R120" i="1"/>
  <c r="R119" i="1"/>
  <c r="E9" i="6"/>
  <c r="E10" i="6"/>
  <c r="E11" i="6"/>
  <c r="E12" i="6"/>
  <c r="E13" i="6"/>
  <c r="E14" i="6"/>
  <c r="E15" i="6"/>
  <c r="E16" i="6"/>
  <c r="E17" i="6"/>
  <c r="E18" i="6"/>
  <c r="E19" i="6"/>
  <c r="E20" i="6"/>
  <c r="R72" i="1"/>
  <c r="R71" i="1"/>
  <c r="R67" i="1"/>
  <c r="R68" i="1"/>
  <c r="R66" i="1"/>
  <c r="F20" i="4"/>
  <c r="F7" i="4"/>
  <c r="F8" i="4"/>
  <c r="F9" i="4"/>
  <c r="F10" i="4"/>
  <c r="F11" i="4"/>
  <c r="F13" i="4"/>
  <c r="F14" i="4"/>
  <c r="F15" i="4"/>
  <c r="F16" i="4"/>
  <c r="F17" i="4"/>
  <c r="F18" i="4"/>
  <c r="F19" i="4"/>
  <c r="F6" i="4"/>
  <c r="R59" i="1"/>
  <c r="R57" i="1"/>
  <c r="R54" i="1"/>
  <c r="R53" i="1"/>
  <c r="R52" i="1"/>
  <c r="R44" i="1"/>
  <c r="R43" i="1"/>
  <c r="R40" i="1"/>
  <c r="R39" i="1"/>
  <c r="R38" i="1"/>
  <c r="R45" i="1"/>
  <c r="R31" i="1"/>
  <c r="R30" i="1"/>
  <c r="R29" i="1"/>
  <c r="R26" i="1"/>
  <c r="R25" i="1"/>
  <c r="R24" i="1"/>
  <c r="R112" i="1"/>
  <c r="R101" i="1"/>
  <c r="R114" i="1"/>
  <c r="R103" i="1"/>
  <c r="R96" i="1"/>
  <c r="R107" i="1"/>
  <c r="R108" i="1"/>
  <c r="R97" i="1"/>
  <c r="R98" i="1"/>
  <c r="R109" i="1"/>
  <c r="R113" i="1"/>
  <c r="R102" i="1"/>
  <c r="R73" i="1"/>
  <c r="R58" i="1"/>
  <c r="G19" i="12"/>
  <c r="H19" i="12"/>
  <c r="I19" i="12"/>
  <c r="I8" i="12"/>
  <c r="I7" i="12"/>
  <c r="I9" i="12"/>
  <c r="I10" i="12"/>
  <c r="I11" i="12"/>
  <c r="I12" i="12"/>
  <c r="I13" i="12"/>
  <c r="I14" i="12"/>
  <c r="I15" i="12"/>
  <c r="I16" i="12"/>
  <c r="I17" i="12"/>
  <c r="I18" i="12"/>
  <c r="H12" i="12"/>
  <c r="H10" i="12"/>
  <c r="H9" i="12"/>
  <c r="H8" i="12"/>
  <c r="H7" i="12"/>
  <c r="H11" i="12"/>
  <c r="H13" i="12"/>
  <c r="H14" i="12"/>
  <c r="H15" i="12"/>
  <c r="H16" i="12"/>
  <c r="H17" i="12"/>
  <c r="H18" i="12"/>
  <c r="H6" i="12"/>
  <c r="G8" i="12"/>
  <c r="G7" i="12"/>
  <c r="G9" i="12"/>
  <c r="G10" i="12"/>
  <c r="G11" i="12"/>
  <c r="G12" i="12"/>
  <c r="G13" i="12"/>
  <c r="G14" i="12"/>
  <c r="G15" i="12"/>
  <c r="G16" i="12"/>
  <c r="G17" i="12"/>
  <c r="G18" i="12"/>
  <c r="R13" i="1"/>
  <c r="R15" i="1"/>
  <c r="R14" i="1"/>
  <c r="R10" i="1"/>
  <c r="R89" i="1"/>
  <c r="R86" i="1"/>
  <c r="R85" i="1"/>
  <c r="R84" i="1"/>
  <c r="AN150" i="4" l="1"/>
  <c r="E75" i="1" s="1"/>
  <c r="AR150" i="4"/>
  <c r="I75" i="1" s="1"/>
  <c r="AW150" i="4"/>
  <c r="N75" i="1" s="1"/>
  <c r="AQ150" i="4"/>
  <c r="H75" i="1" s="1"/>
  <c r="AS150" i="4"/>
  <c r="J75" i="1" s="1"/>
  <c r="AX150" i="4"/>
  <c r="O75" i="1" s="1"/>
  <c r="AP150" i="4"/>
  <c r="G75" i="1" s="1"/>
  <c r="AT150" i="4"/>
  <c r="K75" i="1" s="1"/>
  <c r="AY150" i="4"/>
  <c r="AO150" i="4"/>
  <c r="F75" i="1" s="1"/>
  <c r="AV150" i="4"/>
  <c r="M75" i="1" s="1"/>
  <c r="AM150" i="4"/>
  <c r="D75" i="1" s="1"/>
  <c r="BN6" i="12"/>
  <c r="BO6" i="12" s="1"/>
  <c r="N33" i="1" s="1"/>
  <c r="BN7" i="12"/>
  <c r="BO7" i="12" s="1"/>
  <c r="N47" i="1" s="1"/>
  <c r="CU8" i="6"/>
  <c r="N146" i="1" s="1"/>
  <c r="AY432" i="4"/>
  <c r="P79" i="1" s="1"/>
  <c r="P75" i="1"/>
  <c r="AY291" i="4"/>
  <c r="P77" i="1" s="1"/>
  <c r="AX291" i="4"/>
  <c r="O77" i="1" s="1"/>
  <c r="AX432" i="4"/>
  <c r="O79" i="1" s="1"/>
  <c r="AW432" i="4"/>
  <c r="N79" i="1" s="1"/>
  <c r="AW291" i="4"/>
  <c r="N77" i="1" s="1"/>
  <c r="AV291" i="4"/>
  <c r="M77" i="1" s="1"/>
  <c r="AT432" i="4"/>
  <c r="K79" i="1" s="1"/>
  <c r="AT291" i="4"/>
  <c r="K77" i="1" s="1"/>
  <c r="AU432" i="4"/>
  <c r="L79" i="1" s="1"/>
  <c r="AU291" i="4"/>
  <c r="L77" i="1" s="1"/>
  <c r="AV432" i="4"/>
  <c r="M79" i="1" s="1"/>
  <c r="AS432" i="4"/>
  <c r="J79" i="1" s="1"/>
  <c r="AS291" i="4"/>
  <c r="J77" i="1" s="1"/>
  <c r="AR291" i="4"/>
  <c r="I77" i="1" s="1"/>
  <c r="AR432" i="4"/>
  <c r="I79" i="1" s="1"/>
  <c r="AQ432" i="4"/>
  <c r="H79" i="1" s="1"/>
  <c r="AQ291" i="4"/>
  <c r="H77" i="1" s="1"/>
  <c r="AP432" i="4"/>
  <c r="G79" i="1" s="1"/>
  <c r="AP291" i="4"/>
  <c r="G77" i="1" s="1"/>
  <c r="AO291" i="4"/>
  <c r="F77" i="1" s="1"/>
  <c r="AO432" i="4"/>
  <c r="F79" i="1" s="1"/>
  <c r="AN291" i="4"/>
  <c r="E77" i="1" s="1"/>
  <c r="AN432" i="4"/>
  <c r="E79" i="1" s="1"/>
  <c r="AM291" i="4"/>
  <c r="D77" i="1" s="1"/>
  <c r="AM432" i="4"/>
  <c r="D79" i="1" s="1"/>
  <c r="AI7" i="3"/>
  <c r="N19" i="1" s="1"/>
  <c r="K66" i="1"/>
  <c r="J66" i="1"/>
  <c r="I66" i="1"/>
  <c r="M24" i="1"/>
  <c r="E24" i="1"/>
  <c r="K24" i="1"/>
  <c r="J24" i="1"/>
  <c r="O66" i="1"/>
  <c r="G66" i="1"/>
  <c r="H66" i="1"/>
  <c r="I24" i="1"/>
  <c r="P24" i="1"/>
  <c r="H24" i="1"/>
  <c r="N66" i="1"/>
  <c r="F66" i="1"/>
  <c r="M66" i="1"/>
  <c r="E66" i="1"/>
  <c r="L24" i="1"/>
  <c r="O24" i="1"/>
  <c r="G24" i="1"/>
  <c r="N24" i="1"/>
  <c r="F24" i="1"/>
  <c r="L66" i="1"/>
  <c r="P66" i="1"/>
  <c r="L75" i="1"/>
  <c r="AV7" i="6"/>
  <c r="AV8" i="6" s="1"/>
  <c r="N130" i="1" s="1"/>
  <c r="N17" i="1"/>
</calcChain>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67C114AF-EB96-4567-AF7A-6973E4336527}" name="Connection" type="104" refreshedVersion="0" background="1">
    <extLst>
      <ext xmlns:x15="http://schemas.microsoft.com/office/spreadsheetml/2010/11/main" uri="{DE250136-89BD-433C-8126-D09CA5730AF9}">
        <x15:connection id="Winter bed occ over 14 days"/>
      </ext>
    </extLst>
  </connection>
  <connection id="2" xr16:uid="{B69F3CF8-5872-4CFD-B44A-FADED875466A}" name="e-base.nhsproviders.org" type="100" refreshedVersion="8">
    <extLst>
      <ext xmlns:x15="http://schemas.microsoft.com/office/spreadsheetml/2010/11/main" uri="{DE250136-89BD-433C-8126-D09CA5730AF9}">
        <x15:connection id="25cfafcb-a980-4142-878c-1dad5957934c"/>
      </ext>
    </extLst>
  </connection>
  <connection id="3" xr16:uid="{00000000-0015-0000-FFFF-FFFF00000000}" keepAlive="1" name="ThisWorkbookDataModel" description="This connection is used by Excel for communication between the workbook and embedded PowerPivot data, and should not be manually edited or deleted." type="5" refreshedVersion="8" minRefreshableVersion="5">
    <dbPr connection="Data Model Connection" command="Model" commandType="1"/>
    <olapPr sendLocale="1" rowDrillCount="1000"/>
    <extLst>
      <ext xmlns:x15="http://schemas.microsoft.com/office/spreadsheetml/2010/11/main" uri="{DE250136-89BD-433C-8126-D09CA5730AF9}">
        <x15:connection id="" model="1"/>
      </ext>
    </extLst>
  </connection>
</connections>
</file>

<file path=xl/metadata.xml><?xml version="1.0" encoding="utf-8"?>
<metadata xmlns="http://schemas.openxmlformats.org/spreadsheetml/2006/main">
  <metadataTypes count="1">
    <metadataType name="XLMDX" minSupportedVersion="120000" copy="1" pasteAll="1" pasteValues="1" merge="1" splitFirst="1" rowColShift="1" clearFormats="1" clearComments="1" assign="1" coerce="1"/>
  </metadataTypes>
  <metadataStrings count="4">
    <s v="ThisWorkbookDataModel"/>
    <s v="{[Winter daily sitreps].[Year].&amp;[2024/25]}"/>
    <s v="{[Ambulance - Winter Sitreps].[Year].&amp;[2024/25]}"/>
    <s v="{[Discharge weekly winter sitreps].[Year].&amp;[2024/25]}"/>
  </metadataStrings>
  <mdxMetadata count="3">
    <mdx n="0" f="s">
      <ms ns="1" c="0"/>
    </mdx>
    <mdx n="0" f="s">
      <ms ns="2" c="0"/>
    </mdx>
    <mdx n="0" f="s">
      <ms ns="3" c="0"/>
    </mdx>
  </mdxMetadata>
  <valueMetadata count="3">
    <bk>
      <rc t="1" v="0"/>
    </bk>
    <bk>
      <rc t="1" v="1"/>
    </bk>
    <bk>
      <rc t="1" v="2"/>
    </bk>
  </valueMetadata>
</metadata>
</file>

<file path=xl/sharedStrings.xml><?xml version="1.0" encoding="utf-8"?>
<sst xmlns="http://schemas.openxmlformats.org/spreadsheetml/2006/main" count="3329" uniqueCount="422">
  <si>
    <r>
      <t xml:space="preserve">1. The data below summarises the weekly winter sitrep data published by NHS England. 
2. Where possible the data has been compared to the closest week in 2023/24. 
3. In 2024/25, there were 135 trusts reporting in the weekly winter sitreps, compared to 135 in 2023/24. Comparisons with 2023/24 should therefore be used with caution for data which is a sum rather than an average.
4. In 2024/25, 148 trusts reported in the ambulance collection, compared to 146 in 2023/24. This collection also includes one Unknown trust which has been excluded from calculations. </t>
    </r>
    <r>
      <rPr>
        <sz val="11"/>
        <color theme="4"/>
        <rFont val="Calibri"/>
        <family val="2"/>
        <scheme val="minor"/>
      </rPr>
      <t xml:space="preserve">
</t>
    </r>
    <r>
      <rPr>
        <sz val="11"/>
        <rFont val="Calibri"/>
        <family val="2"/>
        <scheme val="minor"/>
      </rPr>
      <t xml:space="preserve">5. The data is provided at England and at regional level. There are different numbers of trusts in each region so where data is a sum rather than an average it should not be compared across regions. </t>
    </r>
  </si>
  <si>
    <t>Week 1</t>
  </si>
  <si>
    <t>Week 2</t>
  </si>
  <si>
    <t>Week 3</t>
  </si>
  <si>
    <t>Week 4</t>
  </si>
  <si>
    <t>Week 5</t>
  </si>
  <si>
    <t>Week 6</t>
  </si>
  <si>
    <t>Week 7</t>
  </si>
  <si>
    <t>Week 8</t>
  </si>
  <si>
    <t>Week 9</t>
  </si>
  <si>
    <t>Week 10</t>
  </si>
  <si>
    <t>Week 11</t>
  </si>
  <si>
    <t>Week 12</t>
  </si>
  <si>
    <t>Week 13</t>
  </si>
  <si>
    <t>Week 14</t>
  </si>
  <si>
    <t>Chart</t>
  </si>
  <si>
    <t>Data notes</t>
  </si>
  <si>
    <t>A&amp;E diverts</t>
  </si>
  <si>
    <t>23/24</t>
  </si>
  <si>
    <t>Definition: An A&amp;E divert is where new arrivals (e.g. ambulance arrivals) are being temporarily diverted to another hospital.</t>
  </si>
  <si>
    <t>24/25</t>
  </si>
  <si>
    <t>London</t>
  </si>
  <si>
    <t>Midlands</t>
  </si>
  <si>
    <t>The data shows the total (sum) of all diverts in a given week.  
Total for 135 trusts in 2024/25, 135 trusts in 2023/24 and 137 in 2022/23.</t>
  </si>
  <si>
    <t>East of England</t>
  </si>
  <si>
    <t>North East &amp; Yorkshire</t>
  </si>
  <si>
    <t>North West</t>
  </si>
  <si>
    <t>South East</t>
  </si>
  <si>
    <t>South West</t>
  </si>
  <si>
    <t>Day with the most diverts</t>
  </si>
  <si>
    <t>9 (3-Feb)</t>
  </si>
  <si>
    <t>No. days with zero diverts</t>
  </si>
  <si>
    <t>5 out of 98 (5%)</t>
  </si>
  <si>
    <t>G&amp;A bed availability</t>
  </si>
  <si>
    <t xml:space="preserve"> Core beds:</t>
  </si>
  <si>
    <t>Definition: All available beds for general and acute patients, made up of core bed stock and escalation beds (temporary beds opened to increase capacity).</t>
  </si>
  <si>
    <r>
      <rPr>
        <sz val="10"/>
        <rFont val="Calibri"/>
        <family val="2"/>
        <scheme val="minor"/>
      </rPr>
      <t xml:space="preserve">
The data shows the daily average number of general and acute beds available, divided into core beds and escalation beds. As well as the day when the highest number of each bed type was available.</t>
    </r>
    <r>
      <rPr>
        <sz val="10"/>
        <color theme="4"/>
        <rFont val="Calibri"/>
        <family val="2"/>
        <scheme val="minor"/>
      </rPr>
      <t xml:space="preserve">
</t>
    </r>
    <r>
      <rPr>
        <sz val="10"/>
        <rFont val="Calibri"/>
        <family val="2"/>
        <scheme val="minor"/>
      </rPr>
      <t>Total for 135 trusts in 2024/25, 135 trusts in 2023/24 and 137 in 2022/23.</t>
    </r>
  </si>
  <si>
    <t xml:space="preserve">North West </t>
  </si>
  <si>
    <t>Day with most core beds open</t>
  </si>
  <si>
    <t>100,175 (15-Feb)</t>
  </si>
  <si>
    <t xml:space="preserve">   Escalation beds:</t>
  </si>
  <si>
    <t>Day with most escalation beds open</t>
  </si>
  <si>
    <t>4,066 (24-Jan)</t>
  </si>
  <si>
    <t xml:space="preserve">   Total beds:</t>
  </si>
  <si>
    <t>Day with most total beds open</t>
  </si>
  <si>
    <t>104,054 (24-Jan)</t>
  </si>
  <si>
    <t>G&amp;A bed occupancy</t>
  </si>
  <si>
    <t xml:space="preserve">Definition: The percentage of all open general and acute beds (core bed stock and escalation beds) that are occupied.This includes both adult and paediatric beds. </t>
  </si>
  <si>
    <r>
      <t xml:space="preserve">The data shows the average daily occupancy for general and acute beds, as well as the number of reporting trusts who reached 85%, 95% or 100% occupancy on at least one day that week.
</t>
    </r>
    <r>
      <rPr>
        <sz val="10"/>
        <color rgb="FFC00848"/>
        <rFont val="Calibri"/>
        <family val="2"/>
        <scheme val="minor"/>
      </rPr>
      <t>Note that the vertical axis on the chart does not start at zero.</t>
    </r>
  </si>
  <si>
    <t>No. trusts hit 85%</t>
  </si>
  <si>
    <t>No. trusts hit 95%</t>
  </si>
  <si>
    <t>No. trusts hit 100%</t>
  </si>
  <si>
    <t>Beds occ. by long stay</t>
  </si>
  <si>
    <t xml:space="preserve">   Over 7 days:</t>
  </si>
  <si>
    <t>Definition: Beds occupied by patients with a length of stay of 7, 14 and 21 days or more.</t>
  </si>
  <si>
    <t>The data shows the average number of patients per day with stays of 7, 14 and 21 days or more.</t>
  </si>
  <si>
    <t xml:space="preserve">   Over 14 days:</t>
  </si>
  <si>
    <t xml:space="preserve">   Over 21 days:</t>
  </si>
  <si>
    <t>D&amp;V, Norovirus</t>
  </si>
  <si>
    <t xml:space="preserve">    Beds closed:</t>
  </si>
  <si>
    <t>Definition: The number of beds closed to diarrhoea and vomiting/norovirus-like symptoms, and of those the number unoccupied.</t>
  </si>
  <si>
    <r>
      <rPr>
        <sz val="10"/>
        <rFont val="Calibri"/>
        <family val="2"/>
        <scheme val="minor"/>
      </rPr>
      <t>The data shows the average number of beds per day that are closed and closed unoccupied due to D&amp;V/norovirus-like symptoms. It also shows the number of trusts with beds closed/beds closed unoccupied on at least one day that week and the day with the highest number of closures recorded.</t>
    </r>
    <r>
      <rPr>
        <sz val="10"/>
        <color theme="4"/>
        <rFont val="Calibri"/>
        <family val="2"/>
        <scheme val="minor"/>
      </rPr>
      <t xml:space="preserve">
</t>
    </r>
    <r>
      <rPr>
        <sz val="10"/>
        <rFont val="Calibri"/>
        <family val="2"/>
        <scheme val="minor"/>
      </rPr>
      <t>Total for 135 trusts in 2024/25, 135 trusts in 2023/24 and 137 in 2022/23.</t>
    </r>
  </si>
  <si>
    <t xml:space="preserve">South West </t>
  </si>
  <si>
    <t>No. trusts with beds closed</t>
  </si>
  <si>
    <t>Highest day</t>
  </si>
  <si>
    <t>952 (26-Jan)</t>
  </si>
  <si>
    <t xml:space="preserve">    Beds closed unoccupied:</t>
  </si>
  <si>
    <t>No. trusts with beds closed unocc.</t>
  </si>
  <si>
    <t>164 (26-Jan)</t>
  </si>
  <si>
    <t>Adult critical care</t>
  </si>
  <si>
    <t xml:space="preserve">    Occupancy rate:</t>
  </si>
  <si>
    <t>Definition: The number of adult critical care beds that are open and the percentage of those that are occupied.</t>
  </si>
  <si>
    <r>
      <t xml:space="preserve">The data shows the daily average percentage of adult critical care beds that are occupied. As well as the daily average number of adult critical care beds available (total number of beds minus number of occupied beds) each day.
</t>
    </r>
    <r>
      <rPr>
        <sz val="10"/>
        <rFont val="Calibri"/>
        <family val="2"/>
        <scheme val="minor"/>
      </rPr>
      <t xml:space="preserve">Total for 135 trusts in 2024/25, 135 trusts in 2023/24 and 137 in 2022/23.
</t>
    </r>
    <r>
      <rPr>
        <sz val="10"/>
        <color theme="1"/>
        <rFont val="Calibri"/>
        <family val="2"/>
        <scheme val="minor"/>
      </rPr>
      <t xml:space="preserve">
</t>
    </r>
    <r>
      <rPr>
        <sz val="10"/>
        <color rgb="FFC00000"/>
        <rFont val="Calibri"/>
        <family val="2"/>
        <scheme val="minor"/>
      </rPr>
      <t>Note that the vertical axis on the chart does not start at zero.</t>
    </r>
  </si>
  <si>
    <t xml:space="preserve">    No. beds available:</t>
  </si>
  <si>
    <t>Paediatric intensive care</t>
  </si>
  <si>
    <t>Definition: The number of paediatric intensive care beds that are open and the percentage of those that are occupied.</t>
  </si>
  <si>
    <r>
      <t xml:space="preserve">The data shows the daily average percentage of paediatric intensive care beds that are occupied. As well as the daily average number of paediatric intensive care beds available (total number of beds minus number of occupied beds) each day.
</t>
    </r>
    <r>
      <rPr>
        <sz val="10"/>
        <rFont val="Calibri"/>
        <family val="2"/>
        <scheme val="minor"/>
      </rPr>
      <t>Available beds total for 135 trusts in 2024/25, 135 trusts in 2023/24 and 137 in 2022/23.</t>
    </r>
    <r>
      <rPr>
        <sz val="10"/>
        <color theme="1"/>
        <rFont val="Calibri"/>
        <family val="2"/>
        <scheme val="minor"/>
      </rPr>
      <t xml:space="preserve">
Note that the vertical axis on the chart does not start at zero.</t>
    </r>
  </si>
  <si>
    <t>Neonatal intensive care</t>
  </si>
  <si>
    <t>Occupancy rate:</t>
  </si>
  <si>
    <t>Definition: The number of neonatal intensive care beds that are open and the percentage of those that are occupied.</t>
  </si>
  <si>
    <r>
      <t xml:space="preserve">The data shows the daily average percentage of neonatal intensive care beds that are occupied. As well as the daily average number of neonatal intensive care beds available (total number of beds minus number of occupied beds) each day.
</t>
    </r>
    <r>
      <rPr>
        <sz val="10"/>
        <rFont val="Calibri"/>
        <family val="2"/>
        <scheme val="minor"/>
      </rPr>
      <t>Available beds total for 135 trusts in 2024/25, 135 trusts in 2023/24 and 137 in 2022/23.</t>
    </r>
    <r>
      <rPr>
        <sz val="10"/>
        <color theme="1"/>
        <rFont val="Calibri"/>
        <family val="2"/>
        <scheme val="minor"/>
      </rPr>
      <t xml:space="preserve">
Note that the vertical axis on the chart does not start at zero.</t>
    </r>
  </si>
  <si>
    <t>Ambulance arrivals and delays</t>
  </si>
  <si>
    <t xml:space="preserve">    Ambulance arrivals:</t>
  </si>
  <si>
    <t>Definition: The number of patients arriving by ambulance. The number of ambulance handover delays between 30 and 60 minutes, and the number of delays over 60 minutes.</t>
  </si>
  <si>
    <t>The data shows the total number (sum) of ambulance arrivals to the reporting trusts in that week, and then the percentage of these that were delayed by 30 minutes or more and 60 minutes or more. It also shows the number of trusts in that week that reported at least one delay of over 60 minutes.
Note that the vertical axis on the ambulance arrivals chart does not start at zero.
Ambulance arrivals and delay total for 148 trusts in 2024/25, 146 trusts in 2023/24 and 137 in 2022/23.</t>
  </si>
  <si>
    <t xml:space="preserve">   % delayed 30 mins or more:</t>
  </si>
  <si>
    <t xml:space="preserve">   % delayed 60 mins or more:</t>
  </si>
  <si>
    <t xml:space="preserve">South East </t>
  </si>
  <si>
    <t>No. of trusts with &gt;60 min delays</t>
  </si>
  <si>
    <t>Flu</t>
  </si>
  <si>
    <t xml:space="preserve">    G&amp;A flu beds</t>
  </si>
  <si>
    <t>Definition: The average number of general and acute beds occupied by flu patients and the average number of critical care beds occupied by flu patients</t>
  </si>
  <si>
    <t xml:space="preserve">The data shows the average number of G&amp;A beds occupied by flu patients and the average number of critical care beds occupied by flu patients. 
</t>
  </si>
  <si>
    <t xml:space="preserve">    Critical care flu beds</t>
  </si>
  <si>
    <t>RSV</t>
  </si>
  <si>
    <t xml:space="preserve">    Paediatric beds closed</t>
  </si>
  <si>
    <t>Definition: Paediatric beds closed: When paediatric patients are subject to infection control measures related to RSV which would result in beds in the same bay being closed for new admissions with the possible exception of patients with the same infection.
Paediatric beds closed unoccupied: Beds unavailable to NON-RSV patients</t>
  </si>
  <si>
    <t xml:space="preserve">The data shows the average number of paediatric beds closed due to to RSV and the average number of paediatric beds closed unoccupied due to RSV. 
</t>
  </si>
  <si>
    <t xml:space="preserve">    Paediatric beds closed unoccupied</t>
  </si>
  <si>
    <t>Beds occupied by COVID-19 patients</t>
  </si>
  <si>
    <t>Definition: The total number of beds occupied by patients with COVID-19 (as of 08:00)</t>
  </si>
  <si>
    <t>Total beds occupied by confirmed COVID-19 patients:</t>
  </si>
  <si>
    <t>21/22</t>
  </si>
  <si>
    <t xml:space="preserve">The data shows the average number of beds per day that are occupied by patients with COVID-19, as of 08:00 each day. 
</t>
  </si>
  <si>
    <t>Discharge delays</t>
  </si>
  <si>
    <t>% of adult patients remaining in hospital who no longer need to reside:</t>
  </si>
  <si>
    <t>Definition: Patients 18 and over, including critical care and COVID-19 positive patients who no longer meet the criteria to reside but remain in hospital. This excludes paediatrics, maternity, and deceased patients.</t>
  </si>
  <si>
    <t xml:space="preserve">The data shows the percentage of patients remaining in hospital who no longer meet the criteria to reside
</t>
  </si>
  <si>
    <t>Adult patients who no longer need to reside:</t>
  </si>
  <si>
    <t>Definition: The number of patients aged 18 and over, including critical care and COVID-19 positive patients who no longer meet the criteria to reside.</t>
  </si>
  <si>
    <t xml:space="preserve">The data shows the average number of patients, per day, who no longer meet the criteria to reside
</t>
  </si>
  <si>
    <t>Adult patients remaining in hospital who no longer need to reside:</t>
  </si>
  <si>
    <t xml:space="preserve">Definition: The number of patients 18 and over, including critical care and COVID-19 positive patients who no longer meet the criteria to reside but remain in hospital (delayed discharges). </t>
  </si>
  <si>
    <t xml:space="preserve">The data shows the average number of patients, per day, remaining in hospital when they no longer meet the criteria to reside
</t>
  </si>
  <si>
    <t>Covid-19 hosptial activity</t>
  </si>
  <si>
    <t>Definition: The number of confirmed Covid-19 patients in hospital</t>
  </si>
  <si>
    <t>Covid-19 patients in hospital:</t>
  </si>
  <si>
    <t>22/23</t>
  </si>
  <si>
    <t xml:space="preserve">The data shows the average number of confirmed Covid-19 patients, per day, in hospital
</t>
  </si>
  <si>
    <t>Covid-19 patients in mechanical ventilation beds:</t>
  </si>
  <si>
    <t>Definition: The number of mechanical ventilation beds containing a confirmed Covid-19 patient</t>
  </si>
  <si>
    <t xml:space="preserve">The data shows the average number of confirmed Covid-19 patients, per day, remaining in mechanical ventilation beds
</t>
  </si>
  <si>
    <t>Covid-19 hospital admissions:</t>
  </si>
  <si>
    <t xml:space="preserve">Definition: The number of confirmed Covid-19 patients admitted into hosptial </t>
  </si>
  <si>
    <t xml:space="preserve">The data shows the average number of confirmed Covid-19 patients, per day, admitted into hospital
</t>
  </si>
  <si>
    <t>2022/23 weekly total</t>
  </si>
  <si>
    <t>2022/23 weekly total by region</t>
  </si>
  <si>
    <t>2019/20 - highest day</t>
  </si>
  <si>
    <t>2019/20 - no. zero days</t>
  </si>
  <si>
    <t>Year</t>
  </si>
  <si>
    <t>2024/25</t>
  </si>
  <si>
    <t xml:space="preserve">Week </t>
  </si>
  <si>
    <t>All</t>
  </si>
  <si>
    <t xml:space="preserve">East of England </t>
  </si>
  <si>
    <t>Row Labels</t>
  </si>
  <si>
    <t>Sum of AE diverts</t>
  </si>
  <si>
    <t>Column Labels</t>
  </si>
  <si>
    <t>East Of England</t>
  </si>
  <si>
    <t>North East and Yorkshire</t>
  </si>
  <si>
    <t>Grand Total</t>
  </si>
  <si>
    <t>2019/20 daily average beds available</t>
  </si>
  <si>
    <t>2019/20 highest day</t>
  </si>
  <si>
    <t>2019/20 daily average beds available, by region</t>
  </si>
  <si>
    <t>Daily average</t>
  </si>
  <si>
    <t>Core</t>
  </si>
  <si>
    <t>Escalation</t>
  </si>
  <si>
    <t>Total</t>
  </si>
  <si>
    <t>Total Core</t>
  </si>
  <si>
    <t>Total Escalation</t>
  </si>
  <si>
    <t>Total Total</t>
  </si>
  <si>
    <t>ESC.</t>
  </si>
  <si>
    <t>TOTAL</t>
  </si>
  <si>
    <t xml:space="preserve">2019/20 - G&amp;A weekly average bed occupancy </t>
  </si>
  <si>
    <t>2019/20 - weekly average bed occupancy, by region</t>
  </si>
  <si>
    <t>CD CJ</t>
  </si>
  <si>
    <t>CL CR</t>
  </si>
  <si>
    <t>CT CZ</t>
  </si>
  <si>
    <t>DB DH</t>
  </si>
  <si>
    <t>DJ DP</t>
  </si>
  <si>
    <t>DR DX</t>
  </si>
  <si>
    <t>DZ EF</t>
  </si>
  <si>
    <t>Week 6 total</t>
  </si>
  <si>
    <t xml:space="preserve">Week 7 total </t>
  </si>
  <si>
    <t>Week 8 total</t>
  </si>
  <si>
    <t>Week 9 total</t>
  </si>
  <si>
    <t xml:space="preserve">Week 10 </t>
  </si>
  <si>
    <t xml:space="preserve">Week 10 total </t>
  </si>
  <si>
    <t>Week 11 total</t>
  </si>
  <si>
    <t xml:space="preserve">Week 12 total </t>
  </si>
  <si>
    <t>Week 13 total</t>
  </si>
  <si>
    <t>Available</t>
  </si>
  <si>
    <t>Occupied</t>
  </si>
  <si>
    <t>Average of GA bed occupancy</t>
  </si>
  <si>
    <t>Total Available</t>
  </si>
  <si>
    <t>Total Occupied</t>
  </si>
  <si>
    <t>Week 1 Total</t>
  </si>
  <si>
    <t>Week 2 Total</t>
  </si>
  <si>
    <t>Week 3 Total</t>
  </si>
  <si>
    <t>Week 4 Total</t>
  </si>
  <si>
    <t>Week 5 Total</t>
  </si>
  <si>
    <t>Week 6 Total</t>
  </si>
  <si>
    <t>Week 7 Total</t>
  </si>
  <si>
    <t>Week 8 Total</t>
  </si>
  <si>
    <t>Friday</t>
  </si>
  <si>
    <t>Monday</t>
  </si>
  <si>
    <t>Saturday</t>
  </si>
  <si>
    <t>Sunday</t>
  </si>
  <si>
    <t>Thursday</t>
  </si>
  <si>
    <t>Tuesday</t>
  </si>
  <si>
    <t>Wednesday</t>
  </si>
  <si>
    <t>AIREDALE NHS FOUNDATION TRUST</t>
  </si>
  <si>
    <t>ALDER HEY CHILDREN'S NHS FOUNDATION TRUST</t>
  </si>
  <si>
    <t>ASHFORD AND ST. PETER'S HOSPITALS NHS FOUNDATION TRUST</t>
  </si>
  <si>
    <t>BARKING, HAVERING AND REDBRIDGE UNIVERSITY HOSPITALS NHS TRUST</t>
  </si>
  <si>
    <t>BARNSLEY HOSPITAL NHS FOUNDATION TRUST</t>
  </si>
  <si>
    <t>BARTS HEALTH NHS TRUST</t>
  </si>
  <si>
    <t>Bedfordshire Hospitals NHS Foundation Trust</t>
  </si>
  <si>
    <t>BIRMINGHAM WOMEN'S AND CHILDREN'S NHS FOUNDATION TRUST</t>
  </si>
  <si>
    <t>BLACKPOOL TEACHING HOSPITALS NHS FOUNDATION TRUST</t>
  </si>
  <si>
    <t>BOLTON NHS FOUNDATION TRUST</t>
  </si>
  <si>
    <t>BRADFORD TEACHING HOSPITALS NHS FOUNDATION TRUST</t>
  </si>
  <si>
    <t>BUCKINGHAMSHIRE HEALTHCARE NHS TRUST</t>
  </si>
  <si>
    <t>CALDERDALE AND HUDDERSFIELD NHS FOUNDATION TRUST</t>
  </si>
  <si>
    <t>CAMBRIDGE UNIVERSITY HOSPITALS NHS FOUNDATION TRUST</t>
  </si>
  <si>
    <t>CHELSEA AND WESTMINSTER HOSPITAL NHS FOUNDATION TRUST</t>
  </si>
  <si>
    <t>CHESTERFIELD ROYAL HOSPITAL NHS FOUNDATION TRUST</t>
  </si>
  <si>
    <t>COUNTESS OF CHESTER HOSPITAL NHS FOUNDATION TRUST</t>
  </si>
  <si>
    <t>COUNTY DURHAM AND DARLINGTON NHS FOUNDATION TRUST</t>
  </si>
  <si>
    <t>CROYDON HEALTH SERVICES NHS TRUST</t>
  </si>
  <si>
    <t>DARTFORD AND GRAVESHAM NHS TRUST</t>
  </si>
  <si>
    <t>DONCASTER AND BASSETLAW TEACHING HOSPITALS NHS FOUNDATION TRUST</t>
  </si>
  <si>
    <t>DORSET COUNTY HOSPITAL NHS FOUNDATION TRUST</t>
  </si>
  <si>
    <t>EAST AND NORTH HERTFORDSHIRE NHS TRUST</t>
  </si>
  <si>
    <t>EAST CHESHIRE NHS TRUST</t>
  </si>
  <si>
    <t>EAST KENT HOSPITALS UNIVERSITY NHS FOUNDATION TRUST</t>
  </si>
  <si>
    <t>EAST LANCASHIRE HOSPITALS NHS TRUST</t>
  </si>
  <si>
    <t>EAST SUFFOLK AND NORTH ESSEX NHS FOUNDATION TRUST</t>
  </si>
  <si>
    <t>EAST SUSSEX HEALTHCARE NHS TRUST</t>
  </si>
  <si>
    <t>EPSOM AND ST HELIER UNIVERSITY HOSPITALS NHS TRUST</t>
  </si>
  <si>
    <t>FRIMLEY HEALTH NHS FOUNDATION TRUST</t>
  </si>
  <si>
    <t>GATESHEAD HEALTH NHS FOUNDATION TRUST</t>
  </si>
  <si>
    <t>GEORGE ELIOT HOSPITAL NHS TRUST</t>
  </si>
  <si>
    <t>GLOUCESTERSHIRE HOSPITALS NHS FOUNDATION TRUST</t>
  </si>
  <si>
    <t>GREAT ORMOND STREET HOSPITAL FOR CHILDREN NHS FOUNDATION TRUST</t>
  </si>
  <si>
    <t>GREAT WESTERN HOSPITALS NHS FOUNDATION TRUST</t>
  </si>
  <si>
    <t>GUY'S AND ST THOMAS' NHS FOUNDATION TRUST</t>
  </si>
  <si>
    <t>HAMPSHIRE HOSPITALS NHS FOUNDATION TRUST</t>
  </si>
  <si>
    <t>HARROGATE AND DISTRICT NHS FOUNDATION TRUST</t>
  </si>
  <si>
    <t>HOMERTON HEALTHCARE NHS FOUNDATION TRUST</t>
  </si>
  <si>
    <t>HULL UNIVERSITY TEACHING HOSPITALS NHS TRUST</t>
  </si>
  <si>
    <t>IMPERIAL COLLEGE HEALTHCARE NHS TRUST</t>
  </si>
  <si>
    <t>ISLE OF WIGHT NHS TRUST</t>
  </si>
  <si>
    <t>JAMES PAGET UNIVERSITY HOSPITALS NHS FOUNDATION TRUST</t>
  </si>
  <si>
    <t>KETTERING GENERAL HOSPITAL NHS FOUNDATION TRUST</t>
  </si>
  <si>
    <t>KING'S COLLEGE HOSPITAL NHS FOUNDATION TRUST</t>
  </si>
  <si>
    <t>KINGSTON AND RICHMOND NHS FOUNDATION TRUST</t>
  </si>
  <si>
    <t>KINGSTON HOSPITAL NHS FOUNDATION TRUST</t>
  </si>
  <si>
    <t>LANCASHIRE TEACHING HOSPITALS NHS FOUNDATION TRUST</t>
  </si>
  <si>
    <t>LEEDS TEACHING HOSPITALS NHS TRUST</t>
  </si>
  <si>
    <t>LEWISHAM AND GREENWICH NHS TRUST</t>
  </si>
  <si>
    <t>LIVERPOOL HEART AND CHEST HOSPITAL NHS FOUNDATION TRUST</t>
  </si>
  <si>
    <t>LIVERPOOL UNIVERSITY HOSPITALS NHS FOUNDATION TRUST</t>
  </si>
  <si>
    <t>LIVERPOOL WOMEN'S NHS FOUNDATION TRUST</t>
  </si>
  <si>
    <t>LONDON NORTH WEST UNIVERSITY HEALTHCARE NHS TRUST</t>
  </si>
  <si>
    <t>MAIDSTONE AND TUNBRIDGE WELLS NHS TRUST</t>
  </si>
  <si>
    <t>MANCHESTER UNIVERSITY NHS FOUNDATION TRUST</t>
  </si>
  <si>
    <t>MEDWAY NHS FOUNDATION TRUST</t>
  </si>
  <si>
    <t>MERSEY AND WEST LANCASHIRE TEACHING HOSPITALS NHS TRUST</t>
  </si>
  <si>
    <t>MID AND SOUTH ESSEX NHS FOUNDATION TRUST</t>
  </si>
  <si>
    <t>MID CHESHIRE HOSPITALS NHS FOUNDATION TRUST</t>
  </si>
  <si>
    <t>MID YORKSHIRE TEACHING NHS TRUST</t>
  </si>
  <si>
    <t>MILTON KEYNES UNIVERSITY HOSPITAL NHS FOUNDATION TRUST</t>
  </si>
  <si>
    <t>MOORFIELDS EYE HOSPITAL NHS FOUNDATION TRUST</t>
  </si>
  <si>
    <t>NORFOLK AND NORWICH UNIVERSITY HOSPITALS NHS FOUNDATION TRUST</t>
  </si>
  <si>
    <t>NORTH BRISTOL NHS TRUST</t>
  </si>
  <si>
    <t>NORTH CUMBRIA INTEGRATED CARE NHS FOUNDATION TRUST</t>
  </si>
  <si>
    <t>NORTH MIDDLESEX UNIVERSITY HOSPITAL NHS TRUST</t>
  </si>
  <si>
    <t>NORTH TEES AND HARTLEPOOL NHS FOUNDATION TRUST</t>
  </si>
  <si>
    <t>NORTH WEST ANGLIA NHS FOUNDATION TRUST</t>
  </si>
  <si>
    <t>NORTHAMPTON GENERAL HOSPITAL NHS TRUST</t>
  </si>
  <si>
    <t>NORTHERN CARE ALLIANCE NHS FOUNDATION TRUST</t>
  </si>
  <si>
    <t>NORTHERN LINCOLNSHIRE AND GOOLE NHS FOUNDATION TRUST</t>
  </si>
  <si>
    <t>NORTHUMBRIA HEALTHCARE NHS FOUNDATION TRUST</t>
  </si>
  <si>
    <t>NOTTINGHAM UNIVERSITY HOSPITALS NHS TRUST</t>
  </si>
  <si>
    <t>OXFORD UNIVERSITY HOSPITALS NHS FOUNDATION TRUST</t>
  </si>
  <si>
    <t>PORTSMOUTH HOSPITALS UNIVERSITY NHS TRUST</t>
  </si>
  <si>
    <t>QUEEN VICTORIA HOSPITAL NHS FOUNDATION TRUST</t>
  </si>
  <si>
    <t>ROYAL BERKSHIRE NHS FOUNDATION TRUST</t>
  </si>
  <si>
    <t>ROYAL CORNWALL HOSPITALS NHS TRUST</t>
  </si>
  <si>
    <t>ROYAL DEVON UNIVERSITY HEALTHCARE NHS FOUNDATION TRUST</t>
  </si>
  <si>
    <t>ROYAL FREE LONDON NHS FOUNDATION TRUST</t>
  </si>
  <si>
    <t>ROYAL NATIONAL ORTHOPAEDIC HOSPITAL NHS TRUST</t>
  </si>
  <si>
    <t>ROYAL PAPWORTH HOSPITAL NHS FOUNDATION TRUST</t>
  </si>
  <si>
    <t>ROYAL SURREY COUNTY HOSPITAL NHS FOUNDATION TRUST</t>
  </si>
  <si>
    <t>ROYAL UNITED HOSPITALS BATH NHS FOUNDATION TRUST</t>
  </si>
  <si>
    <t>SALISBURY NHS FOUNDATION TRUST</t>
  </si>
  <si>
    <t>SANDWELL AND WEST BIRMINGHAM HOSPITALS NHS TRUST</t>
  </si>
  <si>
    <t>SHEFFIELD CHILDREN'S NHS FOUNDATION TRUST</t>
  </si>
  <si>
    <t>SHEFFIELD TEACHING HOSPITALS NHS FOUNDATION TRUST</t>
  </si>
  <si>
    <t>SHERWOOD FOREST HOSPITALS NHS FOUNDATION TRUST</t>
  </si>
  <si>
    <t>SOMERSET NHS FOUNDATION TRUST</t>
  </si>
  <si>
    <t>SOUTH TEES HOSPITALS NHS FOUNDATION TRUST</t>
  </si>
  <si>
    <t>SOUTH TYNESIDE AND SUNDERLAND NHS FOUNDATION TRUST</t>
  </si>
  <si>
    <t>SOUTH WARWICKSHIRE UNIVERSITY NHS FOUNDATION TRUST</t>
  </si>
  <si>
    <t>ST GEORGE'S UNIVERSITY HOSPITALS NHS FOUNDATION TRUST</t>
  </si>
  <si>
    <t>STOCKPORT NHS FOUNDATION TRUST</t>
  </si>
  <si>
    <t>SURREY AND SUSSEX HEALTHCARE NHS TRUST</t>
  </si>
  <si>
    <t>TAMESIDE AND GLOSSOP INTEGRATED CARE NHS FOUNDATION TRUST</t>
  </si>
  <si>
    <t>THE CHRISTIE NHS FOUNDATION TRUST</t>
  </si>
  <si>
    <t>THE CLATTERBRIDGE CANCER CENTRE NHS FOUNDATION TRUST</t>
  </si>
  <si>
    <t>THE DUDLEY GROUP NHS FOUNDATION TRUST</t>
  </si>
  <si>
    <t>THE HILLINGDON HOSPITALS NHS FOUNDATION TRUST</t>
  </si>
  <si>
    <t>THE NEWCASTLE UPON TYNE HOSPITALS NHS FOUNDATION TRUST</t>
  </si>
  <si>
    <t>THE PRINCESS ALEXANDRA HOSPITAL NHS TRUST</t>
  </si>
  <si>
    <t>THE QUEEN ELIZABETH HOSPITAL KING'S LYNN NHS FOUNDATION TRUST</t>
  </si>
  <si>
    <t>THE ROBERT JONES AND AGNES HUNT ORTHOPAEDIC HOSPITAL NHS FOUNDATION TRUST</t>
  </si>
  <si>
    <t>THE ROTHERHAM NHS FOUNDATION TRUST</t>
  </si>
  <si>
    <t>THE ROYAL MARSDEN NHS FOUNDATION TRUST</t>
  </si>
  <si>
    <t>THE ROYAL ORTHOPAEDIC HOSPITAL NHS FOUNDATION TRUST</t>
  </si>
  <si>
    <t>THE ROYAL WOLVERHAMPTON NHS TRUST</t>
  </si>
  <si>
    <t>THE SHREWSBURY AND TELFORD HOSPITAL NHS TRUST</t>
  </si>
  <si>
    <t>THE WALTON CENTRE NHS FOUNDATION TRUST</t>
  </si>
  <si>
    <t>TORBAY AND SOUTH DEVON NHS FOUNDATION TRUST</t>
  </si>
  <si>
    <t>UNITED LINCOLNSHIRE HOSPITALS NHS TRUST</t>
  </si>
  <si>
    <t>UNIVERSITY COLLEGE LONDON HOSPITALS NHS FOUNDATION TRUST</t>
  </si>
  <si>
    <t>UNIVERSITY HOSPITAL SOUTHAMPTON NHS FOUNDATION TRUST</t>
  </si>
  <si>
    <t>UNIVERSITY HOSPITALS BIRMINGHAM NHS FOUNDATION TRUST</t>
  </si>
  <si>
    <t>University Hospitals Bristol and Weston NHS Foundation Trust</t>
  </si>
  <si>
    <t>UNIVERSITY HOSPITALS COVENTRY AND WARWICKSHIRE NHS TRUST</t>
  </si>
  <si>
    <t>UNIVERSITY HOSPITALS DORSET NHS FOUNDATION TRUST</t>
  </si>
  <si>
    <t>UNIVERSITY HOSPITALS OF DERBY AND BURTON NHS FOUNDATION TRUST</t>
  </si>
  <si>
    <t>UNIVERSITY HOSPITALS OF LEICESTER NHS TRUST</t>
  </si>
  <si>
    <t>UNIVERSITY HOSPITALS OF MORECAMBE BAY NHS FOUNDATION TRUST</t>
  </si>
  <si>
    <t>UNIVERSITY HOSPITALS OF NORTH MIDLANDS NHS TRUST</t>
  </si>
  <si>
    <t>UNIVERSITY HOSPITALS PLYMOUTH NHS TRUST</t>
  </si>
  <si>
    <t>UNIVERSITY HOSPITALS SUSSEX NHS FOUNDATION TRUST</t>
  </si>
  <si>
    <t>WALSALL HEALTHCARE NHS TRUST</t>
  </si>
  <si>
    <t>WARRINGTON AND HALTON TEACHING HOSPITALS NHS FOUNDATION TRUST</t>
  </si>
  <si>
    <t>WEST HERTFORDSHIRE TEACHING HOSPITALS NHS TRUST</t>
  </si>
  <si>
    <t>WEST SUFFOLK NHS FOUNDATION TRUST</t>
  </si>
  <si>
    <t>WHITTINGTON HEALTH NHS TRUST</t>
  </si>
  <si>
    <t>WIRRAL UNIVERSITY TEACHING HOSPITAL NHS FOUNDATION TRUST</t>
  </si>
  <si>
    <t>WORCESTERSHIRE ACUTE HOSPITALS NHS TRUST</t>
  </si>
  <si>
    <t>WRIGHTINGTON, WIGAN AND LEIGH TEACHING HOSPITALS NHS FOUNDATION TRUST</t>
  </si>
  <si>
    <t>WYE VALLEY NHS TRUST</t>
  </si>
  <si>
    <t>YORK AND SCARBOROUGH TEACHING HOSPITALS NHS FOUNDATION TRUST</t>
  </si>
  <si>
    <t>&gt;85%</t>
  </si>
  <si>
    <t>&gt;95%</t>
  </si>
  <si>
    <t xml:space="preserve">2023/24 - weekly total number of beds occ over 7 days </t>
  </si>
  <si>
    <t>2023/24 - weekly total number of beds occ over 21 days</t>
  </si>
  <si>
    <t>2023/24 - weekly total number of beds occ over 14 days</t>
  </si>
  <si>
    <t>Sum of Beds occ over 7 days</t>
  </si>
  <si>
    <t>Sum of Beds occ over 21 days</t>
  </si>
  <si>
    <t>Sum of Beds occ over 14 days 2</t>
  </si>
  <si>
    <t>2019/20 average daily beds closed</t>
  </si>
  <si>
    <t>2019/20 average daily beds closed, by region</t>
  </si>
  <si>
    <t>2019/20 no. trusts with beds closed</t>
  </si>
  <si>
    <t>2019/20 day with most beds closed</t>
  </si>
  <si>
    <t>2019/20 average daily beds closed unoccupied</t>
  </si>
  <si>
    <t>2021/22 daily beds closed unoccupied, by region</t>
  </si>
  <si>
    <t>2021/22 number of trusts closed unoccupied</t>
  </si>
  <si>
    <t>2019/20 with highest number closed unoccupied</t>
  </si>
  <si>
    <t>Sum of Beds closed norovirus</t>
  </si>
  <si>
    <t>Sum of Beds closed norovius unocc</t>
  </si>
  <si>
    <t>2019/20 average occupancy</t>
  </si>
  <si>
    <t>2019/20 average bed occupancy, by region</t>
  </si>
  <si>
    <t>Avail</t>
  </si>
  <si>
    <t>Occ</t>
  </si>
  <si>
    <t>Total Avail</t>
  </si>
  <si>
    <t>Total Occ</t>
  </si>
  <si>
    <t>Sum of Paed Int Care Avail</t>
  </si>
  <si>
    <t>Sum of Paed Int Care Occ</t>
  </si>
  <si>
    <t>Total Sum of Paed Int Care Avail</t>
  </si>
  <si>
    <t>Total Sum of Paed Int Care Occ</t>
  </si>
  <si>
    <t>2021/22 average occupancy</t>
  </si>
  <si>
    <t>2021/22 average occupancy, by region</t>
  </si>
  <si>
    <t>2021/22 daily average beds available</t>
  </si>
  <si>
    <t>Sum of Neo Int Care Avail</t>
  </si>
  <si>
    <t>Sum of Neo Int Care occ</t>
  </si>
  <si>
    <t>Total Sum of Neo Int Care Avail</t>
  </si>
  <si>
    <t>Total Sum of Neo Int Care occ</t>
  </si>
  <si>
    <t>2019/20 total ambulance arrivals, by region</t>
  </si>
  <si>
    <t>ambulance handover delays, by region</t>
  </si>
  <si>
    <t>Sum of Amb arrivals</t>
  </si>
  <si>
    <t>Sum of Amb delays over 60 mins</t>
  </si>
  <si>
    <t>Total Sum of Amb arrivals</t>
  </si>
  <si>
    <t>Total Sum of Amb delays over 30 mins</t>
  </si>
  <si>
    <t>Total Sum of Amb delays over 60 mins</t>
  </si>
  <si>
    <t>Sum of Amb delays over 30 mins</t>
  </si>
  <si>
    <t>BARNET, ENFIELD AND HARINGEY MENTAL HEALTH NHS TRUST</t>
  </si>
  <si>
    <t>CAMBRIDGESHIRE AND PETERBOROUGH NHS FOUNDATION TRUST</t>
  </si>
  <si>
    <t>CAMBRIDGESHIRE COMMUNITY SERVICES NHS TRUST</t>
  </si>
  <si>
    <t>CENTRAL AND NORTH WEST LONDON NHS FOUNDATION TRUST</t>
  </si>
  <si>
    <t>EAST LONDON NHS FOUNDATION TRUST</t>
  </si>
  <si>
    <t>ESSEX PARTNERSHIP UNIVERSITY NHS FOUNDATION TRUST</t>
  </si>
  <si>
    <t>HERTFORDSHIRE PARTNERSHIP UNIVERSITY NHS FOUNDATION TRUST</t>
  </si>
  <si>
    <t>KENT AND MEDWAY NHS AND SOCIAL CARE PARTNERSHIP TRUST</t>
  </si>
  <si>
    <t>KENT COMMUNITY HEALTH NHS FOUNDATION TRUST</t>
  </si>
  <si>
    <t>LANCASHIRE AND SOUTH CUMBRIA NHS FOUNDATION TRUST</t>
  </si>
  <si>
    <t>LINCOLNSHIRE COMMUNITY HEALTH SERVICES NHS TRUST</t>
  </si>
  <si>
    <t>MIDLANDS PARTNERSHIP NHS FOUNDATION TRUST</t>
  </si>
  <si>
    <t>NORFOLK AND SUFFOLK NHS FOUNDATION TRUST</t>
  </si>
  <si>
    <t>NORFOLK COMMUNITY HEALTH AND CARE NHS TRUST</t>
  </si>
  <si>
    <t>NORTH EAST LONDON NHS FOUNDATION TRUST</t>
  </si>
  <si>
    <t>OXFORD HEALTH NHS FOUNDATION TRUST</t>
  </si>
  <si>
    <t>SOUTH LONDON AND MAUDSLEY NHS FOUNDATION TRUST</t>
  </si>
  <si>
    <t>SURREY AND BORDERS PARTNERSHIP NHS FOUNDATION TRUST</t>
  </si>
  <si>
    <t>SUSSEX COMMUNITY NHS FOUNDATION TRUST</t>
  </si>
  <si>
    <t>SUSSEX PARTNERSHIP NHS FOUNDATION TRUST</t>
  </si>
  <si>
    <t>WEST LONDON NHS TRUST</t>
  </si>
  <si>
    <t>Patients in Hospital</t>
  </si>
  <si>
    <t>Date</t>
  </si>
  <si>
    <t>Week</t>
  </si>
  <si>
    <t>ENGLAND</t>
  </si>
  <si>
    <t>Average of ENGLAND</t>
  </si>
  <si>
    <t>Average of East of England</t>
  </si>
  <si>
    <t>Average of London</t>
  </si>
  <si>
    <t>Average of Midlands</t>
  </si>
  <si>
    <t>Average of North East and Yorkshire</t>
  </si>
  <si>
    <t>Average of North West</t>
  </si>
  <si>
    <t>Average of South East</t>
  </si>
  <si>
    <t>Average of South West</t>
  </si>
  <si>
    <t>Patients in MV beds</t>
  </si>
  <si>
    <t>Covid-19 new admissions</t>
  </si>
  <si>
    <t>% of patients remaining in hospital who no longer meet the criteria to reside</t>
  </si>
  <si>
    <t>Sum of Patients who no longer meet the criteria to reside</t>
  </si>
  <si>
    <t>Sum of Patients remaining in hospital who no longer meet the criteria to reside</t>
  </si>
  <si>
    <t>EAST OF ENGLAND</t>
  </si>
  <si>
    <t>LONDON</t>
  </si>
  <si>
    <t>MIDLANDS</t>
  </si>
  <si>
    <t>NORTH EAST AND YORKSHIRE</t>
  </si>
  <si>
    <t>NORTH WEST</t>
  </si>
  <si>
    <t>SOUTH EAST</t>
  </si>
  <si>
    <t>SOUTH WEST</t>
  </si>
  <si>
    <t>Total Average of Patients who no longer meet the criteria to reside</t>
  </si>
  <si>
    <t>Total Average of Patients remaining in hospital who no longer meet the criteria to reside</t>
  </si>
  <si>
    <t>Average of Patients who no longer meet the criteria to reside</t>
  </si>
  <si>
    <t>Average of Patients remaining in hospital who no longer meet the criteria to reside</t>
  </si>
  <si>
    <t>Sum of GA flu beds</t>
  </si>
  <si>
    <t>Sum of CC flu beds</t>
  </si>
  <si>
    <t>Sum of Paeds RSV beds closed</t>
  </si>
  <si>
    <t>Sum of Paeds RSV beds closed unocc</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</si>
</sst>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43" formatCode="_-* #,##0.00_-;\-* #,##0.00_-;_-* &quot;-&quot;??_-;_-@_-"/>
    <numFmt numFmtId="164" formatCode="0.0%"/>
  </numFmts>
  <fonts count="28" x14ac:knownFonts="1">
    <font>
      <sz val="11"/>
      <color theme="1"/>
      <name val="Calibri"/>
      <family val="2"/>
      <scheme val="minor"/>
    </font>
    <font>
      <sz val="11"/>
      <color theme="1"/>
      <name val="Calibri"/>
      <family val="2"/>
      <scheme val="minor"/>
    </font>
    <font>
      <b/>
      <sz val="11"/>
      <color theme="1"/>
      <name val="Calibri"/>
      <family val="2"/>
      <scheme val="minor"/>
    </font>
    <font>
      <sz val="11"/>
      <color theme="2" tint="-0.249977111117893"/>
      <name val="Calibri"/>
      <family val="2"/>
      <scheme val="minor"/>
    </font>
    <font>
      <i/>
      <sz val="11"/>
      <color theme="1"/>
      <name val="Calibri"/>
      <family val="2"/>
      <scheme val="minor"/>
    </font>
    <font>
      <sz val="14"/>
      <color theme="1"/>
      <name val="Calibri"/>
      <family val="2"/>
      <scheme val="minor"/>
    </font>
    <font>
      <sz val="10"/>
      <color theme="1"/>
      <name val="Calibri"/>
      <family val="2"/>
      <scheme val="minor"/>
    </font>
    <font>
      <i/>
      <sz val="10"/>
      <color theme="9"/>
      <name val="Calibri"/>
      <family val="2"/>
      <scheme val="minor"/>
    </font>
    <font>
      <sz val="11"/>
      <color theme="9"/>
      <name val="Calibri"/>
      <family val="2"/>
      <scheme val="minor"/>
    </font>
    <font>
      <i/>
      <sz val="8"/>
      <color theme="1"/>
      <name val="Calibri"/>
      <family val="2"/>
      <scheme val="minor"/>
    </font>
    <font>
      <i/>
      <sz val="11"/>
      <color theme="0"/>
      <name val="Calibri"/>
      <family val="2"/>
      <scheme val="minor"/>
    </font>
    <font>
      <sz val="11"/>
      <color theme="0"/>
      <name val="Calibri"/>
      <family val="2"/>
      <scheme val="minor"/>
    </font>
    <font>
      <sz val="11"/>
      <color theme="4" tint="-0.249977111117893"/>
      <name val="Calibri"/>
      <family val="2"/>
      <scheme val="minor"/>
    </font>
    <font>
      <sz val="11"/>
      <color theme="4" tint="-0.499984740745262"/>
      <name val="Calibri"/>
      <family val="2"/>
      <scheme val="minor"/>
    </font>
    <font>
      <b/>
      <sz val="11"/>
      <name val="Calibri"/>
      <family val="2"/>
      <scheme val="minor"/>
    </font>
    <font>
      <b/>
      <sz val="14"/>
      <color theme="0"/>
      <name val="Calibri"/>
      <family val="2"/>
      <scheme val="minor"/>
    </font>
    <font>
      <sz val="11"/>
      <name val="Calibri"/>
      <family val="2"/>
      <scheme val="minor"/>
    </font>
    <font>
      <b/>
      <sz val="10"/>
      <color rgb="FF095BA6"/>
      <name val="Verdana"/>
      <family val="2"/>
    </font>
    <font>
      <b/>
      <sz val="10"/>
      <name val="Verdana"/>
      <family val="2"/>
    </font>
    <font>
      <sz val="10"/>
      <name val="Verdana"/>
      <family val="2"/>
    </font>
    <font>
      <sz val="8"/>
      <name val="Calibri"/>
      <family val="2"/>
      <scheme val="minor"/>
    </font>
    <font>
      <sz val="11"/>
      <color theme="7" tint="-0.499984740745262"/>
      <name val="Calibri"/>
      <family val="2"/>
      <scheme val="minor"/>
    </font>
    <font>
      <sz val="10"/>
      <color theme="4"/>
      <name val="Calibri"/>
      <family val="2"/>
      <scheme val="minor"/>
    </font>
    <font>
      <sz val="10"/>
      <name val="Calibri"/>
      <family val="2"/>
      <scheme val="minor"/>
    </font>
    <font>
      <sz val="10"/>
      <color rgb="FFC00848"/>
      <name val="Calibri"/>
      <family val="2"/>
      <scheme val="minor"/>
    </font>
    <font>
      <sz val="10"/>
      <color rgb="FFC00000"/>
      <name val="Calibri"/>
      <family val="2"/>
      <scheme val="minor"/>
    </font>
    <font>
      <sz val="11"/>
      <color theme="4"/>
      <name val="Calibri"/>
      <family val="2"/>
      <scheme val="minor"/>
    </font>
    <font>
      <sz val="11"/>
      <color theme="8"/>
      <name val="Calibri"/>
      <family val="2"/>
      <scheme val="minor"/>
    </font>
  </fonts>
  <fills count="16">
    <fill>
      <patternFill patternType="none"/>
    </fill>
    <fill>
      <patternFill patternType="gray125"/>
    </fill>
    <fill>
      <patternFill patternType="solid">
        <fgColor theme="3" tint="0.59999389629810485"/>
        <bgColor indexed="64"/>
      </patternFill>
    </fill>
    <fill>
      <patternFill patternType="solid">
        <fgColor theme="2" tint="0.79998168889431442"/>
        <bgColor indexed="64"/>
      </patternFill>
    </fill>
    <fill>
      <patternFill patternType="solid">
        <fgColor theme="9" tint="0.79998168889431442"/>
        <bgColor indexed="64"/>
      </patternFill>
    </fill>
    <fill>
      <patternFill patternType="solid">
        <fgColor theme="7" tint="0.79998168889431442"/>
        <bgColor indexed="64"/>
      </patternFill>
    </fill>
    <fill>
      <patternFill patternType="solid">
        <fgColor theme="2" tint="0.39997558519241921"/>
        <bgColor indexed="64"/>
      </patternFill>
    </fill>
    <fill>
      <patternFill patternType="solid">
        <fgColor rgb="FFFFFF00"/>
        <bgColor indexed="64"/>
      </patternFill>
    </fill>
    <fill>
      <patternFill patternType="solid">
        <fgColor rgb="FFCED8DD"/>
        <bgColor indexed="64"/>
      </patternFill>
    </fill>
    <fill>
      <patternFill patternType="solid">
        <fgColor theme="0"/>
        <bgColor indexed="64"/>
      </patternFill>
    </fill>
    <fill>
      <patternFill patternType="solid">
        <fgColor rgb="FFEDF3F9"/>
        <bgColor rgb="FF000000"/>
      </patternFill>
    </fill>
    <fill>
      <patternFill patternType="solid">
        <fgColor rgb="FF00A89C"/>
        <bgColor indexed="64"/>
      </patternFill>
    </fill>
    <fill>
      <patternFill patternType="solid">
        <fgColor theme="5"/>
        <bgColor indexed="64"/>
      </patternFill>
    </fill>
    <fill>
      <patternFill patternType="solid">
        <fgColor theme="5" tint="0.59999389629810485"/>
        <bgColor indexed="64"/>
      </patternFill>
    </fill>
    <fill>
      <patternFill patternType="solid">
        <fgColor theme="8"/>
        <bgColor indexed="64"/>
      </patternFill>
    </fill>
    <fill>
      <patternFill patternType="solid">
        <fgColor theme="8" tint="0.79998168889431442"/>
        <bgColor indexed="64"/>
      </patternFill>
    </fill>
  </fills>
  <borders count="15">
    <border>
      <left/>
      <right/>
      <top/>
      <bottom/>
      <diagonal/>
    </border>
    <border>
      <left style="thin">
        <color theme="2" tint="-0.24994659260841701"/>
      </left>
      <right style="thin">
        <color theme="2" tint="-0.24994659260841701"/>
      </right>
      <top style="thin">
        <color theme="2" tint="-0.24994659260841701"/>
      </top>
      <bottom style="thin">
        <color theme="2" tint="-0.24994659260841701"/>
      </bottom>
      <diagonal/>
    </border>
    <border>
      <left style="thin">
        <color theme="2" tint="-0.24994659260841701"/>
      </left>
      <right/>
      <top style="thin">
        <color theme="2" tint="-0.24994659260841701"/>
      </top>
      <bottom style="thin">
        <color theme="2" tint="-0.24994659260841701"/>
      </bottom>
      <diagonal/>
    </border>
    <border>
      <left/>
      <right/>
      <top style="thin">
        <color theme="2" tint="-0.24994659260841701"/>
      </top>
      <bottom style="thin">
        <color theme="2" tint="-0.24994659260841701"/>
      </bottom>
      <diagonal/>
    </border>
    <border>
      <left/>
      <right style="thin">
        <color theme="2" tint="-0.24994659260841701"/>
      </right>
      <top style="thin">
        <color theme="2" tint="-0.24994659260841701"/>
      </top>
      <bottom style="thin">
        <color theme="2" tint="-0.24994659260841701"/>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theme="2" tint="-0.24994659260841701"/>
      </left>
      <right style="thin">
        <color theme="2" tint="-0.24994659260841701"/>
      </right>
      <top style="thin">
        <color indexed="64"/>
      </top>
      <bottom style="thin">
        <color theme="2" tint="-0.24994659260841701"/>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style="thin">
        <color theme="2" tint="-0.24994659260841701"/>
      </left>
      <right/>
      <top style="thin">
        <color indexed="64"/>
      </top>
      <bottom style="thin">
        <color theme="2" tint="-0.24994659260841701"/>
      </bottom>
      <diagonal/>
    </border>
    <border>
      <left style="thin">
        <color indexed="64"/>
      </left>
      <right/>
      <top/>
      <bottom/>
      <diagonal/>
    </border>
  </borders>
  <cellStyleXfs count="3">
    <xf numFmtId="0" fontId="0" fillId="0" borderId="0"/>
    <xf numFmtId="9" fontId="1" fillId="0" borderId="0" applyFont="0" applyFill="0" applyBorder="0" applyAlignment="0" applyProtection="0"/>
    <xf numFmtId="43" fontId="1" fillId="0" borderId="0" applyFont="0" applyFill="0" applyBorder="0" applyAlignment="0" applyProtection="0"/>
  </cellStyleXfs>
  <cellXfs count="174">
    <xf numFmtId="0" fontId="0" fillId="0" borderId="0" xfId="0"/>
    <xf numFmtId="0" fontId="0" fillId="0" borderId="0" xfId="0" applyAlignment="1">
      <alignment horizontal="right"/>
    </xf>
    <xf numFmtId="164" fontId="0" fillId="0" borderId="0" xfId="1" applyNumberFormat="1" applyFont="1"/>
    <xf numFmtId="0" fontId="4" fillId="0" borderId="0" xfId="0" applyFont="1" applyAlignment="1">
      <alignment horizontal="right"/>
    </xf>
    <xf numFmtId="0" fontId="5" fillId="0" borderId="0" xfId="0" applyFont="1" applyAlignment="1">
      <alignment vertical="center" textRotation="90"/>
    </xf>
    <xf numFmtId="164" fontId="3" fillId="3" borderId="1" xfId="1" applyNumberFormat="1" applyFont="1" applyFill="1" applyBorder="1" applyAlignment="1">
      <alignment horizontal="center"/>
    </xf>
    <xf numFmtId="0" fontId="0" fillId="0" borderId="0" xfId="0" applyAlignment="1">
      <alignment vertical="center" wrapText="1"/>
    </xf>
    <xf numFmtId="0" fontId="0" fillId="0" borderId="0" xfId="0" applyAlignment="1">
      <alignment horizontal="right" vertical="center" wrapText="1"/>
    </xf>
    <xf numFmtId="0" fontId="0" fillId="0" borderId="0" xfId="0" applyAlignment="1">
      <alignment horizontal="center"/>
    </xf>
    <xf numFmtId="0" fontId="4" fillId="0" borderId="0" xfId="0" applyFont="1"/>
    <xf numFmtId="0" fontId="4" fillId="0" borderId="0" xfId="0" applyFont="1" applyAlignment="1">
      <alignment horizontal="left"/>
    </xf>
    <xf numFmtId="3" fontId="3" fillId="3" borderId="1" xfId="1" applyNumberFormat="1" applyFont="1" applyFill="1" applyBorder="1" applyAlignment="1">
      <alignment horizontal="center"/>
    </xf>
    <xf numFmtId="0" fontId="6" fillId="0" borderId="0" xfId="0" applyFont="1" applyAlignment="1">
      <alignment vertical="top" wrapText="1"/>
    </xf>
    <xf numFmtId="0" fontId="2" fillId="0" borderId="0" xfId="0" applyFont="1" applyAlignment="1">
      <alignment horizontal="right"/>
    </xf>
    <xf numFmtId="0" fontId="2" fillId="0" borderId="0" xfId="0" applyFont="1"/>
    <xf numFmtId="0" fontId="0" fillId="0" borderId="0" xfId="0" pivotButton="1"/>
    <xf numFmtId="0" fontId="0" fillId="0" borderId="0" xfId="0" applyAlignment="1">
      <alignment horizontal="left"/>
    </xf>
    <xf numFmtId="1" fontId="0" fillId="0" borderId="0" xfId="0" applyNumberFormat="1" applyAlignment="1">
      <alignment horizontal="center"/>
    </xf>
    <xf numFmtId="9" fontId="0" fillId="0" borderId="0" xfId="1" applyFont="1" applyAlignment="1">
      <alignment horizontal="center"/>
    </xf>
    <xf numFmtId="49" fontId="9" fillId="0" borderId="0" xfId="0" applyNumberFormat="1" applyFont="1" applyAlignment="1">
      <alignment horizontal="center"/>
    </xf>
    <xf numFmtId="0" fontId="10" fillId="0" borderId="0" xfId="0" applyFont="1" applyAlignment="1">
      <alignment horizontal="center"/>
    </xf>
    <xf numFmtId="1" fontId="0" fillId="0" borderId="0" xfId="1" applyNumberFormat="1" applyFont="1" applyAlignment="1">
      <alignment horizontal="center"/>
    </xf>
    <xf numFmtId="1" fontId="0" fillId="0" borderId="0" xfId="0" applyNumberFormat="1"/>
    <xf numFmtId="0" fontId="2" fillId="0" borderId="0" xfId="0" applyFont="1" applyAlignment="1">
      <alignment horizontal="center"/>
    </xf>
    <xf numFmtId="164" fontId="0" fillId="0" borderId="0" xfId="1" applyNumberFormat="1" applyFont="1" applyAlignment="1">
      <alignment horizontal="center"/>
    </xf>
    <xf numFmtId="1" fontId="3" fillId="3" borderId="1" xfId="1" applyNumberFormat="1" applyFont="1" applyFill="1" applyBorder="1" applyAlignment="1">
      <alignment horizontal="center"/>
    </xf>
    <xf numFmtId="10" fontId="11" fillId="0" borderId="0" xfId="0" applyNumberFormat="1" applyFont="1"/>
    <xf numFmtId="164" fontId="0" fillId="0" borderId="0" xfId="0" applyNumberFormat="1"/>
    <xf numFmtId="9" fontId="2" fillId="0" borderId="0" xfId="0" applyNumberFormat="1" applyFont="1" applyAlignment="1">
      <alignment horizontal="right"/>
    </xf>
    <xf numFmtId="164" fontId="8" fillId="0" borderId="0" xfId="1" applyNumberFormat="1" applyFont="1" applyFill="1" applyBorder="1" applyAlignment="1">
      <alignment horizontal="center"/>
    </xf>
    <xf numFmtId="3" fontId="0" fillId="0" borderId="0" xfId="0" applyNumberFormat="1" applyAlignment="1">
      <alignment horizontal="center"/>
    </xf>
    <xf numFmtId="0" fontId="2" fillId="0" borderId="0" xfId="0" applyFont="1" applyAlignment="1">
      <alignment horizontal="center" vertical="center"/>
    </xf>
    <xf numFmtId="3" fontId="0" fillId="0" borderId="0" xfId="0" applyNumberFormat="1" applyAlignment="1">
      <alignment horizontal="right"/>
    </xf>
    <xf numFmtId="0" fontId="12" fillId="0" borderId="0" xfId="0" applyFont="1"/>
    <xf numFmtId="0" fontId="2" fillId="5" borderId="0" xfId="0" applyFont="1" applyFill="1" applyAlignment="1">
      <alignment horizontal="center"/>
    </xf>
    <xf numFmtId="0" fontId="2" fillId="5" borderId="0" xfId="0" applyFont="1" applyFill="1" applyAlignment="1">
      <alignment horizontal="left" vertical="top"/>
    </xf>
    <xf numFmtId="0" fontId="0" fillId="0" borderId="0" xfId="0" applyAlignment="1">
      <alignment horizontal="left" vertical="top"/>
    </xf>
    <xf numFmtId="9" fontId="0" fillId="0" borderId="0" xfId="1" applyFont="1"/>
    <xf numFmtId="0" fontId="2" fillId="4" borderId="0" xfId="0" applyFont="1" applyFill="1" applyAlignment="1">
      <alignment horizontal="center"/>
    </xf>
    <xf numFmtId="0" fontId="6" fillId="0" borderId="0" xfId="0" applyFont="1" applyAlignment="1">
      <alignment horizontal="left" vertical="top" wrapText="1"/>
    </xf>
    <xf numFmtId="2" fontId="0" fillId="0" borderId="0" xfId="0" applyNumberFormat="1"/>
    <xf numFmtId="0" fontId="0" fillId="0" borderId="0" xfId="0" applyAlignment="1">
      <alignment horizontal="center" vertical="center"/>
    </xf>
    <xf numFmtId="164" fontId="0" fillId="0" borderId="0" xfId="1" applyNumberFormat="1" applyFont="1" applyAlignment="1">
      <alignment horizontal="left" vertical="top"/>
    </xf>
    <xf numFmtId="0" fontId="2" fillId="5" borderId="0" xfId="0" applyFont="1" applyFill="1"/>
    <xf numFmtId="0" fontId="2" fillId="5" borderId="0" xfId="0" applyFont="1" applyFill="1" applyAlignment="1">
      <alignment horizontal="left"/>
    </xf>
    <xf numFmtId="3" fontId="13" fillId="0" borderId="0" xfId="0" applyNumberFormat="1" applyFont="1" applyAlignment="1">
      <alignment horizontal="center"/>
    </xf>
    <xf numFmtId="0" fontId="2" fillId="2" borderId="5" xfId="0" applyFont="1" applyFill="1" applyBorder="1" applyAlignment="1">
      <alignment horizontal="center"/>
    </xf>
    <xf numFmtId="3" fontId="2" fillId="2" borderId="5" xfId="0" applyNumberFormat="1" applyFont="1" applyFill="1" applyBorder="1" applyAlignment="1">
      <alignment horizontal="center"/>
    </xf>
    <xf numFmtId="164" fontId="2" fillId="2" borderId="5" xfId="0" applyNumberFormat="1" applyFont="1" applyFill="1" applyBorder="1" applyAlignment="1">
      <alignment horizontal="center"/>
    </xf>
    <xf numFmtId="1" fontId="2" fillId="2" borderId="5" xfId="0" applyNumberFormat="1" applyFont="1" applyFill="1" applyBorder="1" applyAlignment="1">
      <alignment horizontal="center"/>
    </xf>
    <xf numFmtId="164" fontId="2" fillId="2" borderId="5" xfId="1" applyNumberFormat="1" applyFont="1" applyFill="1" applyBorder="1" applyAlignment="1">
      <alignment horizontal="center"/>
    </xf>
    <xf numFmtId="3" fontId="2" fillId="2" borderId="5" xfId="1" applyNumberFormat="1" applyFont="1" applyFill="1" applyBorder="1" applyAlignment="1">
      <alignment horizontal="center"/>
    </xf>
    <xf numFmtId="164" fontId="2" fillId="6" borderId="5" xfId="1" applyNumberFormat="1" applyFont="1" applyFill="1" applyBorder="1" applyAlignment="1">
      <alignment horizontal="center"/>
    </xf>
    <xf numFmtId="164" fontId="13" fillId="0" borderId="0" xfId="1" applyNumberFormat="1" applyFont="1" applyFill="1" applyBorder="1" applyAlignment="1">
      <alignment horizontal="center"/>
    </xf>
    <xf numFmtId="3" fontId="13" fillId="0" borderId="0" xfId="1" applyNumberFormat="1" applyFont="1" applyFill="1" applyBorder="1" applyAlignment="1">
      <alignment horizontal="center"/>
    </xf>
    <xf numFmtId="1" fontId="0" fillId="7" borderId="0" xfId="0" applyNumberFormat="1" applyFill="1" applyAlignment="1">
      <alignment horizontal="center"/>
    </xf>
    <xf numFmtId="1" fontId="0" fillId="8" borderId="0" xfId="0" applyNumberFormat="1" applyFill="1" applyAlignment="1">
      <alignment horizontal="center"/>
    </xf>
    <xf numFmtId="0" fontId="13" fillId="0" borderId="0" xfId="0" applyFont="1" applyAlignment="1">
      <alignment horizontal="center"/>
    </xf>
    <xf numFmtId="0" fontId="3" fillId="3" borderId="5" xfId="0" applyFont="1" applyFill="1" applyBorder="1" applyAlignment="1">
      <alignment horizontal="center"/>
    </xf>
    <xf numFmtId="0" fontId="2" fillId="9" borderId="0" xfId="0" applyFont="1" applyFill="1"/>
    <xf numFmtId="0" fontId="0" fillId="9" borderId="0" xfId="0" applyFill="1"/>
    <xf numFmtId="3" fontId="2" fillId="9" borderId="0" xfId="0" applyNumberFormat="1" applyFont="1" applyFill="1" applyAlignment="1">
      <alignment horizontal="center"/>
    </xf>
    <xf numFmtId="3" fontId="13" fillId="9" borderId="0" xfId="0" applyNumberFormat="1" applyFont="1" applyFill="1" applyAlignment="1">
      <alignment horizontal="center"/>
    </xf>
    <xf numFmtId="2" fontId="2" fillId="9" borderId="0" xfId="0" applyNumberFormat="1" applyFont="1" applyFill="1"/>
    <xf numFmtId="164" fontId="2" fillId="9" borderId="0" xfId="0" applyNumberFormat="1" applyFont="1" applyFill="1" applyAlignment="1">
      <alignment horizontal="center"/>
    </xf>
    <xf numFmtId="164" fontId="13" fillId="9" borderId="0" xfId="0" applyNumberFormat="1" applyFont="1" applyFill="1" applyAlignment="1">
      <alignment horizontal="center"/>
    </xf>
    <xf numFmtId="1" fontId="2" fillId="9" borderId="0" xfId="0" applyNumberFormat="1" applyFont="1" applyFill="1" applyAlignment="1">
      <alignment horizontal="center"/>
    </xf>
    <xf numFmtId="3" fontId="3" fillId="9" borderId="0" xfId="1" applyNumberFormat="1" applyFont="1" applyFill="1" applyBorder="1" applyAlignment="1">
      <alignment horizontal="center"/>
    </xf>
    <xf numFmtId="3" fontId="3" fillId="3" borderId="5" xfId="1" applyNumberFormat="1" applyFont="1" applyFill="1" applyBorder="1" applyAlignment="1">
      <alignment horizontal="center"/>
    </xf>
    <xf numFmtId="0" fontId="2" fillId="9" borderId="0" xfId="0" applyFont="1" applyFill="1" applyAlignment="1">
      <alignment horizontal="center"/>
    </xf>
    <xf numFmtId="3" fontId="2" fillId="9" borderId="0" xfId="0" applyNumberFormat="1" applyFont="1" applyFill="1"/>
    <xf numFmtId="1" fontId="13" fillId="9" borderId="0" xfId="0" applyNumberFormat="1" applyFont="1" applyFill="1" applyAlignment="1">
      <alignment horizontal="center"/>
    </xf>
    <xf numFmtId="164" fontId="2" fillId="9" borderId="0" xfId="1" applyNumberFormat="1" applyFont="1" applyFill="1" applyBorder="1" applyAlignment="1">
      <alignment horizontal="center"/>
    </xf>
    <xf numFmtId="164" fontId="13" fillId="9" borderId="0" xfId="1" applyNumberFormat="1" applyFont="1" applyFill="1" applyBorder="1" applyAlignment="1">
      <alignment horizontal="center"/>
    </xf>
    <xf numFmtId="1" fontId="14" fillId="9" borderId="0" xfId="0" applyNumberFormat="1" applyFont="1" applyFill="1" applyAlignment="1">
      <alignment horizontal="center"/>
    </xf>
    <xf numFmtId="164" fontId="2" fillId="0" borderId="0" xfId="1" applyNumberFormat="1" applyFont="1" applyFill="1" applyBorder="1" applyAlignment="1">
      <alignment horizontal="center"/>
    </xf>
    <xf numFmtId="1" fontId="2" fillId="0" borderId="0" xfId="0" applyNumberFormat="1" applyFont="1" applyAlignment="1">
      <alignment horizontal="center"/>
    </xf>
    <xf numFmtId="1" fontId="13" fillId="0" borderId="0" xfId="0" applyNumberFormat="1" applyFont="1" applyAlignment="1">
      <alignment horizontal="center"/>
    </xf>
    <xf numFmtId="3" fontId="2" fillId="0" borderId="0" xfId="1" applyNumberFormat="1" applyFont="1" applyFill="1" applyBorder="1" applyAlignment="1">
      <alignment horizontal="center"/>
    </xf>
    <xf numFmtId="3" fontId="0" fillId="0" borderId="0" xfId="0" applyNumberFormat="1"/>
    <xf numFmtId="3" fontId="6" fillId="0" borderId="0" xfId="0" applyNumberFormat="1" applyFont="1" applyAlignment="1">
      <alignment horizontal="left" vertical="top" wrapText="1"/>
    </xf>
    <xf numFmtId="0" fontId="7" fillId="0" borderId="0" xfId="0" applyFont="1" applyAlignment="1">
      <alignment horizontal="left" vertical="top" wrapText="1"/>
    </xf>
    <xf numFmtId="0" fontId="2" fillId="5" borderId="0" xfId="0" applyFont="1" applyFill="1" applyAlignment="1">
      <alignment horizontal="center" vertical="top"/>
    </xf>
    <xf numFmtId="1" fontId="11" fillId="0" borderId="0" xfId="0" applyNumberFormat="1" applyFont="1"/>
    <xf numFmtId="164" fontId="11" fillId="0" borderId="0" xfId="1" applyNumberFormat="1" applyFont="1"/>
    <xf numFmtId="0" fontId="11" fillId="0" borderId="0" xfId="0" applyFont="1"/>
    <xf numFmtId="3" fontId="11" fillId="0" borderId="0" xfId="1" applyNumberFormat="1" applyFont="1" applyFill="1" applyBorder="1" applyAlignment="1">
      <alignment horizontal="center"/>
    </xf>
    <xf numFmtId="14" fontId="0" fillId="0" borderId="0" xfId="0" applyNumberFormat="1" applyAlignment="1">
      <alignment horizontal="left"/>
    </xf>
    <xf numFmtId="164" fontId="11" fillId="0" borderId="0" xfId="1" applyNumberFormat="1" applyFont="1" applyFill="1" applyBorder="1" applyAlignment="1">
      <alignment horizontal="center"/>
    </xf>
    <xf numFmtId="164" fontId="3" fillId="3" borderId="5" xfId="1" applyNumberFormat="1" applyFont="1" applyFill="1" applyBorder="1" applyAlignment="1">
      <alignment horizontal="center"/>
    </xf>
    <xf numFmtId="1" fontId="3" fillId="3" borderId="5" xfId="0" applyNumberFormat="1" applyFont="1" applyFill="1" applyBorder="1" applyAlignment="1">
      <alignment horizontal="center"/>
    </xf>
    <xf numFmtId="3" fontId="3" fillId="3" borderId="5" xfId="0" applyNumberFormat="1" applyFont="1" applyFill="1" applyBorder="1" applyAlignment="1">
      <alignment horizontal="center"/>
    </xf>
    <xf numFmtId="164" fontId="3" fillId="3" borderId="5" xfId="0" applyNumberFormat="1" applyFont="1" applyFill="1" applyBorder="1" applyAlignment="1">
      <alignment horizontal="center"/>
    </xf>
    <xf numFmtId="1" fontId="11" fillId="0" borderId="0" xfId="1" applyNumberFormat="1" applyFont="1" applyFill="1" applyBorder="1" applyAlignment="1">
      <alignment horizontal="center"/>
    </xf>
    <xf numFmtId="1" fontId="3" fillId="3" borderId="5" xfId="1" applyNumberFormat="1" applyFont="1" applyFill="1" applyBorder="1" applyAlignment="1">
      <alignment horizontal="center"/>
    </xf>
    <xf numFmtId="3" fontId="14" fillId="2" borderId="5" xfId="0" applyNumberFormat="1" applyFont="1" applyFill="1" applyBorder="1" applyAlignment="1">
      <alignment horizontal="center"/>
    </xf>
    <xf numFmtId="164" fontId="3" fillId="3" borderId="10" xfId="1" applyNumberFormat="1" applyFont="1" applyFill="1" applyBorder="1" applyAlignment="1">
      <alignment horizontal="center"/>
    </xf>
    <xf numFmtId="15" fontId="17" fillId="10" borderId="5" xfId="0" applyNumberFormat="1" applyFont="1" applyFill="1" applyBorder="1" applyAlignment="1">
      <alignment vertical="center" wrapText="1"/>
    </xf>
    <xf numFmtId="3" fontId="18" fillId="0" borderId="5" xfId="0" applyNumberFormat="1" applyFont="1" applyBorder="1" applyAlignment="1">
      <alignment horizontal="right"/>
    </xf>
    <xf numFmtId="3" fontId="19" fillId="0" borderId="9" xfId="0" applyNumberFormat="1" applyFont="1" applyBorder="1" applyAlignment="1">
      <alignment horizontal="right"/>
    </xf>
    <xf numFmtId="3" fontId="19" fillId="0" borderId="11" xfId="0" applyNumberFormat="1" applyFont="1" applyBorder="1" applyAlignment="1">
      <alignment horizontal="right"/>
    </xf>
    <xf numFmtId="3" fontId="19" fillId="0" borderId="12" xfId="0" applyNumberFormat="1" applyFont="1" applyBorder="1" applyAlignment="1">
      <alignment horizontal="right"/>
    </xf>
    <xf numFmtId="0" fontId="17" fillId="10" borderId="5" xfId="0" applyFont="1" applyFill="1" applyBorder="1" applyAlignment="1">
      <alignment vertical="center"/>
    </xf>
    <xf numFmtId="0" fontId="18" fillId="0" borderId="5" xfId="0" applyFont="1" applyBorder="1" applyAlignment="1">
      <alignment vertical="center"/>
    </xf>
    <xf numFmtId="0" fontId="18" fillId="0" borderId="9" xfId="0" applyFont="1" applyBorder="1" applyAlignment="1">
      <alignment vertical="center"/>
    </xf>
    <xf numFmtId="0" fontId="18" fillId="0" borderId="11" xfId="0" applyFont="1" applyBorder="1" applyAlignment="1">
      <alignment vertical="center"/>
    </xf>
    <xf numFmtId="0" fontId="18" fillId="0" borderId="12" xfId="0" applyFont="1" applyBorder="1" applyAlignment="1">
      <alignment vertical="center"/>
    </xf>
    <xf numFmtId="0" fontId="17" fillId="10" borderId="5" xfId="0" applyFont="1" applyFill="1" applyBorder="1" applyAlignment="1">
      <alignment vertical="center" wrapText="1"/>
    </xf>
    <xf numFmtId="3" fontId="21" fillId="5" borderId="5" xfId="1" applyNumberFormat="1" applyFont="1" applyFill="1" applyBorder="1" applyAlignment="1">
      <alignment horizontal="center"/>
    </xf>
    <xf numFmtId="0" fontId="22" fillId="0" borderId="0" xfId="0" applyFont="1" applyAlignment="1">
      <alignment vertical="top" wrapText="1"/>
    </xf>
    <xf numFmtId="3" fontId="2" fillId="9" borderId="5" xfId="1" applyNumberFormat="1" applyFont="1" applyFill="1" applyBorder="1" applyAlignment="1">
      <alignment horizontal="center"/>
    </xf>
    <xf numFmtId="3" fontId="2" fillId="9" borderId="0" xfId="1" applyNumberFormat="1" applyFont="1" applyFill="1" applyBorder="1" applyAlignment="1">
      <alignment horizontal="center"/>
    </xf>
    <xf numFmtId="1" fontId="21" fillId="9" borderId="0" xfId="0" applyNumberFormat="1" applyFont="1" applyFill="1" applyAlignment="1">
      <alignment horizontal="center"/>
    </xf>
    <xf numFmtId="0" fontId="4" fillId="0" borderId="0" xfId="0" applyFont="1" applyAlignment="1">
      <alignment wrapText="1"/>
    </xf>
    <xf numFmtId="0" fontId="4" fillId="0" borderId="0" xfId="0" applyFont="1" applyAlignment="1">
      <alignment horizontal="right" wrapText="1"/>
    </xf>
    <xf numFmtId="3" fontId="0" fillId="0" borderId="0" xfId="1" applyNumberFormat="1" applyFont="1"/>
    <xf numFmtId="0" fontId="7" fillId="0" borderId="0" xfId="0" applyFont="1" applyAlignment="1">
      <alignment vertical="top" wrapText="1"/>
    </xf>
    <xf numFmtId="0" fontId="23" fillId="0" borderId="0" xfId="0" applyFont="1" applyAlignment="1">
      <alignment vertical="top" wrapText="1"/>
    </xf>
    <xf numFmtId="3" fontId="2" fillId="2" borderId="5" xfId="2" applyNumberFormat="1" applyFont="1" applyFill="1" applyBorder="1" applyAlignment="1">
      <alignment horizontal="center"/>
    </xf>
    <xf numFmtId="3" fontId="2" fillId="2" borderId="0" xfId="1" applyNumberFormat="1" applyFont="1" applyFill="1" applyBorder="1" applyAlignment="1">
      <alignment horizontal="center"/>
    </xf>
    <xf numFmtId="3" fontId="21" fillId="5" borderId="0" xfId="1" applyNumberFormat="1" applyFont="1" applyFill="1" applyBorder="1" applyAlignment="1">
      <alignment horizontal="center"/>
    </xf>
    <xf numFmtId="1" fontId="3" fillId="3" borderId="2" xfId="1" applyNumberFormat="1" applyFont="1" applyFill="1" applyBorder="1" applyAlignment="1">
      <alignment horizontal="center"/>
    </xf>
    <xf numFmtId="164" fontId="3" fillId="3" borderId="13" xfId="1" applyNumberFormat="1" applyFont="1" applyFill="1" applyBorder="1" applyAlignment="1">
      <alignment horizontal="center"/>
    </xf>
    <xf numFmtId="3" fontId="3" fillId="3" borderId="2" xfId="1" applyNumberFormat="1" applyFont="1" applyFill="1" applyBorder="1" applyAlignment="1">
      <alignment horizontal="center"/>
    </xf>
    <xf numFmtId="164" fontId="3" fillId="3" borderId="2" xfId="1" applyNumberFormat="1" applyFont="1" applyFill="1" applyBorder="1" applyAlignment="1">
      <alignment horizontal="center"/>
    </xf>
    <xf numFmtId="3" fontId="21" fillId="13" borderId="5" xfId="1" applyNumberFormat="1" applyFont="1" applyFill="1" applyBorder="1" applyAlignment="1">
      <alignment horizontal="center"/>
    </xf>
    <xf numFmtId="3" fontId="11" fillId="0" borderId="0" xfId="0" applyNumberFormat="1" applyFont="1"/>
    <xf numFmtId="3" fontId="2" fillId="2" borderId="9" xfId="0" applyNumberFormat="1" applyFont="1" applyFill="1" applyBorder="1" applyAlignment="1">
      <alignment horizontal="center"/>
    </xf>
    <xf numFmtId="0" fontId="27" fillId="15" borderId="5" xfId="0" applyFont="1" applyFill="1" applyBorder="1" applyAlignment="1">
      <alignment horizontal="center"/>
    </xf>
    <xf numFmtId="3" fontId="27" fillId="15" borderId="5" xfId="0" applyNumberFormat="1" applyFont="1" applyFill="1" applyBorder="1" applyAlignment="1">
      <alignment horizontal="center"/>
    </xf>
    <xf numFmtId="164" fontId="11" fillId="0" borderId="0" xfId="0" applyNumberFormat="1" applyFont="1"/>
    <xf numFmtId="164" fontId="27" fillId="15" borderId="5" xfId="0" applyNumberFormat="1" applyFont="1" applyFill="1" applyBorder="1" applyAlignment="1">
      <alignment horizontal="center"/>
    </xf>
    <xf numFmtId="1" fontId="27" fillId="15" borderId="5" xfId="0" applyNumberFormat="1" applyFont="1" applyFill="1" applyBorder="1" applyAlignment="1">
      <alignment horizontal="center"/>
    </xf>
    <xf numFmtId="164" fontId="27" fillId="15" borderId="5" xfId="1" applyNumberFormat="1" applyFont="1" applyFill="1" applyBorder="1" applyAlignment="1">
      <alignment horizontal="center"/>
    </xf>
    <xf numFmtId="3" fontId="27" fillId="15" borderId="5" xfId="1" applyNumberFormat="1" applyFont="1" applyFill="1" applyBorder="1" applyAlignment="1">
      <alignment horizontal="center"/>
    </xf>
    <xf numFmtId="0" fontId="7" fillId="0" borderId="0" xfId="0" applyFont="1" applyAlignment="1">
      <alignment horizontal="center" vertical="top" wrapText="1"/>
    </xf>
    <xf numFmtId="0" fontId="15" fillId="14" borderId="0" xfId="0" applyFont="1" applyFill="1" applyAlignment="1">
      <alignment horizontal="center" vertical="center" textRotation="90"/>
    </xf>
    <xf numFmtId="0" fontId="7" fillId="0" borderId="0" xfId="0" applyFont="1" applyAlignment="1">
      <alignment horizontal="left" vertical="top" wrapText="1"/>
    </xf>
    <xf numFmtId="0" fontId="23" fillId="0" borderId="0" xfId="0" applyFont="1" applyAlignment="1">
      <alignment horizontal="left" vertical="top" wrapText="1"/>
    </xf>
    <xf numFmtId="0" fontId="3" fillId="3" borderId="2" xfId="0" applyFont="1" applyFill="1" applyBorder="1" applyAlignment="1">
      <alignment horizontal="center"/>
    </xf>
    <xf numFmtId="0" fontId="3" fillId="3" borderId="3" xfId="0" applyFont="1" applyFill="1" applyBorder="1" applyAlignment="1">
      <alignment horizontal="center"/>
    </xf>
    <xf numFmtId="0" fontId="3" fillId="3" borderId="4" xfId="0" applyFont="1" applyFill="1" applyBorder="1" applyAlignment="1">
      <alignment horizontal="center"/>
    </xf>
    <xf numFmtId="0" fontId="22" fillId="0" borderId="0" xfId="0" applyFont="1" applyAlignment="1">
      <alignment horizontal="left" vertical="top" wrapText="1"/>
    </xf>
    <xf numFmtId="3" fontId="2" fillId="2" borderId="5" xfId="0" applyNumberFormat="1" applyFont="1" applyFill="1" applyBorder="1" applyAlignment="1">
      <alignment horizontal="center"/>
    </xf>
    <xf numFmtId="3" fontId="2" fillId="2" borderId="6" xfId="0" applyNumberFormat="1" applyFont="1" applyFill="1" applyBorder="1" applyAlignment="1">
      <alignment horizontal="center"/>
    </xf>
    <xf numFmtId="3" fontId="2" fillId="2" borderId="7" xfId="0" applyNumberFormat="1" applyFont="1" applyFill="1" applyBorder="1" applyAlignment="1">
      <alignment horizontal="center"/>
    </xf>
    <xf numFmtId="3" fontId="2" fillId="2" borderId="8" xfId="0" applyNumberFormat="1" applyFont="1" applyFill="1" applyBorder="1" applyAlignment="1">
      <alignment horizontal="center"/>
    </xf>
    <xf numFmtId="3" fontId="3" fillId="3" borderId="5" xfId="0" applyNumberFormat="1" applyFont="1" applyFill="1" applyBorder="1" applyAlignment="1">
      <alignment horizontal="center"/>
    </xf>
    <xf numFmtId="0" fontId="0" fillId="2" borderId="5" xfId="0" applyFill="1" applyBorder="1" applyAlignment="1">
      <alignment horizontal="center"/>
    </xf>
    <xf numFmtId="0" fontId="6" fillId="0" borderId="0" xfId="0" applyFont="1" applyAlignment="1">
      <alignment horizontal="left" vertical="top" wrapText="1"/>
    </xf>
    <xf numFmtId="0" fontId="15" fillId="12" borderId="0" xfId="0" applyFont="1" applyFill="1" applyAlignment="1">
      <alignment horizontal="center" vertical="center" textRotation="90"/>
    </xf>
    <xf numFmtId="0" fontId="15" fillId="11" borderId="0" xfId="0" applyFont="1" applyFill="1" applyAlignment="1">
      <alignment horizontal="center" vertical="center" textRotation="90"/>
    </xf>
    <xf numFmtId="0" fontId="7" fillId="0" borderId="0" xfId="0" applyFont="1" applyAlignment="1">
      <alignment vertical="top" wrapText="1"/>
    </xf>
    <xf numFmtId="0" fontId="23" fillId="0" borderId="0" xfId="0" applyFont="1" applyAlignment="1">
      <alignment vertical="top" wrapText="1"/>
    </xf>
    <xf numFmtId="0" fontId="23" fillId="0" borderId="0" xfId="0" applyFont="1" applyAlignment="1">
      <alignment horizontal="center" vertical="top" wrapText="1"/>
    </xf>
    <xf numFmtId="0" fontId="3" fillId="3" borderId="6" xfId="0" applyFont="1" applyFill="1" applyBorder="1" applyAlignment="1">
      <alignment horizontal="center"/>
    </xf>
    <xf numFmtId="0" fontId="3" fillId="3" borderId="7" xfId="0" applyFont="1" applyFill="1" applyBorder="1" applyAlignment="1">
      <alignment horizontal="center"/>
    </xf>
    <xf numFmtId="0" fontId="3" fillId="3" borderId="8" xfId="0" applyFont="1" applyFill="1" applyBorder="1" applyAlignment="1">
      <alignment horizontal="center"/>
    </xf>
    <xf numFmtId="0" fontId="3" fillId="3" borderId="5" xfId="0" applyFont="1" applyFill="1" applyBorder="1" applyAlignment="1">
      <alignment horizontal="center"/>
    </xf>
    <xf numFmtId="0" fontId="2" fillId="2" borderId="14" xfId="0" applyFont="1" applyFill="1" applyBorder="1" applyAlignment="1">
      <alignment horizontal="center"/>
    </xf>
    <xf numFmtId="0" fontId="2" fillId="2" borderId="0" xfId="0" applyFont="1" applyFill="1" applyAlignment="1">
      <alignment horizontal="center"/>
    </xf>
    <xf numFmtId="0" fontId="22" fillId="0" borderId="0" xfId="0" applyFont="1" applyAlignment="1">
      <alignment horizontal="center" vertical="top" wrapText="1"/>
    </xf>
    <xf numFmtId="2" fontId="3" fillId="3" borderId="5" xfId="0" applyNumberFormat="1" applyFont="1" applyFill="1" applyBorder="1" applyAlignment="1">
      <alignment horizontal="center"/>
    </xf>
    <xf numFmtId="0" fontId="16" fillId="3" borderId="0" xfId="0" applyFont="1" applyFill="1" applyAlignment="1">
      <alignment horizontal="left" vertical="center" wrapText="1"/>
    </xf>
    <xf numFmtId="0" fontId="0" fillId="3" borderId="0" xfId="0" applyFill="1" applyAlignment="1">
      <alignment horizontal="left" vertical="center" wrapText="1"/>
    </xf>
    <xf numFmtId="0" fontId="4" fillId="0" borderId="0" xfId="0" applyFont="1" applyAlignment="1">
      <alignment horizontal="center"/>
    </xf>
    <xf numFmtId="0" fontId="2" fillId="2" borderId="5" xfId="0" applyFont="1" applyFill="1" applyBorder="1" applyAlignment="1">
      <alignment horizontal="center"/>
    </xf>
    <xf numFmtId="2" fontId="2" fillId="2" borderId="14" xfId="0" applyNumberFormat="1" applyFont="1" applyFill="1" applyBorder="1" applyAlignment="1">
      <alignment horizontal="center"/>
    </xf>
    <xf numFmtId="2" fontId="2" fillId="2" borderId="0" xfId="0" applyNumberFormat="1" applyFont="1" applyFill="1" applyAlignment="1">
      <alignment horizontal="center"/>
    </xf>
    <xf numFmtId="0" fontId="2" fillId="5" borderId="0" xfId="0" applyFont="1" applyFill="1" applyAlignment="1">
      <alignment horizontal="center"/>
    </xf>
    <xf numFmtId="0" fontId="2" fillId="5" borderId="0" xfId="0" applyFont="1" applyFill="1" applyAlignment="1">
      <alignment horizontal="center" vertical="top"/>
    </xf>
    <xf numFmtId="0" fontId="0" fillId="0" borderId="0" xfId="0" applyAlignment="1">
      <alignment horizontal="center"/>
    </xf>
    <xf numFmtId="0" fontId="2" fillId="4" borderId="0" xfId="0" applyFont="1" applyFill="1" applyAlignment="1">
      <alignment horizontal="center"/>
    </xf>
    <xf numFmtId="0" fontId="0" fillId="5" borderId="0" xfId="0" applyFill="1" applyAlignment="1">
      <alignment horizontal="center"/>
    </xf>
  </cellXfs>
  <cellStyles count="3">
    <cellStyle name="Comma" xfId="2" builtinId="3"/>
    <cellStyle name="Normal" xfId="0" builtinId="0"/>
    <cellStyle name="Percent" xfId="1" builtinId="5"/>
  </cellStyles>
  <dxfs count="13">
    <dxf>
      <numFmt numFmtId="1" formatCode="0"/>
    </dxf>
    <dxf>
      <numFmt numFmtId="1" formatCode="0"/>
    </dxf>
    <dxf>
      <numFmt numFmtId="1" formatCode="0"/>
    </dxf>
    <dxf>
      <numFmt numFmtId="1" formatCode="0"/>
    </dxf>
    <dxf>
      <numFmt numFmtId="1" formatCode="0"/>
    </dxf>
    <dxf>
      <numFmt numFmtId="1" formatCode="0"/>
    </dxf>
    <dxf>
      <numFmt numFmtId="1" formatCode="0"/>
    </dxf>
    <dxf>
      <numFmt numFmtId="1" formatCode="0"/>
    </dxf>
    <dxf>
      <numFmt numFmtId="1" formatCode="0"/>
    </dxf>
    <dxf>
      <numFmt numFmtId="1" formatCode="0"/>
    </dxf>
    <dxf>
      <numFmt numFmtId="1" formatCode="0"/>
    </dxf>
    <dxf>
      <numFmt numFmtId="1" formatCode="0"/>
    </dxf>
    <dxf>
      <numFmt numFmtId="1" formatCode="0"/>
    </dxf>
  </dxfs>
  <tableStyles count="0" defaultTableStyle="TableStyleMedium2" defaultPivotStyle="PivotStyleLight16"/>
  <colors>
    <mruColors>
      <color rgb="FFC00848"/>
      <color rgb="FFE1C037"/>
      <color rgb="FF00A89C"/>
      <color rgb="FFFF5C6D"/>
      <color rgb="FF29398F"/>
      <color rgb="FF0093D5"/>
      <color rgb="FF79062B"/>
      <color rgb="FFF79131"/>
      <color rgb="FFFBABC6"/>
      <color rgb="FF8BFFD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customXml" Target="../customXml/item41.xml"/><Relationship Id="rId21" Type="http://schemas.openxmlformats.org/officeDocument/2006/relationships/pivotCacheDefinition" Target="pivotCache/pivotCacheDefinition2.xml"/><Relationship Id="rId42" Type="http://schemas.openxmlformats.org/officeDocument/2006/relationships/pivotCacheDefinition" Target="pivotCache/pivotCacheDefinition23.xml"/><Relationship Id="rId63" Type="http://schemas.openxmlformats.org/officeDocument/2006/relationships/pivotCacheDefinition" Target="pivotCache/pivotCacheDefinition44.xml"/><Relationship Id="rId84" Type="http://schemas.openxmlformats.org/officeDocument/2006/relationships/customXml" Target="../customXml/item8.xml"/><Relationship Id="rId138" Type="http://schemas.openxmlformats.org/officeDocument/2006/relationships/customXml" Target="../customXml/item62.xml"/><Relationship Id="rId107" Type="http://schemas.openxmlformats.org/officeDocument/2006/relationships/customXml" Target="../customXml/item31.xml"/><Relationship Id="rId11" Type="http://schemas.openxmlformats.org/officeDocument/2006/relationships/worksheet" Target="worksheets/sheet11.xml"/><Relationship Id="rId32" Type="http://schemas.openxmlformats.org/officeDocument/2006/relationships/pivotCacheDefinition" Target="pivotCache/pivotCacheDefinition13.xml"/><Relationship Id="rId53" Type="http://schemas.openxmlformats.org/officeDocument/2006/relationships/pivotCacheDefinition" Target="pivotCache/pivotCacheDefinition34.xml"/><Relationship Id="rId74" Type="http://schemas.openxmlformats.org/officeDocument/2006/relationships/sheetMetadata" Target="metadata.xml"/><Relationship Id="rId128" Type="http://schemas.openxmlformats.org/officeDocument/2006/relationships/customXml" Target="../customXml/item52.xml"/><Relationship Id="rId149" Type="http://schemas.openxmlformats.org/officeDocument/2006/relationships/customXml" Target="../customXml/item73.xml"/><Relationship Id="rId5" Type="http://schemas.openxmlformats.org/officeDocument/2006/relationships/worksheet" Target="worksheets/sheet5.xml"/><Relationship Id="rId95" Type="http://schemas.openxmlformats.org/officeDocument/2006/relationships/customXml" Target="../customXml/item19.xml"/><Relationship Id="rId22" Type="http://schemas.openxmlformats.org/officeDocument/2006/relationships/pivotCacheDefinition" Target="pivotCache/pivotCacheDefinition3.xml"/><Relationship Id="rId27" Type="http://schemas.openxmlformats.org/officeDocument/2006/relationships/pivotCacheDefinition" Target="pivotCache/pivotCacheDefinition8.xml"/><Relationship Id="rId43" Type="http://schemas.openxmlformats.org/officeDocument/2006/relationships/pivotCacheDefinition" Target="pivotCache/pivotCacheDefinition24.xml"/><Relationship Id="rId48" Type="http://schemas.openxmlformats.org/officeDocument/2006/relationships/pivotCacheDefinition" Target="pivotCache/pivotCacheDefinition29.xml"/><Relationship Id="rId64" Type="http://schemas.openxmlformats.org/officeDocument/2006/relationships/pivotCacheDefinition" Target="pivotCache/pivotCacheDefinition45.xml"/><Relationship Id="rId69" Type="http://schemas.openxmlformats.org/officeDocument/2006/relationships/pivotCacheDefinition" Target="pivotCache/pivotCacheDefinition50.xml"/><Relationship Id="rId113" Type="http://schemas.openxmlformats.org/officeDocument/2006/relationships/customXml" Target="../customXml/item37.xml"/><Relationship Id="rId118" Type="http://schemas.openxmlformats.org/officeDocument/2006/relationships/customXml" Target="../customXml/item42.xml"/><Relationship Id="rId134" Type="http://schemas.openxmlformats.org/officeDocument/2006/relationships/customXml" Target="../customXml/item58.xml"/><Relationship Id="rId139" Type="http://schemas.openxmlformats.org/officeDocument/2006/relationships/customXml" Target="../customXml/item63.xml"/><Relationship Id="rId80" Type="http://schemas.openxmlformats.org/officeDocument/2006/relationships/customXml" Target="../customXml/item4.xml"/><Relationship Id="rId85" Type="http://schemas.openxmlformats.org/officeDocument/2006/relationships/customXml" Target="../customXml/item9.xml"/><Relationship Id="rId150" Type="http://schemas.openxmlformats.org/officeDocument/2006/relationships/customXml" Target="../customXml/item74.xml"/><Relationship Id="rId155" Type="http://schemas.openxmlformats.org/officeDocument/2006/relationships/customXml" Target="../customXml/item79.xml"/><Relationship Id="rId12" Type="http://schemas.openxmlformats.org/officeDocument/2006/relationships/worksheet" Target="worksheets/sheet12.xml"/><Relationship Id="rId17" Type="http://schemas.openxmlformats.org/officeDocument/2006/relationships/worksheet" Target="worksheets/sheet17.xml"/><Relationship Id="rId33" Type="http://schemas.openxmlformats.org/officeDocument/2006/relationships/pivotCacheDefinition" Target="pivotCache/pivotCacheDefinition14.xml"/><Relationship Id="rId38" Type="http://schemas.openxmlformats.org/officeDocument/2006/relationships/pivotCacheDefinition" Target="pivotCache/pivotCacheDefinition19.xml"/><Relationship Id="rId59" Type="http://schemas.openxmlformats.org/officeDocument/2006/relationships/pivotCacheDefinition" Target="pivotCache/pivotCacheDefinition40.xml"/><Relationship Id="rId103" Type="http://schemas.openxmlformats.org/officeDocument/2006/relationships/customXml" Target="../customXml/item27.xml"/><Relationship Id="rId108" Type="http://schemas.openxmlformats.org/officeDocument/2006/relationships/customXml" Target="../customXml/item32.xml"/><Relationship Id="rId124" Type="http://schemas.openxmlformats.org/officeDocument/2006/relationships/customXml" Target="../customXml/item48.xml"/><Relationship Id="rId129" Type="http://schemas.openxmlformats.org/officeDocument/2006/relationships/customXml" Target="../customXml/item53.xml"/><Relationship Id="rId54" Type="http://schemas.openxmlformats.org/officeDocument/2006/relationships/pivotCacheDefinition" Target="pivotCache/pivotCacheDefinition35.xml"/><Relationship Id="rId70" Type="http://schemas.openxmlformats.org/officeDocument/2006/relationships/theme" Target="theme/theme1.xml"/><Relationship Id="rId75" Type="http://schemas.openxmlformats.org/officeDocument/2006/relationships/powerPivotData" Target="model/item.data"/><Relationship Id="rId91" Type="http://schemas.openxmlformats.org/officeDocument/2006/relationships/customXml" Target="../customXml/item15.xml"/><Relationship Id="rId96" Type="http://schemas.openxmlformats.org/officeDocument/2006/relationships/customXml" Target="../customXml/item20.xml"/><Relationship Id="rId140" Type="http://schemas.openxmlformats.org/officeDocument/2006/relationships/customXml" Target="../customXml/item64.xml"/><Relationship Id="rId145" Type="http://schemas.openxmlformats.org/officeDocument/2006/relationships/customXml" Target="../customXml/item69.xml"/><Relationship Id="rId1" Type="http://schemas.openxmlformats.org/officeDocument/2006/relationships/worksheet" Target="worksheets/sheet1.xml"/><Relationship Id="rId6" Type="http://schemas.openxmlformats.org/officeDocument/2006/relationships/worksheet" Target="worksheets/sheet6.xml"/><Relationship Id="rId23" Type="http://schemas.openxmlformats.org/officeDocument/2006/relationships/pivotCacheDefinition" Target="pivotCache/pivotCacheDefinition4.xml"/><Relationship Id="rId28" Type="http://schemas.openxmlformats.org/officeDocument/2006/relationships/pivotCacheDefinition" Target="pivotCache/pivotCacheDefinition9.xml"/><Relationship Id="rId49" Type="http://schemas.openxmlformats.org/officeDocument/2006/relationships/pivotCacheDefinition" Target="pivotCache/pivotCacheDefinition30.xml"/><Relationship Id="rId114" Type="http://schemas.openxmlformats.org/officeDocument/2006/relationships/customXml" Target="../customXml/item38.xml"/><Relationship Id="rId119" Type="http://schemas.openxmlformats.org/officeDocument/2006/relationships/customXml" Target="../customXml/item43.xml"/><Relationship Id="rId44" Type="http://schemas.openxmlformats.org/officeDocument/2006/relationships/pivotCacheDefinition" Target="pivotCache/pivotCacheDefinition25.xml"/><Relationship Id="rId60" Type="http://schemas.openxmlformats.org/officeDocument/2006/relationships/pivotCacheDefinition" Target="pivotCache/pivotCacheDefinition41.xml"/><Relationship Id="rId65" Type="http://schemas.openxmlformats.org/officeDocument/2006/relationships/pivotCacheDefinition" Target="pivotCache/pivotCacheDefinition46.xml"/><Relationship Id="rId81" Type="http://schemas.openxmlformats.org/officeDocument/2006/relationships/customXml" Target="../customXml/item5.xml"/><Relationship Id="rId86" Type="http://schemas.openxmlformats.org/officeDocument/2006/relationships/customXml" Target="../customXml/item10.xml"/><Relationship Id="rId130" Type="http://schemas.openxmlformats.org/officeDocument/2006/relationships/customXml" Target="../customXml/item54.xml"/><Relationship Id="rId135" Type="http://schemas.openxmlformats.org/officeDocument/2006/relationships/customXml" Target="../customXml/item59.xml"/><Relationship Id="rId151" Type="http://schemas.openxmlformats.org/officeDocument/2006/relationships/customXml" Target="../customXml/item75.xml"/><Relationship Id="rId156" Type="http://schemas.openxmlformats.org/officeDocument/2006/relationships/customXml" Target="../customXml/item80.xml"/><Relationship Id="rId13" Type="http://schemas.openxmlformats.org/officeDocument/2006/relationships/worksheet" Target="worksheets/sheet13.xml"/><Relationship Id="rId18" Type="http://schemas.openxmlformats.org/officeDocument/2006/relationships/externalLink" Target="externalLinks/externalLink1.xml"/><Relationship Id="rId39" Type="http://schemas.openxmlformats.org/officeDocument/2006/relationships/pivotCacheDefinition" Target="pivotCache/pivotCacheDefinition20.xml"/><Relationship Id="rId109" Type="http://schemas.openxmlformats.org/officeDocument/2006/relationships/customXml" Target="../customXml/item33.xml"/><Relationship Id="rId34" Type="http://schemas.openxmlformats.org/officeDocument/2006/relationships/pivotCacheDefinition" Target="pivotCache/pivotCacheDefinition15.xml"/><Relationship Id="rId50" Type="http://schemas.openxmlformats.org/officeDocument/2006/relationships/pivotCacheDefinition" Target="pivotCache/pivotCacheDefinition31.xml"/><Relationship Id="rId55" Type="http://schemas.openxmlformats.org/officeDocument/2006/relationships/pivotCacheDefinition" Target="pivotCache/pivotCacheDefinition36.xml"/><Relationship Id="rId76" Type="http://schemas.openxmlformats.org/officeDocument/2006/relationships/calcChain" Target="calcChain.xml"/><Relationship Id="rId97" Type="http://schemas.openxmlformats.org/officeDocument/2006/relationships/customXml" Target="../customXml/item21.xml"/><Relationship Id="rId104" Type="http://schemas.openxmlformats.org/officeDocument/2006/relationships/customXml" Target="../customXml/item28.xml"/><Relationship Id="rId120" Type="http://schemas.openxmlformats.org/officeDocument/2006/relationships/customXml" Target="../customXml/item44.xml"/><Relationship Id="rId125" Type="http://schemas.openxmlformats.org/officeDocument/2006/relationships/customXml" Target="../customXml/item49.xml"/><Relationship Id="rId141" Type="http://schemas.openxmlformats.org/officeDocument/2006/relationships/customXml" Target="../customXml/item65.xml"/><Relationship Id="rId146" Type="http://schemas.openxmlformats.org/officeDocument/2006/relationships/customXml" Target="../customXml/item70.xml"/><Relationship Id="rId7" Type="http://schemas.openxmlformats.org/officeDocument/2006/relationships/worksheet" Target="worksheets/sheet7.xml"/><Relationship Id="rId71" Type="http://schemas.openxmlformats.org/officeDocument/2006/relationships/connections" Target="connections.xml"/><Relationship Id="rId92" Type="http://schemas.openxmlformats.org/officeDocument/2006/relationships/customXml" Target="../customXml/item16.xml"/><Relationship Id="rId2" Type="http://schemas.openxmlformats.org/officeDocument/2006/relationships/worksheet" Target="worksheets/sheet2.xml"/><Relationship Id="rId29" Type="http://schemas.openxmlformats.org/officeDocument/2006/relationships/pivotCacheDefinition" Target="pivotCache/pivotCacheDefinition10.xml"/><Relationship Id="rId24" Type="http://schemas.openxmlformats.org/officeDocument/2006/relationships/pivotCacheDefinition" Target="pivotCache/pivotCacheDefinition5.xml"/><Relationship Id="rId40" Type="http://schemas.openxmlformats.org/officeDocument/2006/relationships/pivotCacheDefinition" Target="pivotCache/pivotCacheDefinition21.xml"/><Relationship Id="rId45" Type="http://schemas.openxmlformats.org/officeDocument/2006/relationships/pivotCacheDefinition" Target="pivotCache/pivotCacheDefinition26.xml"/><Relationship Id="rId66" Type="http://schemas.openxmlformats.org/officeDocument/2006/relationships/pivotCacheDefinition" Target="pivotCache/pivotCacheDefinition47.xml"/><Relationship Id="rId87" Type="http://schemas.openxmlformats.org/officeDocument/2006/relationships/customXml" Target="../customXml/item11.xml"/><Relationship Id="rId110" Type="http://schemas.openxmlformats.org/officeDocument/2006/relationships/customXml" Target="../customXml/item34.xml"/><Relationship Id="rId115" Type="http://schemas.openxmlformats.org/officeDocument/2006/relationships/customXml" Target="../customXml/item39.xml"/><Relationship Id="rId131" Type="http://schemas.openxmlformats.org/officeDocument/2006/relationships/customXml" Target="../customXml/item55.xml"/><Relationship Id="rId136" Type="http://schemas.openxmlformats.org/officeDocument/2006/relationships/customXml" Target="../customXml/item60.xml"/><Relationship Id="rId61" Type="http://schemas.openxmlformats.org/officeDocument/2006/relationships/pivotCacheDefinition" Target="pivotCache/pivotCacheDefinition42.xml"/><Relationship Id="rId82" Type="http://schemas.openxmlformats.org/officeDocument/2006/relationships/customXml" Target="../customXml/item6.xml"/><Relationship Id="rId152" Type="http://schemas.openxmlformats.org/officeDocument/2006/relationships/customXml" Target="../customXml/item76.xml"/><Relationship Id="rId19" Type="http://schemas.openxmlformats.org/officeDocument/2006/relationships/externalLink" Target="externalLinks/externalLink2.xml"/><Relationship Id="rId14" Type="http://schemas.openxmlformats.org/officeDocument/2006/relationships/worksheet" Target="worksheets/sheet14.xml"/><Relationship Id="rId30" Type="http://schemas.openxmlformats.org/officeDocument/2006/relationships/pivotCacheDefinition" Target="pivotCache/pivotCacheDefinition11.xml"/><Relationship Id="rId35" Type="http://schemas.openxmlformats.org/officeDocument/2006/relationships/pivotCacheDefinition" Target="pivotCache/pivotCacheDefinition16.xml"/><Relationship Id="rId56" Type="http://schemas.openxmlformats.org/officeDocument/2006/relationships/pivotCacheDefinition" Target="pivotCache/pivotCacheDefinition37.xml"/><Relationship Id="rId77" Type="http://schemas.openxmlformats.org/officeDocument/2006/relationships/customXml" Target="../customXml/item1.xml"/><Relationship Id="rId100" Type="http://schemas.openxmlformats.org/officeDocument/2006/relationships/customXml" Target="../customXml/item24.xml"/><Relationship Id="rId105" Type="http://schemas.openxmlformats.org/officeDocument/2006/relationships/customXml" Target="../customXml/item29.xml"/><Relationship Id="rId126" Type="http://schemas.openxmlformats.org/officeDocument/2006/relationships/customXml" Target="../customXml/item50.xml"/><Relationship Id="rId147" Type="http://schemas.openxmlformats.org/officeDocument/2006/relationships/customXml" Target="../customXml/item71.xml"/><Relationship Id="rId8" Type="http://schemas.openxmlformats.org/officeDocument/2006/relationships/worksheet" Target="worksheets/sheet8.xml"/><Relationship Id="rId51" Type="http://schemas.openxmlformats.org/officeDocument/2006/relationships/pivotCacheDefinition" Target="pivotCache/pivotCacheDefinition32.xml"/><Relationship Id="rId72" Type="http://schemas.openxmlformats.org/officeDocument/2006/relationships/styles" Target="styles.xml"/><Relationship Id="rId93" Type="http://schemas.openxmlformats.org/officeDocument/2006/relationships/customXml" Target="../customXml/item17.xml"/><Relationship Id="rId98" Type="http://schemas.openxmlformats.org/officeDocument/2006/relationships/customXml" Target="../customXml/item22.xml"/><Relationship Id="rId121" Type="http://schemas.openxmlformats.org/officeDocument/2006/relationships/customXml" Target="../customXml/item45.xml"/><Relationship Id="rId142" Type="http://schemas.openxmlformats.org/officeDocument/2006/relationships/customXml" Target="../customXml/item66.xml"/><Relationship Id="rId3" Type="http://schemas.openxmlformats.org/officeDocument/2006/relationships/worksheet" Target="worksheets/sheet3.xml"/><Relationship Id="rId25" Type="http://schemas.openxmlformats.org/officeDocument/2006/relationships/pivotCacheDefinition" Target="pivotCache/pivotCacheDefinition6.xml"/><Relationship Id="rId46" Type="http://schemas.openxmlformats.org/officeDocument/2006/relationships/pivotCacheDefinition" Target="pivotCache/pivotCacheDefinition27.xml"/><Relationship Id="rId67" Type="http://schemas.openxmlformats.org/officeDocument/2006/relationships/pivotCacheDefinition" Target="pivotCache/pivotCacheDefinition48.xml"/><Relationship Id="rId116" Type="http://schemas.openxmlformats.org/officeDocument/2006/relationships/customXml" Target="../customXml/item40.xml"/><Relationship Id="rId137" Type="http://schemas.openxmlformats.org/officeDocument/2006/relationships/customXml" Target="../customXml/item61.xml"/><Relationship Id="rId20" Type="http://schemas.openxmlformats.org/officeDocument/2006/relationships/pivotCacheDefinition" Target="pivotCache/pivotCacheDefinition1.xml"/><Relationship Id="rId41" Type="http://schemas.openxmlformats.org/officeDocument/2006/relationships/pivotCacheDefinition" Target="pivotCache/pivotCacheDefinition22.xml"/><Relationship Id="rId62" Type="http://schemas.openxmlformats.org/officeDocument/2006/relationships/pivotCacheDefinition" Target="pivotCache/pivotCacheDefinition43.xml"/><Relationship Id="rId83" Type="http://schemas.openxmlformats.org/officeDocument/2006/relationships/customXml" Target="../customXml/item7.xml"/><Relationship Id="rId88" Type="http://schemas.openxmlformats.org/officeDocument/2006/relationships/customXml" Target="../customXml/item12.xml"/><Relationship Id="rId111" Type="http://schemas.openxmlformats.org/officeDocument/2006/relationships/customXml" Target="../customXml/item35.xml"/><Relationship Id="rId132" Type="http://schemas.openxmlformats.org/officeDocument/2006/relationships/customXml" Target="../customXml/item56.xml"/><Relationship Id="rId153" Type="http://schemas.openxmlformats.org/officeDocument/2006/relationships/customXml" Target="../customXml/item77.xml"/><Relationship Id="rId15" Type="http://schemas.openxmlformats.org/officeDocument/2006/relationships/worksheet" Target="worksheets/sheet15.xml"/><Relationship Id="rId36" Type="http://schemas.openxmlformats.org/officeDocument/2006/relationships/pivotCacheDefinition" Target="pivotCache/pivotCacheDefinition17.xml"/><Relationship Id="rId57" Type="http://schemas.openxmlformats.org/officeDocument/2006/relationships/pivotCacheDefinition" Target="pivotCache/pivotCacheDefinition38.xml"/><Relationship Id="rId106" Type="http://schemas.openxmlformats.org/officeDocument/2006/relationships/customXml" Target="../customXml/item30.xml"/><Relationship Id="rId127" Type="http://schemas.openxmlformats.org/officeDocument/2006/relationships/customXml" Target="../customXml/item51.xml"/><Relationship Id="rId10" Type="http://schemas.openxmlformats.org/officeDocument/2006/relationships/worksheet" Target="worksheets/sheet10.xml"/><Relationship Id="rId31" Type="http://schemas.openxmlformats.org/officeDocument/2006/relationships/pivotCacheDefinition" Target="pivotCache/pivotCacheDefinition12.xml"/><Relationship Id="rId52" Type="http://schemas.openxmlformats.org/officeDocument/2006/relationships/pivotCacheDefinition" Target="pivotCache/pivotCacheDefinition33.xml"/><Relationship Id="rId73" Type="http://schemas.openxmlformats.org/officeDocument/2006/relationships/sharedStrings" Target="sharedStrings.xml"/><Relationship Id="rId78" Type="http://schemas.openxmlformats.org/officeDocument/2006/relationships/customXml" Target="../customXml/item2.xml"/><Relationship Id="rId94" Type="http://schemas.openxmlformats.org/officeDocument/2006/relationships/customXml" Target="../customXml/item18.xml"/><Relationship Id="rId99" Type="http://schemas.openxmlformats.org/officeDocument/2006/relationships/customXml" Target="../customXml/item23.xml"/><Relationship Id="rId101" Type="http://schemas.openxmlformats.org/officeDocument/2006/relationships/customXml" Target="../customXml/item25.xml"/><Relationship Id="rId122" Type="http://schemas.openxmlformats.org/officeDocument/2006/relationships/customXml" Target="../customXml/item46.xml"/><Relationship Id="rId143" Type="http://schemas.openxmlformats.org/officeDocument/2006/relationships/customXml" Target="../customXml/item67.xml"/><Relationship Id="rId148" Type="http://schemas.openxmlformats.org/officeDocument/2006/relationships/customXml" Target="../customXml/item72.xml"/><Relationship Id="rId4" Type="http://schemas.openxmlformats.org/officeDocument/2006/relationships/worksheet" Target="worksheets/sheet4.xml"/><Relationship Id="rId9" Type="http://schemas.openxmlformats.org/officeDocument/2006/relationships/worksheet" Target="worksheets/sheet9.xml"/><Relationship Id="rId26" Type="http://schemas.openxmlformats.org/officeDocument/2006/relationships/pivotCacheDefinition" Target="pivotCache/pivotCacheDefinition7.xml"/><Relationship Id="rId47" Type="http://schemas.openxmlformats.org/officeDocument/2006/relationships/pivotCacheDefinition" Target="pivotCache/pivotCacheDefinition28.xml"/><Relationship Id="rId68" Type="http://schemas.openxmlformats.org/officeDocument/2006/relationships/pivotCacheDefinition" Target="pivotCache/pivotCacheDefinition49.xml"/><Relationship Id="rId89" Type="http://schemas.openxmlformats.org/officeDocument/2006/relationships/customXml" Target="../customXml/item13.xml"/><Relationship Id="rId112" Type="http://schemas.openxmlformats.org/officeDocument/2006/relationships/customXml" Target="../customXml/item36.xml"/><Relationship Id="rId133" Type="http://schemas.openxmlformats.org/officeDocument/2006/relationships/customXml" Target="../customXml/item57.xml"/><Relationship Id="rId154" Type="http://schemas.openxmlformats.org/officeDocument/2006/relationships/customXml" Target="../customXml/item78.xml"/><Relationship Id="rId16" Type="http://schemas.openxmlformats.org/officeDocument/2006/relationships/worksheet" Target="worksheets/sheet16.xml"/><Relationship Id="rId37" Type="http://schemas.openxmlformats.org/officeDocument/2006/relationships/pivotCacheDefinition" Target="pivotCache/pivotCacheDefinition18.xml"/><Relationship Id="rId58" Type="http://schemas.openxmlformats.org/officeDocument/2006/relationships/pivotCacheDefinition" Target="pivotCache/pivotCacheDefinition39.xml"/><Relationship Id="rId79" Type="http://schemas.openxmlformats.org/officeDocument/2006/relationships/customXml" Target="../customXml/item3.xml"/><Relationship Id="rId102" Type="http://schemas.openxmlformats.org/officeDocument/2006/relationships/customXml" Target="../customXml/item26.xml"/><Relationship Id="rId123" Type="http://schemas.openxmlformats.org/officeDocument/2006/relationships/customXml" Target="../customXml/item47.xml"/><Relationship Id="rId144" Type="http://schemas.openxmlformats.org/officeDocument/2006/relationships/customXml" Target="../customXml/item68.xml"/><Relationship Id="rId90" Type="http://schemas.openxmlformats.org/officeDocument/2006/relationships/customXml" Target="../customXml/item14.xml"/></Relationships>
</file>

<file path=xl/charts/_rels/chart1.xml.rels><?xml version="1.0" encoding="UTF-8" standalone="yes"?>
<Relationships xmlns="http://schemas.openxmlformats.org/package/2006/relationships"><Relationship Id="rId1" Type="http://schemas.openxmlformats.org/officeDocument/2006/relationships/themeOverride" Target="../theme/themeOverride1.xml"/></Relationships>
</file>

<file path=xl/charts/_rels/chart2.xml.rels><?xml version="1.0" encoding="UTF-8" standalone="yes"?>
<Relationships xmlns="http://schemas.openxmlformats.org/package/2006/relationships"><Relationship Id="rId1" Type="http://schemas.openxmlformats.org/officeDocument/2006/relationships/themeOverride" Target="../theme/themeOverride2.xml"/></Relationships>
</file>

<file path=xl/charts/_rels/chart3.xml.rels><?xml version="1.0" encoding="UTF-8" standalone="yes"?>
<Relationships xmlns="http://schemas.openxmlformats.org/package/2006/relationships"><Relationship Id="rId2" Type="http://schemas.openxmlformats.org/officeDocument/2006/relationships/chartUserShapes" Target="../drawings/drawing2.xml"/><Relationship Id="rId1" Type="http://schemas.openxmlformats.org/officeDocument/2006/relationships/themeOverride" Target="../theme/themeOverride3.xml"/></Relationships>
</file>

<file path=xl/charts/_rels/chart4.xml.rels><?xml version="1.0" encoding="UTF-8" standalone="yes"?>
<Relationships xmlns="http://schemas.openxmlformats.org/package/2006/relationships"><Relationship Id="rId2" Type="http://schemas.openxmlformats.org/officeDocument/2006/relationships/chartUserShapes" Target="../drawings/drawing3.xml"/><Relationship Id="rId1" Type="http://schemas.openxmlformats.org/officeDocument/2006/relationships/themeOverride" Target="../theme/themeOverride4.xml"/></Relationships>
</file>

<file path=xl/charts/_rels/chart5.xml.rels><?xml version="1.0" encoding="UTF-8" standalone="yes"?>
<Relationships xmlns="http://schemas.openxmlformats.org/package/2006/relationships"><Relationship Id="rId2" Type="http://schemas.openxmlformats.org/officeDocument/2006/relationships/chartUserShapes" Target="../drawings/drawing4.xml"/><Relationship Id="rId1" Type="http://schemas.openxmlformats.org/officeDocument/2006/relationships/themeOverride" Target="../theme/themeOverride5.xml"/></Relationships>
</file>

<file path=xl/charts/_rels/chart6.xml.rels><?xml version="1.0" encoding="UTF-8" standalone="yes"?>
<Relationships xmlns="http://schemas.openxmlformats.org/package/2006/relationships"><Relationship Id="rId2" Type="http://schemas.openxmlformats.org/officeDocument/2006/relationships/chartUserShapes" Target="../drawings/drawing5.xml"/><Relationship Id="rId1" Type="http://schemas.openxmlformats.org/officeDocument/2006/relationships/themeOverride" Target="../theme/themeOverride6.xml"/></Relationships>
</file>

<file path=xl/charts/_rels/chart7.xml.rels><?xml version="1.0" encoding="UTF-8" standalone="yes"?>
<Relationships xmlns="http://schemas.openxmlformats.org/package/2006/relationships"><Relationship Id="rId1" Type="http://schemas.openxmlformats.org/officeDocument/2006/relationships/themeOverride" Target="../theme/themeOverride7.xml"/></Relationships>
</file>

<file path=xl/charts/_rels/chart8.xml.rels><?xml version="1.0" encoding="UTF-8" standalone="yes"?>
<Relationships xmlns="http://schemas.openxmlformats.org/package/2006/relationships"><Relationship Id="rId1" Type="http://schemas.openxmlformats.org/officeDocument/2006/relationships/themeOverride" Target="../theme/themeOverride8.xml"/></Relationships>
</file>

<file path=xl/charts/_rels/chart9.xml.rels><?xml version="1.0" encoding="UTF-8" standalone="yes"?>
<Relationships xmlns="http://schemas.openxmlformats.org/package/2006/relationships"><Relationship Id="rId1" Type="http://schemas.openxmlformats.org/officeDocument/2006/relationships/themeOverride" Target="../theme/themeOverride9.xml"/></Relationships>
</file>

<file path=xl/charts/_rels/chart10.xml.rels><?xml version="1.0" encoding="UTF-8" standalone="yes"?>
<Relationships xmlns="http://schemas.openxmlformats.org/package/2006/relationships"><Relationship Id="rId2" Type="http://schemas.openxmlformats.org/officeDocument/2006/relationships/chartUserShapes" Target="../drawings/drawing6.xml"/><Relationship Id="rId1" Type="http://schemas.openxmlformats.org/officeDocument/2006/relationships/themeOverride" Target="../theme/themeOverride10.xml"/></Relationships>
</file>

<file path=xl/charts/_rels/chart11.xml.rels><?xml version="1.0" encoding="UTF-8" standalone="yes"?>
<Relationships xmlns="http://schemas.openxmlformats.org/package/2006/relationships"><Relationship Id="rId2" Type="http://schemas.openxmlformats.org/officeDocument/2006/relationships/chartUserShapes" Target="../drawings/drawing7.xml"/><Relationship Id="rId1" Type="http://schemas.openxmlformats.org/officeDocument/2006/relationships/themeOverride" Target="../theme/themeOverride11.xml"/></Relationships>
</file>

<file path=xl/charts/_rels/chart12.xml.rels><?xml version="1.0" encoding="UTF-8" standalone="yes"?>
<Relationships xmlns="http://schemas.openxmlformats.org/package/2006/relationships"><Relationship Id="rId2" Type="http://schemas.openxmlformats.org/officeDocument/2006/relationships/chartUserShapes" Target="../drawings/drawing8.xml"/><Relationship Id="rId1" Type="http://schemas.openxmlformats.org/officeDocument/2006/relationships/themeOverride" Target="../theme/themeOverride12.xml"/></Relationships>
</file>

<file path=xl/charts/_rels/chart13.xml.rels><?xml version="1.0" encoding="UTF-8" standalone="yes"?>
<Relationships xmlns="http://schemas.openxmlformats.org/package/2006/relationships"><Relationship Id="rId2" Type="http://schemas.openxmlformats.org/officeDocument/2006/relationships/chartUserShapes" Target="../drawings/drawing9.xml"/><Relationship Id="rId1" Type="http://schemas.openxmlformats.org/officeDocument/2006/relationships/themeOverride" Target="../theme/themeOverride13.xml"/></Relationships>
</file>

<file path=xl/charts/_rels/chart14.xml.rels><?xml version="1.0" encoding="UTF-8" standalone="yes"?>
<Relationships xmlns="http://schemas.openxmlformats.org/package/2006/relationships"><Relationship Id="rId2" Type="http://schemas.openxmlformats.org/officeDocument/2006/relationships/chartUserShapes" Target="../drawings/drawing10.xml"/><Relationship Id="rId1" Type="http://schemas.openxmlformats.org/officeDocument/2006/relationships/themeOverride" Target="../theme/themeOverride14.xml"/></Relationships>
</file>

<file path=xl/charts/_rels/chart15.xml.rels><?xml version="1.0" encoding="UTF-8" standalone="yes"?>
<Relationships xmlns="http://schemas.openxmlformats.org/package/2006/relationships"><Relationship Id="rId2" Type="http://schemas.openxmlformats.org/officeDocument/2006/relationships/chartUserShapes" Target="../drawings/drawing11.xml"/><Relationship Id="rId1" Type="http://schemas.openxmlformats.org/officeDocument/2006/relationships/themeOverride" Target="../theme/themeOverride15.xml"/></Relationships>
</file>

<file path=xl/charts/_rels/chart16.xml.rels><?xml version="1.0" encoding="UTF-8" standalone="yes"?>
<Relationships xmlns="http://schemas.openxmlformats.org/package/2006/relationships"><Relationship Id="rId2" Type="http://schemas.openxmlformats.org/officeDocument/2006/relationships/chartUserShapes" Target="../drawings/drawing12.xml"/><Relationship Id="rId1" Type="http://schemas.openxmlformats.org/officeDocument/2006/relationships/themeOverride" Target="../theme/themeOverride16.xml"/></Relationships>
</file>

<file path=xl/charts/_rels/chart17.xml.rels><?xml version="1.0" encoding="UTF-8" standalone="yes"?>
<Relationships xmlns="http://schemas.openxmlformats.org/package/2006/relationships"><Relationship Id="rId2" Type="http://schemas.openxmlformats.org/officeDocument/2006/relationships/chartUserShapes" Target="../drawings/drawing13.xml"/><Relationship Id="rId1" Type="http://schemas.openxmlformats.org/officeDocument/2006/relationships/themeOverride" Target="../theme/themeOverride17.xml"/></Relationships>
</file>

<file path=xl/charts/_rels/chart18.xml.rels><?xml version="1.0" encoding="UTF-8" standalone="yes"?>
<Relationships xmlns="http://schemas.openxmlformats.org/package/2006/relationships"><Relationship Id="rId2" Type="http://schemas.openxmlformats.org/officeDocument/2006/relationships/chartUserShapes" Target="../drawings/drawing14.xml"/><Relationship Id="rId1" Type="http://schemas.openxmlformats.org/officeDocument/2006/relationships/themeOverride" Target="../theme/themeOverride18.xml"/></Relationships>
</file>

<file path=xl/charts/_rels/chart19.xml.rels><?xml version="1.0" encoding="UTF-8" standalone="yes"?>
<Relationships xmlns="http://schemas.openxmlformats.org/package/2006/relationships"><Relationship Id="rId2" Type="http://schemas.openxmlformats.org/officeDocument/2006/relationships/chartUserShapes" Target="../drawings/drawing15.xml"/><Relationship Id="rId1" Type="http://schemas.openxmlformats.org/officeDocument/2006/relationships/themeOverride" Target="../theme/themeOverride19.xml"/></Relationships>
</file>

<file path=xl/charts/_rels/chart20.xml.rels><?xml version="1.0" encoding="UTF-8" standalone="yes"?>
<Relationships xmlns="http://schemas.openxmlformats.org/package/2006/relationships"><Relationship Id="rId1" Type="http://schemas.openxmlformats.org/officeDocument/2006/relationships/themeOverride" Target="../theme/themeOverride20.xml"/></Relationships>
</file>

<file path=xl/charts/_rels/chart21.xml.rels><?xml version="1.0" encoding="UTF-8" standalone="yes"?>
<Relationships xmlns="http://schemas.openxmlformats.org/package/2006/relationships"><Relationship Id="rId2" Type="http://schemas.openxmlformats.org/officeDocument/2006/relationships/chartUserShapes" Target="../drawings/drawing16.xml"/><Relationship Id="rId1" Type="http://schemas.openxmlformats.org/officeDocument/2006/relationships/themeOverride" Target="../theme/themeOverride21.xml"/></Relationships>
</file>

<file path=xl/charts/_rels/chart22.xml.rels><?xml version="1.0" encoding="UTF-8" standalone="yes"?>
<Relationships xmlns="http://schemas.openxmlformats.org/package/2006/relationships"><Relationship Id="rId2" Type="http://schemas.openxmlformats.org/officeDocument/2006/relationships/chartUserShapes" Target="../drawings/drawing17.xml"/><Relationship Id="rId1" Type="http://schemas.openxmlformats.org/officeDocument/2006/relationships/themeOverride" Target="../theme/themeOverride22.xml"/></Relationships>
</file>

<file path=xl/charts/_rels/chart23.xml.rels><?xml version="1.0" encoding="UTF-8" standalone="yes"?>
<Relationships xmlns="http://schemas.openxmlformats.org/package/2006/relationships"><Relationship Id="rId2" Type="http://schemas.openxmlformats.org/officeDocument/2006/relationships/chartUserShapes" Target="../drawings/drawing18.xml"/><Relationship Id="rId1" Type="http://schemas.openxmlformats.org/officeDocument/2006/relationships/themeOverride" Target="../theme/themeOverride23.xml"/></Relationships>
</file>

<file path=xl/charts/_rels/chart24.xml.rels><?xml version="1.0" encoding="UTF-8" standalone="yes"?>
<Relationships xmlns="http://schemas.openxmlformats.org/package/2006/relationships"><Relationship Id="rId2" Type="http://schemas.openxmlformats.org/officeDocument/2006/relationships/chartUserShapes" Target="../drawings/drawing19.xml"/><Relationship Id="rId1" Type="http://schemas.openxmlformats.org/officeDocument/2006/relationships/themeOverride" Target="../theme/themeOverride24.xml"/></Relationships>
</file>

<file path=xl/charts/_rels/chart25.xml.rels><?xml version="1.0" encoding="UTF-8" standalone="yes"?>
<Relationships xmlns="http://schemas.openxmlformats.org/package/2006/relationships"><Relationship Id="rId2" Type="http://schemas.openxmlformats.org/officeDocument/2006/relationships/chartUserShapes" Target="../drawings/drawing20.xml"/><Relationship Id="rId1" Type="http://schemas.openxmlformats.org/officeDocument/2006/relationships/themeOverride" Target="../theme/themeOverride25.xml"/></Relationships>
</file>

<file path=xl/charts/_rels/chart26.xml.rels><?xml version="1.0" encoding="UTF-8" standalone="yes"?>
<Relationships xmlns="http://schemas.openxmlformats.org/package/2006/relationships"><Relationship Id="rId2" Type="http://schemas.openxmlformats.org/officeDocument/2006/relationships/chartUserShapes" Target="../drawings/drawing21.xml"/><Relationship Id="rId1" Type="http://schemas.openxmlformats.org/officeDocument/2006/relationships/themeOverride" Target="../theme/themeOverride26.xml"/></Relationships>
</file>

<file path=xl/charts/_rels/chart27.xml.rels><?xml version="1.0" encoding="UTF-8" standalone="yes"?>
<Relationships xmlns="http://schemas.openxmlformats.org/package/2006/relationships"><Relationship Id="rId2" Type="http://schemas.openxmlformats.org/officeDocument/2006/relationships/chartUserShapes" Target="../drawings/drawing22.xml"/><Relationship Id="rId1" Type="http://schemas.openxmlformats.org/officeDocument/2006/relationships/themeOverride" Target="../theme/themeOverride27.xml"/></Relationships>
</file>

<file path=xl/charts/_rels/chart28.xml.rels><?xml version="1.0" encoding="UTF-8" standalone="yes"?>
<Relationships xmlns="http://schemas.openxmlformats.org/package/2006/relationships"><Relationship Id="rId1" Type="http://schemas.openxmlformats.org/officeDocument/2006/relationships/themeOverride" Target="../theme/themeOverride28.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a:lstStyle/>
          <a:p>
            <a:pPr>
              <a:defRPr/>
            </a:pPr>
            <a:r>
              <a:rPr lang="en-GB" sz="900">
                <a:latin typeface="+mn-lt"/>
              </a:rPr>
              <a:t>A&amp;E</a:t>
            </a:r>
            <a:r>
              <a:rPr lang="en-GB" sz="900" baseline="0">
                <a:latin typeface="+mn-lt"/>
              </a:rPr>
              <a:t> diverts</a:t>
            </a:r>
            <a:endParaRPr lang="en-GB" sz="900">
              <a:latin typeface="+mn-lt"/>
            </a:endParaRPr>
          </a:p>
        </c:rich>
      </c:tx>
      <c:layout>
        <c:manualLayout>
          <c:xMode val="edge"/>
          <c:yMode val="edge"/>
          <c:x val="0.10845315902950396"/>
          <c:y val="2.1421041534893527E-2"/>
        </c:manualLayout>
      </c:layout>
      <c:overlay val="1"/>
    </c:title>
    <c:autoTitleDeleted val="0"/>
    <c:plotArea>
      <c:layout>
        <c:manualLayout>
          <c:layoutTarget val="inner"/>
          <c:xMode val="edge"/>
          <c:yMode val="edge"/>
          <c:x val="6.8013724846894136E-2"/>
          <c:y val="6.2453703703703713E-2"/>
          <c:w val="0.90911089238845144"/>
          <c:h val="0.74377762365196576"/>
        </c:manualLayout>
      </c:layout>
      <c:barChart>
        <c:barDir val="col"/>
        <c:grouping val="clustered"/>
        <c:varyColors val="0"/>
        <c:ser>
          <c:idx val="1"/>
          <c:order val="1"/>
          <c:tx>
            <c:strRef>
              <c:f>Summary!$C$8</c:f>
              <c:strCache>
                <c:ptCount val="1"/>
                <c:pt idx="0">
                  <c:v>24/25</c:v>
                </c:pt>
              </c:strCache>
            </c:strRef>
          </c:tx>
          <c:spPr>
            <a:solidFill>
              <a:srgbClr val="2C72B3"/>
            </a:solidFill>
            <a:ln w="19050"/>
          </c:spPr>
          <c:invertIfNegative val="0"/>
          <c:val>
            <c:numRef>
              <c:f>Summary!$D$8:$Q$8</c:f>
              <c:numCache>
                <c:formatCode>General</c:formatCode>
                <c:ptCount val="14"/>
                <c:pt idx="0">
                  <c:v>25</c:v>
                </c:pt>
                <c:pt idx="1">
                  <c:v>37</c:v>
                </c:pt>
                <c:pt idx="2">
                  <c:v>35</c:v>
                </c:pt>
                <c:pt idx="3">
                  <c:v>34</c:v>
                </c:pt>
                <c:pt idx="4">
                  <c:v>47</c:v>
                </c:pt>
                <c:pt idx="5">
                  <c:v>48</c:v>
                </c:pt>
                <c:pt idx="6">
                  <c:v>45</c:v>
                </c:pt>
                <c:pt idx="7">
                  <c:v>29</c:v>
                </c:pt>
                <c:pt idx="8">
                  <c:v>0</c:v>
                </c:pt>
                <c:pt idx="9">
                  <c:v>0</c:v>
                </c:pt>
                <c:pt idx="10">
                  <c:v>0</c:v>
                </c:pt>
                <c:pt idx="11">
                  <c:v>0</c:v>
                </c:pt>
                <c:pt idx="12">
                  <c:v>0</c:v>
                </c:pt>
                <c:pt idx="13">
                  <c:v>0</c:v>
                </c:pt>
              </c:numCache>
            </c:numRef>
          </c:val>
          <c:extLst>
            <c:ext xmlns:c16="http://schemas.microsoft.com/office/drawing/2014/chart" uri="{C3380CC4-5D6E-409C-BE32-E72D297353CC}">
              <c16:uniqueId val="{00000000-466B-48BC-A04E-6E06E24EDF29}"/>
            </c:ext>
          </c:extLst>
        </c:ser>
        <c:dLbls>
          <c:showLegendKey val="0"/>
          <c:showVal val="0"/>
          <c:showCatName val="0"/>
          <c:showSerName val="0"/>
          <c:showPercent val="0"/>
          <c:showBubbleSize val="0"/>
        </c:dLbls>
        <c:gapWidth val="50"/>
        <c:axId val="201815168"/>
        <c:axId val="210947456"/>
      </c:barChart>
      <c:lineChart>
        <c:grouping val="standard"/>
        <c:varyColors val="0"/>
        <c:ser>
          <c:idx val="0"/>
          <c:order val="0"/>
          <c:tx>
            <c:strRef>
              <c:f>Summary!$C$6</c:f>
              <c:strCache>
                <c:ptCount val="1"/>
                <c:pt idx="0">
                  <c:v>23/24</c:v>
                </c:pt>
              </c:strCache>
            </c:strRef>
          </c:tx>
          <c:spPr>
            <a:ln w="25400">
              <a:solidFill>
                <a:srgbClr val="F79131"/>
              </a:solidFill>
              <a:prstDash val="solid"/>
            </a:ln>
          </c:spPr>
          <c:marker>
            <c:symbol val="none"/>
          </c:marker>
          <c:val>
            <c:numRef>
              <c:f>Summary!$D$6:$Q$6</c:f>
              <c:numCache>
                <c:formatCode>General</c:formatCode>
                <c:ptCount val="14"/>
                <c:pt idx="0">
                  <c:v>22</c:v>
                </c:pt>
                <c:pt idx="1">
                  <c:v>20</c:v>
                </c:pt>
                <c:pt idx="2">
                  <c:v>12</c:v>
                </c:pt>
                <c:pt idx="3">
                  <c:v>13</c:v>
                </c:pt>
                <c:pt idx="4">
                  <c:v>20</c:v>
                </c:pt>
                <c:pt idx="5">
                  <c:v>28</c:v>
                </c:pt>
                <c:pt idx="6">
                  <c:v>24</c:v>
                </c:pt>
                <c:pt idx="7">
                  <c:v>28</c:v>
                </c:pt>
                <c:pt idx="8">
                  <c:v>28</c:v>
                </c:pt>
                <c:pt idx="9">
                  <c:v>31</c:v>
                </c:pt>
                <c:pt idx="10">
                  <c:v>22</c:v>
                </c:pt>
                <c:pt idx="11">
                  <c:v>25</c:v>
                </c:pt>
                <c:pt idx="12">
                  <c:v>28</c:v>
                </c:pt>
                <c:pt idx="13">
                  <c:v>19</c:v>
                </c:pt>
              </c:numCache>
            </c:numRef>
          </c:val>
          <c:smooth val="0"/>
          <c:extLst>
            <c:ext xmlns:c16="http://schemas.microsoft.com/office/drawing/2014/chart" uri="{C3380CC4-5D6E-409C-BE32-E72D297353CC}">
              <c16:uniqueId val="{00000001-466B-48BC-A04E-6E06E24EDF29}"/>
            </c:ext>
          </c:extLst>
        </c:ser>
        <c:ser>
          <c:idx val="3"/>
          <c:order val="3"/>
          <c:tx>
            <c:v>22/23</c:v>
          </c:tx>
          <c:spPr>
            <a:ln>
              <a:solidFill>
                <a:srgbClr val="C00848"/>
              </a:solidFill>
              <a:prstDash val="sysDash"/>
            </a:ln>
          </c:spPr>
          <c:marker>
            <c:symbol val="none"/>
          </c:marker>
          <c:val>
            <c:numRef>
              <c:f>Summary!$D$7:$Q$7</c:f>
              <c:numCache>
                <c:formatCode>General</c:formatCode>
                <c:ptCount val="14"/>
                <c:pt idx="0">
                  <c:v>26</c:v>
                </c:pt>
                <c:pt idx="1">
                  <c:v>15</c:v>
                </c:pt>
                <c:pt idx="2">
                  <c:v>12</c:v>
                </c:pt>
                <c:pt idx="3">
                  <c:v>17</c:v>
                </c:pt>
                <c:pt idx="4">
                  <c:v>17</c:v>
                </c:pt>
                <c:pt idx="5">
                  <c:v>23</c:v>
                </c:pt>
                <c:pt idx="6">
                  <c:v>18</c:v>
                </c:pt>
                <c:pt idx="7">
                  <c:v>19</c:v>
                </c:pt>
                <c:pt idx="8">
                  <c:v>10</c:v>
                </c:pt>
                <c:pt idx="9">
                  <c:v>17</c:v>
                </c:pt>
                <c:pt idx="10">
                  <c:v>9</c:v>
                </c:pt>
                <c:pt idx="11">
                  <c:v>4</c:v>
                </c:pt>
                <c:pt idx="12">
                  <c:v>29</c:v>
                </c:pt>
                <c:pt idx="13">
                  <c:v>11</c:v>
                </c:pt>
              </c:numCache>
            </c:numRef>
          </c:val>
          <c:smooth val="0"/>
          <c:extLst>
            <c:ext xmlns:c16="http://schemas.microsoft.com/office/drawing/2014/chart" uri="{C3380CC4-5D6E-409C-BE32-E72D297353CC}">
              <c16:uniqueId val="{00000000-2C06-4311-A8CD-DD1FFC82FE72}"/>
            </c:ext>
          </c:extLst>
        </c:ser>
        <c:dLbls>
          <c:showLegendKey val="0"/>
          <c:showVal val="0"/>
          <c:showCatName val="0"/>
          <c:showSerName val="0"/>
          <c:showPercent val="0"/>
          <c:showBubbleSize val="0"/>
        </c:dLbls>
        <c:marker val="1"/>
        <c:smooth val="0"/>
        <c:axId val="201815168"/>
        <c:axId val="210947456"/>
        <c:extLst>
          <c:ext xmlns:c15="http://schemas.microsoft.com/office/drawing/2012/chart" uri="{02D57815-91ED-43cb-92C2-25804820EDAC}">
            <c15:filteredLineSeries>
              <c15:ser>
                <c:idx val="2"/>
                <c:order val="2"/>
                <c:tx>
                  <c:v>20/21</c:v>
                </c:tx>
                <c:spPr>
                  <a:ln w="25400" cmpd="sng">
                    <a:solidFill>
                      <a:srgbClr val="00A89C"/>
                    </a:solidFill>
                    <a:prstDash val="sysDot"/>
                  </a:ln>
                </c:spPr>
                <c:marker>
                  <c:symbol val="none"/>
                </c:marker>
                <c:val>
                  <c:numRef>
                    <c:extLst>
                      <c:ext uri="{02D57815-91ED-43cb-92C2-25804820EDAC}">
                        <c15:formulaRef>
                          <c15:sqref>Summary!$D$7:$P$7</c15:sqref>
                        </c15:formulaRef>
                      </c:ext>
                    </c:extLst>
                    <c:numCache>
                      <c:formatCode>General</c:formatCode>
                      <c:ptCount val="13"/>
                      <c:pt idx="0">
                        <c:v>26</c:v>
                      </c:pt>
                      <c:pt idx="1">
                        <c:v>15</c:v>
                      </c:pt>
                      <c:pt idx="2">
                        <c:v>12</c:v>
                      </c:pt>
                      <c:pt idx="3">
                        <c:v>17</c:v>
                      </c:pt>
                      <c:pt idx="4">
                        <c:v>17</c:v>
                      </c:pt>
                      <c:pt idx="5">
                        <c:v>23</c:v>
                      </c:pt>
                      <c:pt idx="6">
                        <c:v>18</c:v>
                      </c:pt>
                      <c:pt idx="7">
                        <c:v>19</c:v>
                      </c:pt>
                      <c:pt idx="8">
                        <c:v>10</c:v>
                      </c:pt>
                      <c:pt idx="9">
                        <c:v>17</c:v>
                      </c:pt>
                      <c:pt idx="10">
                        <c:v>9</c:v>
                      </c:pt>
                      <c:pt idx="11">
                        <c:v>4</c:v>
                      </c:pt>
                      <c:pt idx="12">
                        <c:v>29</c:v>
                      </c:pt>
                    </c:numCache>
                  </c:numRef>
                </c:val>
                <c:smooth val="0"/>
                <c:extLst>
                  <c:ext xmlns:c16="http://schemas.microsoft.com/office/drawing/2014/chart" uri="{C3380CC4-5D6E-409C-BE32-E72D297353CC}">
                    <c16:uniqueId val="{00000002-466B-48BC-A04E-6E06E24EDF29}"/>
                  </c:ext>
                </c:extLst>
              </c15:ser>
            </c15:filteredLineSeries>
          </c:ext>
        </c:extLst>
      </c:lineChart>
      <c:catAx>
        <c:axId val="201815168"/>
        <c:scaling>
          <c:orientation val="minMax"/>
        </c:scaling>
        <c:delete val="0"/>
        <c:axPos val="b"/>
        <c:title>
          <c:tx>
            <c:rich>
              <a:bodyPr/>
              <a:lstStyle/>
              <a:p>
                <a:pPr>
                  <a:defRPr/>
                </a:pPr>
                <a:r>
                  <a:rPr lang="en-US"/>
                  <a:t>Week</a:t>
                </a:r>
              </a:p>
            </c:rich>
          </c:tx>
          <c:overlay val="0"/>
        </c:title>
        <c:numFmt formatCode="General" sourceLinked="0"/>
        <c:majorTickMark val="out"/>
        <c:minorTickMark val="none"/>
        <c:tickLblPos val="nextTo"/>
        <c:spPr>
          <a:ln w="3175">
            <a:solidFill>
              <a:srgbClr val="9DA6AB"/>
            </a:solidFill>
          </a:ln>
        </c:spPr>
        <c:txPr>
          <a:bodyPr/>
          <a:lstStyle/>
          <a:p>
            <a:pPr>
              <a:defRPr sz="800" b="1"/>
            </a:pPr>
            <a:endParaRPr lang="en-US"/>
          </a:p>
        </c:txPr>
        <c:crossAx val="210947456"/>
        <c:crosses val="autoZero"/>
        <c:auto val="1"/>
        <c:lblAlgn val="ctr"/>
        <c:lblOffset val="100"/>
        <c:noMultiLvlLbl val="0"/>
      </c:catAx>
      <c:valAx>
        <c:axId val="210947456"/>
        <c:scaling>
          <c:orientation val="minMax"/>
        </c:scaling>
        <c:delete val="0"/>
        <c:axPos val="l"/>
        <c:numFmt formatCode="General" sourceLinked="1"/>
        <c:majorTickMark val="out"/>
        <c:minorTickMark val="none"/>
        <c:tickLblPos val="nextTo"/>
        <c:spPr>
          <a:ln w="50800">
            <a:solidFill>
              <a:srgbClr val="CED8DD"/>
            </a:solidFill>
          </a:ln>
        </c:spPr>
        <c:txPr>
          <a:bodyPr/>
          <a:lstStyle/>
          <a:p>
            <a:pPr>
              <a:defRPr sz="800" b="1"/>
            </a:pPr>
            <a:endParaRPr lang="en-US"/>
          </a:p>
        </c:txPr>
        <c:crossAx val="201815168"/>
        <c:crosses val="autoZero"/>
        <c:crossBetween val="between"/>
      </c:valAx>
    </c:plotArea>
    <c:legend>
      <c:legendPos val="r"/>
      <c:layout>
        <c:manualLayout>
          <c:xMode val="edge"/>
          <c:yMode val="edge"/>
          <c:x val="0.45946238005719103"/>
          <c:y val="7.8916297701876453E-3"/>
          <c:w val="0.53335103969249664"/>
          <c:h val="9.7125216637781633E-2"/>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a:lstStyle/>
          <a:p>
            <a:pPr>
              <a:defRPr/>
            </a:pPr>
            <a:r>
              <a:rPr lang="en-GB" sz="800">
                <a:latin typeface="+mn-lt"/>
              </a:rPr>
              <a:t>G&amp;A</a:t>
            </a:r>
            <a:r>
              <a:rPr lang="en-GB" sz="800" baseline="0">
                <a:latin typeface="+mn-lt"/>
              </a:rPr>
              <a:t> bed occupancy </a:t>
            </a:r>
            <a:endParaRPr lang="en-GB" sz="800">
              <a:latin typeface="+mn-lt"/>
            </a:endParaRPr>
          </a:p>
        </c:rich>
      </c:tx>
      <c:layout>
        <c:manualLayout>
          <c:xMode val="edge"/>
          <c:yMode val="edge"/>
          <c:x val="0.13809253446158049"/>
          <c:y val="2.1421041534893527E-2"/>
        </c:manualLayout>
      </c:layout>
      <c:overlay val="1"/>
    </c:title>
    <c:autoTitleDeleted val="0"/>
    <c:plotArea>
      <c:layout>
        <c:manualLayout>
          <c:layoutTarget val="inner"/>
          <c:xMode val="edge"/>
          <c:yMode val="edge"/>
          <c:x val="6.8013724846894136E-2"/>
          <c:y val="6.2453703703703713E-2"/>
          <c:w val="0.90911089238845144"/>
          <c:h val="0.74377762365196576"/>
        </c:manualLayout>
      </c:layout>
      <c:barChart>
        <c:barDir val="col"/>
        <c:grouping val="clustered"/>
        <c:varyColors val="0"/>
        <c:ser>
          <c:idx val="1"/>
          <c:order val="1"/>
          <c:tx>
            <c:strRef>
              <c:f>Summary!$C$66</c:f>
              <c:strCache>
                <c:ptCount val="1"/>
                <c:pt idx="0">
                  <c:v>24/25</c:v>
                </c:pt>
              </c:strCache>
            </c:strRef>
          </c:tx>
          <c:spPr>
            <a:solidFill>
              <a:srgbClr val="2C72B3"/>
            </a:solidFill>
            <a:ln w="19050"/>
          </c:spPr>
          <c:invertIfNegative val="0"/>
          <c:cat>
            <c:strRef>
              <c:f>Summary!$D$4:$P$4</c:f>
              <c:strCache>
                <c:ptCount val="13"/>
                <c:pt idx="0">
                  <c:v>Week 1</c:v>
                </c:pt>
                <c:pt idx="1">
                  <c:v>Week 2</c:v>
                </c:pt>
                <c:pt idx="2">
                  <c:v>Week 3</c:v>
                </c:pt>
                <c:pt idx="3">
                  <c:v>Week 4</c:v>
                </c:pt>
                <c:pt idx="4">
                  <c:v>Week 5</c:v>
                </c:pt>
                <c:pt idx="5">
                  <c:v>Week 6</c:v>
                </c:pt>
                <c:pt idx="6">
                  <c:v>Week 7</c:v>
                </c:pt>
                <c:pt idx="7">
                  <c:v>Week 8</c:v>
                </c:pt>
                <c:pt idx="8">
                  <c:v>Week 9</c:v>
                </c:pt>
                <c:pt idx="9">
                  <c:v>Week 10</c:v>
                </c:pt>
                <c:pt idx="10">
                  <c:v>Week 11</c:v>
                </c:pt>
                <c:pt idx="11">
                  <c:v>Week 12</c:v>
                </c:pt>
                <c:pt idx="12">
                  <c:v>Week 13</c:v>
                </c:pt>
              </c:strCache>
            </c:strRef>
          </c:cat>
          <c:val>
            <c:numRef>
              <c:f>Summary!$D$66:$Q$66</c:f>
              <c:numCache>
                <c:formatCode>0.0%</c:formatCode>
                <c:ptCount val="14"/>
                <c:pt idx="0">
                  <c:v>0.94628476255790839</c:v>
                </c:pt>
                <c:pt idx="1">
                  <c:v>0.94599555963179616</c:v>
                </c:pt>
                <c:pt idx="2">
                  <c:v>0.94087261309895598</c:v>
                </c:pt>
                <c:pt idx="3">
                  <c:v>0.93455690192654972</c:v>
                </c:pt>
                <c:pt idx="4">
                  <c:v>0.89034804459347794</c:v>
                </c:pt>
                <c:pt idx="5">
                  <c:v>0.92795975598373415</c:v>
                </c:pt>
                <c:pt idx="6">
                  <c:v>0.94019085770412236</c:v>
                </c:pt>
                <c:pt idx="7">
                  <c:v>0.93982513286473512</c:v>
                </c:pt>
                <c:pt idx="8">
                  <c:v>0</c:v>
                </c:pt>
                <c:pt idx="9">
                  <c:v>0</c:v>
                </c:pt>
                <c:pt idx="10">
                  <c:v>0</c:v>
                </c:pt>
                <c:pt idx="11">
                  <c:v>0</c:v>
                </c:pt>
                <c:pt idx="12">
                  <c:v>0</c:v>
                </c:pt>
                <c:pt idx="13">
                  <c:v>0</c:v>
                </c:pt>
              </c:numCache>
            </c:numRef>
          </c:val>
          <c:extLst>
            <c:ext xmlns:c16="http://schemas.microsoft.com/office/drawing/2014/chart" uri="{C3380CC4-5D6E-409C-BE32-E72D297353CC}">
              <c16:uniqueId val="{00000000-E34C-4F7F-AD58-E0FD6D5E6F59}"/>
            </c:ext>
          </c:extLst>
        </c:ser>
        <c:dLbls>
          <c:showLegendKey val="0"/>
          <c:showVal val="0"/>
          <c:showCatName val="0"/>
          <c:showSerName val="0"/>
          <c:showPercent val="0"/>
          <c:showBubbleSize val="0"/>
        </c:dLbls>
        <c:gapWidth val="50"/>
        <c:axId val="219400832"/>
        <c:axId val="219951872"/>
      </c:barChart>
      <c:lineChart>
        <c:grouping val="standard"/>
        <c:varyColors val="0"/>
        <c:ser>
          <c:idx val="0"/>
          <c:order val="0"/>
          <c:tx>
            <c:strRef>
              <c:f>Summary!$C$64</c:f>
              <c:strCache>
                <c:ptCount val="1"/>
                <c:pt idx="0">
                  <c:v>23/24</c:v>
                </c:pt>
              </c:strCache>
            </c:strRef>
          </c:tx>
          <c:spPr>
            <a:ln w="25400">
              <a:solidFill>
                <a:srgbClr val="F79131"/>
              </a:solidFill>
              <a:prstDash val="solid"/>
            </a:ln>
          </c:spPr>
          <c:marker>
            <c:symbol val="none"/>
          </c:marker>
          <c:cat>
            <c:numRef>
              <c:f>Summary!$D$5:$Q$5</c:f>
              <c:numCache>
                <c:formatCode>General</c:formatCode>
                <c:ptCount val="14"/>
                <c:pt idx="0">
                  <c:v>1</c:v>
                </c:pt>
                <c:pt idx="1">
                  <c:v>2</c:v>
                </c:pt>
                <c:pt idx="2">
                  <c:v>3</c:v>
                </c:pt>
                <c:pt idx="3">
                  <c:v>4</c:v>
                </c:pt>
                <c:pt idx="4">
                  <c:v>5</c:v>
                </c:pt>
                <c:pt idx="5">
                  <c:v>6</c:v>
                </c:pt>
                <c:pt idx="6">
                  <c:v>7</c:v>
                </c:pt>
                <c:pt idx="7">
                  <c:v>8</c:v>
                </c:pt>
                <c:pt idx="8">
                  <c:v>9</c:v>
                </c:pt>
                <c:pt idx="9">
                  <c:v>10</c:v>
                </c:pt>
                <c:pt idx="10">
                  <c:v>11</c:v>
                </c:pt>
                <c:pt idx="11">
                  <c:v>12</c:v>
                </c:pt>
                <c:pt idx="12">
                  <c:v>13</c:v>
                </c:pt>
                <c:pt idx="13">
                  <c:v>14</c:v>
                </c:pt>
              </c:numCache>
            </c:numRef>
          </c:cat>
          <c:val>
            <c:numRef>
              <c:f>Summary!$D$64:$Q$64</c:f>
              <c:numCache>
                <c:formatCode>0.0%</c:formatCode>
                <c:ptCount val="14"/>
                <c:pt idx="0">
                  <c:v>0.94447024311788919</c:v>
                </c:pt>
                <c:pt idx="1">
                  <c:v>0.94740532464655902</c:v>
                </c:pt>
                <c:pt idx="2">
                  <c:v>0.94897769044432778</c:v>
                </c:pt>
                <c:pt idx="3">
                  <c:v>0.91417781868149794</c:v>
                </c:pt>
                <c:pt idx="4">
                  <c:v>0.89544693567371758</c:v>
                </c:pt>
                <c:pt idx="5">
                  <c:v>0.93180627156470497</c:v>
                </c:pt>
                <c:pt idx="6">
                  <c:v>0.93297168677126896</c:v>
                </c:pt>
                <c:pt idx="7">
                  <c:v>0.94344905047576499</c:v>
                </c:pt>
                <c:pt idx="8">
                  <c:v>0.94814808691447017</c:v>
                </c:pt>
                <c:pt idx="9">
                  <c:v>0.94650994086235052</c:v>
                </c:pt>
                <c:pt idx="10">
                  <c:v>0.94569741247425509</c:v>
                </c:pt>
                <c:pt idx="11">
                  <c:v>0.94033740681598177</c:v>
                </c:pt>
                <c:pt idx="12">
                  <c:v>0.93836447363506714</c:v>
                </c:pt>
                <c:pt idx="13">
                  <c:v>0.93254055855217943</c:v>
                </c:pt>
              </c:numCache>
            </c:numRef>
          </c:val>
          <c:smooth val="0"/>
          <c:extLst>
            <c:ext xmlns:c16="http://schemas.microsoft.com/office/drawing/2014/chart" uri="{C3380CC4-5D6E-409C-BE32-E72D297353CC}">
              <c16:uniqueId val="{00000001-E34C-4F7F-AD58-E0FD6D5E6F59}"/>
            </c:ext>
          </c:extLst>
        </c:ser>
        <c:ser>
          <c:idx val="2"/>
          <c:order val="3"/>
          <c:tx>
            <c:v>22/23</c:v>
          </c:tx>
          <c:spPr>
            <a:ln>
              <a:solidFill>
                <a:srgbClr val="C00848"/>
              </a:solidFill>
              <a:prstDash val="dash"/>
            </a:ln>
          </c:spPr>
          <c:marker>
            <c:symbol val="none"/>
          </c:marker>
          <c:val>
            <c:numRef>
              <c:f>Summary!$D$65:$Q$65</c:f>
              <c:numCache>
                <c:formatCode>0.0%</c:formatCode>
                <c:ptCount val="14"/>
                <c:pt idx="0">
                  <c:v>0.94505538678871481</c:v>
                </c:pt>
                <c:pt idx="1">
                  <c:v>0.94494034822191264</c:v>
                </c:pt>
                <c:pt idx="2">
                  <c:v>0.94437039214734853</c:v>
                </c:pt>
                <c:pt idx="3">
                  <c:v>0.93053965313424214</c:v>
                </c:pt>
                <c:pt idx="4">
                  <c:v>0.93206381590382592</c:v>
                </c:pt>
                <c:pt idx="5">
                  <c:v>0.94553668839343163</c:v>
                </c:pt>
                <c:pt idx="6">
                  <c:v>0.9423832601088864</c:v>
                </c:pt>
                <c:pt idx="7">
                  <c:v>0.93790176120285507</c:v>
                </c:pt>
                <c:pt idx="8">
                  <c:v>0.94003141359776177</c:v>
                </c:pt>
                <c:pt idx="9">
                  <c:v>0.94410154081163877</c:v>
                </c:pt>
                <c:pt idx="10">
                  <c:v>0.93759808948594026</c:v>
                </c:pt>
                <c:pt idx="11">
                  <c:v>0.94057141564813262</c:v>
                </c:pt>
                <c:pt idx="12">
                  <c:v>0.94131366144008322</c:v>
                </c:pt>
                <c:pt idx="13">
                  <c:v>0.94258516637349332</c:v>
                </c:pt>
              </c:numCache>
            </c:numRef>
          </c:val>
          <c:smooth val="0"/>
          <c:extLst>
            <c:ext xmlns:c16="http://schemas.microsoft.com/office/drawing/2014/chart" uri="{C3380CC4-5D6E-409C-BE32-E72D297353CC}">
              <c16:uniqueId val="{00000000-3404-48D2-84DC-4CDFBBAA218E}"/>
            </c:ext>
          </c:extLst>
        </c:ser>
        <c:dLbls>
          <c:showLegendKey val="0"/>
          <c:showVal val="0"/>
          <c:showCatName val="0"/>
          <c:showSerName val="0"/>
          <c:showPercent val="0"/>
          <c:showBubbleSize val="0"/>
        </c:dLbls>
        <c:marker val="1"/>
        <c:smooth val="0"/>
        <c:axId val="219400832"/>
        <c:axId val="219951872"/>
        <c:extLst>
          <c:ext xmlns:c15="http://schemas.microsoft.com/office/drawing/2012/chart" uri="{02D57815-91ED-43cb-92C2-25804820EDAC}">
            <c15:filteredLineSeries>
              <c15:ser>
                <c:idx val="3"/>
                <c:order val="2"/>
                <c:tx>
                  <c:v>20/21</c:v>
                </c:tx>
                <c:spPr>
                  <a:ln w="25400">
                    <a:solidFill>
                      <a:srgbClr val="00A89C"/>
                    </a:solidFill>
                    <a:prstDash val="sysDot"/>
                  </a:ln>
                </c:spPr>
                <c:marker>
                  <c:symbol val="none"/>
                </c:marker>
                <c:cat>
                  <c:numRef>
                    <c:extLst>
                      <c:ext uri="{02D57815-91ED-43cb-92C2-25804820EDAC}">
                        <c15:formulaRef>
                          <c15:sqref>Summary!$D$5:$Q$5</c15:sqref>
                        </c15:formulaRef>
                      </c:ext>
                    </c:extLst>
                    <c:numCache>
                      <c:formatCode>General</c:formatCode>
                      <c:ptCount val="14"/>
                      <c:pt idx="0">
                        <c:v>1</c:v>
                      </c:pt>
                      <c:pt idx="1">
                        <c:v>2</c:v>
                      </c:pt>
                      <c:pt idx="2">
                        <c:v>3</c:v>
                      </c:pt>
                      <c:pt idx="3">
                        <c:v>4</c:v>
                      </c:pt>
                      <c:pt idx="4">
                        <c:v>5</c:v>
                      </c:pt>
                      <c:pt idx="5">
                        <c:v>6</c:v>
                      </c:pt>
                      <c:pt idx="6">
                        <c:v>7</c:v>
                      </c:pt>
                      <c:pt idx="7">
                        <c:v>8</c:v>
                      </c:pt>
                      <c:pt idx="8">
                        <c:v>9</c:v>
                      </c:pt>
                      <c:pt idx="9">
                        <c:v>10</c:v>
                      </c:pt>
                      <c:pt idx="10">
                        <c:v>11</c:v>
                      </c:pt>
                      <c:pt idx="11">
                        <c:v>12</c:v>
                      </c:pt>
                      <c:pt idx="12">
                        <c:v>13</c:v>
                      </c:pt>
                      <c:pt idx="13">
                        <c:v>14</c:v>
                      </c:pt>
                    </c:numCache>
                  </c:numRef>
                </c:cat>
                <c:val>
                  <c:numRef>
                    <c:extLst>
                      <c:ext uri="{02D57815-91ED-43cb-92C2-25804820EDAC}">
                        <c15:formulaRef>
                          <c15:sqref>Summary!$D$62:$P$62</c15:sqref>
                        </c15:formulaRef>
                      </c:ext>
                    </c:extLst>
                    <c:numCache>
                      <c:formatCode>0.0%</c:formatCode>
                      <c:ptCount val="13"/>
                      <c:pt idx="0">
                        <c:v>0.87132848938056506</c:v>
                      </c:pt>
                      <c:pt idx="1">
                        <c:v>0.88944465840683073</c:v>
                      </c:pt>
                      <c:pt idx="2">
                        <c:v>0.88805132036518131</c:v>
                      </c:pt>
                      <c:pt idx="3">
                        <c:v>0.82878958398013036</c:v>
                      </c:pt>
                      <c:pt idx="4">
                        <c:v>0.86668413786050313</c:v>
                      </c:pt>
                      <c:pt idx="5">
                        <c:v>0.88654682863035061</c:v>
                      </c:pt>
                      <c:pt idx="6">
                        <c:v>0.87229437909811591</c:v>
                      </c:pt>
                      <c:pt idx="7">
                        <c:v>0.87596501557125928</c:v>
                      </c:pt>
                      <c:pt idx="8">
                        <c:v>0.86871120973613958</c:v>
                      </c:pt>
                      <c:pt idx="9">
                        <c:v>0.86092496840351351</c:v>
                      </c:pt>
                      <c:pt idx="10">
                        <c:v>0.84420397626141075</c:v>
                      </c:pt>
                      <c:pt idx="11">
                        <c:v>0.85172699587833334</c:v>
                      </c:pt>
                      <c:pt idx="12">
                        <c:v>0.85793532631740033</c:v>
                      </c:pt>
                    </c:numCache>
                  </c:numRef>
                </c:val>
                <c:smooth val="0"/>
                <c:extLst>
                  <c:ext xmlns:c16="http://schemas.microsoft.com/office/drawing/2014/chart" uri="{C3380CC4-5D6E-409C-BE32-E72D297353CC}">
                    <c16:uniqueId val="{00000002-E34C-4F7F-AD58-E0FD6D5E6F59}"/>
                  </c:ext>
                </c:extLst>
              </c15:ser>
            </c15:filteredLineSeries>
          </c:ext>
        </c:extLst>
      </c:lineChart>
      <c:catAx>
        <c:axId val="21940083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219951872"/>
        <c:crosses val="autoZero"/>
        <c:auto val="1"/>
        <c:lblAlgn val="ctr"/>
        <c:lblOffset val="100"/>
        <c:noMultiLvlLbl val="0"/>
      </c:catAx>
      <c:valAx>
        <c:axId val="219951872"/>
        <c:scaling>
          <c:orientation val="minMax"/>
          <c:max val="1"/>
          <c:min val="0.5"/>
        </c:scaling>
        <c:delete val="0"/>
        <c:axPos val="l"/>
        <c:numFmt formatCode="0%" sourceLinked="0"/>
        <c:majorTickMark val="out"/>
        <c:minorTickMark val="none"/>
        <c:tickLblPos val="nextTo"/>
        <c:spPr>
          <a:ln w="50800">
            <a:solidFill>
              <a:srgbClr val="CED8DD"/>
            </a:solidFill>
          </a:ln>
        </c:spPr>
        <c:txPr>
          <a:bodyPr/>
          <a:lstStyle/>
          <a:p>
            <a:pPr>
              <a:defRPr sz="800" b="1"/>
            </a:pPr>
            <a:endParaRPr lang="en-US"/>
          </a:p>
        </c:txPr>
        <c:crossAx val="219400832"/>
        <c:crosses val="autoZero"/>
        <c:crossBetween val="between"/>
        <c:majorUnit val="0.1"/>
      </c:valAx>
    </c:plotArea>
    <c:legend>
      <c:legendPos val="r"/>
      <c:layout>
        <c:manualLayout>
          <c:xMode val="edge"/>
          <c:yMode val="edge"/>
          <c:x val="0.43079391815914775"/>
          <c:y val="0"/>
          <c:w val="0.55108448816531996"/>
          <c:h val="7.4383902716761943E-2"/>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6.8013724846894136E-2"/>
          <c:y val="0.12393531453729574"/>
          <c:w val="0.87354694444444447"/>
          <c:h val="0.82740919481838959"/>
        </c:manualLayout>
      </c:layout>
      <c:barChart>
        <c:barDir val="col"/>
        <c:grouping val="clustered"/>
        <c:varyColors val="0"/>
        <c:ser>
          <c:idx val="1"/>
          <c:order val="0"/>
          <c:tx>
            <c:strRef>
              <c:f>Summary!$C$84</c:f>
              <c:strCache>
                <c:ptCount val="1"/>
                <c:pt idx="0">
                  <c:v>24/25</c:v>
                </c:pt>
              </c:strCache>
            </c:strRef>
          </c:tx>
          <c:spPr>
            <a:solidFill>
              <a:srgbClr val="2C72B3"/>
            </a:solidFill>
            <a:ln w="19050"/>
          </c:spPr>
          <c:invertIfNegative val="0"/>
          <c:cat>
            <c:numRef>
              <c:f>Summary!$D$5:$Q$5</c:f>
              <c:numCache>
                <c:formatCode>General</c:formatCode>
                <c:ptCount val="14"/>
                <c:pt idx="0">
                  <c:v>1</c:v>
                </c:pt>
                <c:pt idx="1">
                  <c:v>2</c:v>
                </c:pt>
                <c:pt idx="2">
                  <c:v>3</c:v>
                </c:pt>
                <c:pt idx="3">
                  <c:v>4</c:v>
                </c:pt>
                <c:pt idx="4">
                  <c:v>5</c:v>
                </c:pt>
                <c:pt idx="5">
                  <c:v>6</c:v>
                </c:pt>
                <c:pt idx="6">
                  <c:v>7</c:v>
                </c:pt>
                <c:pt idx="7">
                  <c:v>8</c:v>
                </c:pt>
                <c:pt idx="8">
                  <c:v>9</c:v>
                </c:pt>
                <c:pt idx="9">
                  <c:v>10</c:v>
                </c:pt>
                <c:pt idx="10">
                  <c:v>11</c:v>
                </c:pt>
                <c:pt idx="11">
                  <c:v>12</c:v>
                </c:pt>
                <c:pt idx="12">
                  <c:v>13</c:v>
                </c:pt>
                <c:pt idx="13">
                  <c:v>14</c:v>
                </c:pt>
              </c:numCache>
            </c:numRef>
          </c:cat>
          <c:val>
            <c:numRef>
              <c:f>Summary!$D$84:$Q$84</c:f>
              <c:numCache>
                <c:formatCode>#,##0</c:formatCode>
                <c:ptCount val="14"/>
                <c:pt idx="0">
                  <c:v>47551.571428571428</c:v>
                </c:pt>
                <c:pt idx="1">
                  <c:v>48160</c:v>
                </c:pt>
                <c:pt idx="2">
                  <c:v>48048.857142857145</c:v>
                </c:pt>
                <c:pt idx="3">
                  <c:v>46742.857142857145</c:v>
                </c:pt>
                <c:pt idx="4">
                  <c:v>45269.571428571428</c:v>
                </c:pt>
                <c:pt idx="5">
                  <c:v>49667</c:v>
                </c:pt>
                <c:pt idx="6">
                  <c:v>50329.142857142855</c:v>
                </c:pt>
                <c:pt idx="7">
                  <c:v>50166.428571428572</c:v>
                </c:pt>
                <c:pt idx="8">
                  <c:v>0</c:v>
                </c:pt>
                <c:pt idx="9">
                  <c:v>0</c:v>
                </c:pt>
                <c:pt idx="10">
                  <c:v>0</c:v>
                </c:pt>
                <c:pt idx="11">
                  <c:v>0</c:v>
                </c:pt>
                <c:pt idx="12">
                  <c:v>0</c:v>
                </c:pt>
                <c:pt idx="13">
                  <c:v>0</c:v>
                </c:pt>
              </c:numCache>
            </c:numRef>
          </c:val>
          <c:extLst>
            <c:ext xmlns:c16="http://schemas.microsoft.com/office/drawing/2014/chart" uri="{C3380CC4-5D6E-409C-BE32-E72D297353CC}">
              <c16:uniqueId val="{00000000-F593-4034-89BD-0D7350798262}"/>
            </c:ext>
          </c:extLst>
        </c:ser>
        <c:dLbls>
          <c:showLegendKey val="0"/>
          <c:showVal val="0"/>
          <c:showCatName val="0"/>
          <c:showSerName val="0"/>
          <c:showPercent val="0"/>
          <c:showBubbleSize val="0"/>
        </c:dLbls>
        <c:gapWidth val="50"/>
        <c:axId val="333572352"/>
        <c:axId val="333584640"/>
      </c:barChart>
      <c:lineChart>
        <c:grouping val="standard"/>
        <c:varyColors val="0"/>
        <c:ser>
          <c:idx val="0"/>
          <c:order val="1"/>
          <c:tx>
            <c:strRef>
              <c:f>Summary!$C$82</c:f>
              <c:strCache>
                <c:ptCount val="1"/>
                <c:pt idx="0">
                  <c:v>23/24</c:v>
                </c:pt>
              </c:strCache>
            </c:strRef>
          </c:tx>
          <c:spPr>
            <a:ln w="25400">
              <a:solidFill>
                <a:srgbClr val="F79131"/>
              </a:solidFill>
              <a:prstDash val="solid"/>
            </a:ln>
          </c:spPr>
          <c:marker>
            <c:symbol val="none"/>
          </c:marker>
          <c:val>
            <c:numRef>
              <c:f>Summary!$D$82:$Q$82</c:f>
              <c:numCache>
                <c:formatCode>#,##0</c:formatCode>
                <c:ptCount val="14"/>
                <c:pt idx="0">
                  <c:v>47031.428571428572</c:v>
                </c:pt>
                <c:pt idx="1">
                  <c:v>47350.714285714283</c:v>
                </c:pt>
                <c:pt idx="2">
                  <c:v>47688.428571428572</c:v>
                </c:pt>
                <c:pt idx="3">
                  <c:v>45887</c:v>
                </c:pt>
                <c:pt idx="4">
                  <c:v>44926.571428571428</c:v>
                </c:pt>
                <c:pt idx="5">
                  <c:v>49162</c:v>
                </c:pt>
                <c:pt idx="6">
                  <c:v>48758.571428571428</c:v>
                </c:pt>
                <c:pt idx="7">
                  <c:v>48971.142857142855</c:v>
                </c:pt>
                <c:pt idx="8">
                  <c:v>49555.285714285717</c:v>
                </c:pt>
                <c:pt idx="9">
                  <c:v>49834.285714285717</c:v>
                </c:pt>
                <c:pt idx="10">
                  <c:v>49711.428571428572</c:v>
                </c:pt>
                <c:pt idx="11">
                  <c:v>49418.857142857145</c:v>
                </c:pt>
                <c:pt idx="12">
                  <c:v>48807</c:v>
                </c:pt>
                <c:pt idx="13">
                  <c:v>48241.428571428572</c:v>
                </c:pt>
              </c:numCache>
            </c:numRef>
          </c:val>
          <c:smooth val="0"/>
          <c:extLst>
            <c:ext xmlns:c16="http://schemas.microsoft.com/office/drawing/2014/chart" uri="{C3380CC4-5D6E-409C-BE32-E72D297353CC}">
              <c16:uniqueId val="{00000001-F593-4034-89BD-0D7350798262}"/>
            </c:ext>
          </c:extLst>
        </c:ser>
        <c:ser>
          <c:idx val="3"/>
          <c:order val="3"/>
          <c:tx>
            <c:v>22/23</c:v>
          </c:tx>
          <c:spPr>
            <a:ln>
              <a:solidFill>
                <a:srgbClr val="C00848"/>
              </a:solidFill>
              <a:prstDash val="dash"/>
            </a:ln>
          </c:spPr>
          <c:marker>
            <c:symbol val="none"/>
          </c:marker>
          <c:val>
            <c:numRef>
              <c:f>Summary!$D$81:$Q$81</c:f>
              <c:numCache>
                <c:formatCode>#,##0</c:formatCode>
                <c:ptCount val="14"/>
                <c:pt idx="0">
                  <c:v>48062.857142857145</c:v>
                </c:pt>
                <c:pt idx="1">
                  <c:v>48359.428571428572</c:v>
                </c:pt>
                <c:pt idx="2">
                  <c:v>48646.571428571428</c:v>
                </c:pt>
                <c:pt idx="3">
                  <c:v>46481.571428571428</c:v>
                </c:pt>
                <c:pt idx="4">
                  <c:v>49214.714285714283</c:v>
                </c:pt>
                <c:pt idx="5">
                  <c:v>52099.714285714283</c:v>
                </c:pt>
                <c:pt idx="6">
                  <c:v>50784.142857142855</c:v>
                </c:pt>
                <c:pt idx="7">
                  <c:v>49810.571428571428</c:v>
                </c:pt>
                <c:pt idx="8">
                  <c:v>49039.428571428572</c:v>
                </c:pt>
                <c:pt idx="9">
                  <c:v>48893</c:v>
                </c:pt>
                <c:pt idx="10">
                  <c:v>48780.142857142855</c:v>
                </c:pt>
                <c:pt idx="11">
                  <c:v>48530</c:v>
                </c:pt>
                <c:pt idx="12">
                  <c:v>48692.857142857145</c:v>
                </c:pt>
                <c:pt idx="13">
                  <c:v>48648.142857142855</c:v>
                </c:pt>
              </c:numCache>
            </c:numRef>
          </c:val>
          <c:smooth val="0"/>
          <c:extLst>
            <c:ext xmlns:c16="http://schemas.microsoft.com/office/drawing/2014/chart" uri="{C3380CC4-5D6E-409C-BE32-E72D297353CC}">
              <c16:uniqueId val="{00000000-C4E0-4DBD-9115-DDD3BA884077}"/>
            </c:ext>
          </c:extLst>
        </c:ser>
        <c:dLbls>
          <c:showLegendKey val="0"/>
          <c:showVal val="0"/>
          <c:showCatName val="0"/>
          <c:showSerName val="0"/>
          <c:showPercent val="0"/>
          <c:showBubbleSize val="0"/>
        </c:dLbls>
        <c:marker val="1"/>
        <c:smooth val="0"/>
        <c:axId val="333572352"/>
        <c:axId val="333584640"/>
        <c:extLst>
          <c:ext xmlns:c15="http://schemas.microsoft.com/office/drawing/2012/chart" uri="{02D57815-91ED-43cb-92C2-25804820EDAC}">
            <c15:filteredLineSeries>
              <c15:ser>
                <c:idx val="2"/>
                <c:order val="2"/>
                <c:tx>
                  <c:v>20/21</c:v>
                </c:tx>
                <c:spPr>
                  <a:ln w="25400">
                    <a:solidFill>
                      <a:srgbClr val="00A89C"/>
                    </a:solidFill>
                    <a:prstDash val="sysDot"/>
                  </a:ln>
                </c:spPr>
                <c:marker>
                  <c:symbol val="none"/>
                </c:marker>
                <c:val>
                  <c:numRef>
                    <c:extLst>
                      <c:ext uri="{02D57815-91ED-43cb-92C2-25804820EDAC}">
                        <c15:formulaRef>
                          <c15:sqref>Summary!$D$81:$P$81</c15:sqref>
                        </c15:formulaRef>
                      </c:ext>
                    </c:extLst>
                    <c:numCache>
                      <c:formatCode>#,##0</c:formatCode>
                      <c:ptCount val="13"/>
                      <c:pt idx="0">
                        <c:v>48062.857142857145</c:v>
                      </c:pt>
                      <c:pt idx="1">
                        <c:v>48359.428571428572</c:v>
                      </c:pt>
                      <c:pt idx="2">
                        <c:v>48646.571428571428</c:v>
                      </c:pt>
                      <c:pt idx="3">
                        <c:v>46481.571428571428</c:v>
                      </c:pt>
                      <c:pt idx="4">
                        <c:v>49214.714285714283</c:v>
                      </c:pt>
                      <c:pt idx="5">
                        <c:v>52099.714285714283</c:v>
                      </c:pt>
                      <c:pt idx="6">
                        <c:v>50784.142857142855</c:v>
                      </c:pt>
                      <c:pt idx="7">
                        <c:v>49810.571428571428</c:v>
                      </c:pt>
                      <c:pt idx="8">
                        <c:v>49039.428571428572</c:v>
                      </c:pt>
                      <c:pt idx="9">
                        <c:v>48893</c:v>
                      </c:pt>
                      <c:pt idx="10">
                        <c:v>48780.142857142855</c:v>
                      </c:pt>
                      <c:pt idx="11">
                        <c:v>48530</c:v>
                      </c:pt>
                      <c:pt idx="12">
                        <c:v>48692.857142857145</c:v>
                      </c:pt>
                    </c:numCache>
                  </c:numRef>
                </c:val>
                <c:smooth val="0"/>
                <c:extLst>
                  <c:ext xmlns:c16="http://schemas.microsoft.com/office/drawing/2014/chart" uri="{C3380CC4-5D6E-409C-BE32-E72D297353CC}">
                    <c16:uniqueId val="{00000002-F593-4034-89BD-0D7350798262}"/>
                  </c:ext>
                </c:extLst>
              </c15:ser>
            </c15:filteredLineSeries>
          </c:ext>
        </c:extLst>
      </c:lineChart>
      <c:catAx>
        <c:axId val="333572352"/>
        <c:scaling>
          <c:orientation val="minMax"/>
        </c:scaling>
        <c:delete val="0"/>
        <c:axPos val="b"/>
        <c:numFmt formatCode="General" sourceLinked="1"/>
        <c:majorTickMark val="out"/>
        <c:minorTickMark val="none"/>
        <c:tickLblPos val="nextTo"/>
        <c:spPr>
          <a:ln w="15875">
            <a:solidFill>
              <a:schemeClr val="bg2"/>
            </a:solidFill>
          </a:ln>
        </c:spPr>
        <c:txPr>
          <a:bodyPr/>
          <a:lstStyle/>
          <a:p>
            <a:pPr>
              <a:defRPr sz="800" b="1"/>
            </a:pPr>
            <a:endParaRPr lang="en-US"/>
          </a:p>
        </c:txPr>
        <c:crossAx val="333584640"/>
        <c:crosses val="autoZero"/>
        <c:auto val="1"/>
        <c:lblAlgn val="ctr"/>
        <c:lblOffset val="100"/>
        <c:noMultiLvlLbl val="0"/>
      </c:catAx>
      <c:valAx>
        <c:axId val="333584640"/>
        <c:scaling>
          <c:orientation val="minMax"/>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333572352"/>
        <c:crosses val="autoZero"/>
        <c:crossBetween val="between"/>
      </c:valAx>
    </c:plotArea>
    <c:legend>
      <c:legendPos val="r"/>
      <c:legendEntry>
        <c:idx val="0"/>
        <c:txPr>
          <a:bodyPr/>
          <a:lstStyle/>
          <a:p>
            <a:pPr>
              <a:defRPr sz="700"/>
            </a:pPr>
            <a:endParaRPr lang="en-US"/>
          </a:p>
        </c:txPr>
      </c:legendEntry>
      <c:legendEntry>
        <c:idx val="1"/>
        <c:txPr>
          <a:bodyPr/>
          <a:lstStyle/>
          <a:p>
            <a:pPr>
              <a:defRPr sz="700"/>
            </a:pPr>
            <a:endParaRPr lang="en-US"/>
          </a:p>
        </c:txPr>
      </c:legendEntry>
      <c:layout>
        <c:manualLayout>
          <c:xMode val="edge"/>
          <c:yMode val="edge"/>
          <c:x val="0.46043467302897423"/>
          <c:y val="6.6068485625342911E-3"/>
          <c:w val="0.52331434715665259"/>
          <c:h val="0.18850343387587734"/>
        </c:manualLayout>
      </c:layout>
      <c:overlay val="1"/>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0876432277844732"/>
          <c:y val="0.14528048841780036"/>
          <c:w val="0.8622711111111111"/>
          <c:h val="0.652039669537952"/>
        </c:manualLayout>
      </c:layout>
      <c:barChart>
        <c:barDir val="col"/>
        <c:grouping val="clustered"/>
        <c:varyColors val="0"/>
        <c:ser>
          <c:idx val="1"/>
          <c:order val="0"/>
          <c:tx>
            <c:strRef>
              <c:f>Summary!$C$107</c:f>
              <c:strCache>
                <c:ptCount val="1"/>
                <c:pt idx="0">
                  <c:v>24/25</c:v>
                </c:pt>
              </c:strCache>
            </c:strRef>
          </c:tx>
          <c:spPr>
            <a:solidFill>
              <a:srgbClr val="2C72B3"/>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Summary!$D$107:$Q$107</c:f>
              <c:numCache>
                <c:formatCode>#,##0</c:formatCode>
                <c:ptCount val="14"/>
                <c:pt idx="0">
                  <c:v>17744.714285714286</c:v>
                </c:pt>
                <c:pt idx="1">
                  <c:v>17741.857142857141</c:v>
                </c:pt>
                <c:pt idx="2">
                  <c:v>17950.142857142859</c:v>
                </c:pt>
                <c:pt idx="3">
                  <c:v>17770.142857142859</c:v>
                </c:pt>
                <c:pt idx="4">
                  <c:v>16899.714285714286</c:v>
                </c:pt>
                <c:pt idx="5">
                  <c:v>18597.428571428572</c:v>
                </c:pt>
                <c:pt idx="6">
                  <c:v>19563.857142857141</c:v>
                </c:pt>
                <c:pt idx="7">
                  <c:v>19585.142857142859</c:v>
                </c:pt>
                <c:pt idx="8">
                  <c:v>0</c:v>
                </c:pt>
                <c:pt idx="9">
                  <c:v>0</c:v>
                </c:pt>
                <c:pt idx="10">
                  <c:v>0</c:v>
                </c:pt>
                <c:pt idx="11">
                  <c:v>0</c:v>
                </c:pt>
                <c:pt idx="12">
                  <c:v>0</c:v>
                </c:pt>
                <c:pt idx="13">
                  <c:v>0</c:v>
                </c:pt>
              </c:numCache>
            </c:numRef>
          </c:val>
          <c:extLst>
            <c:ext xmlns:c16="http://schemas.microsoft.com/office/drawing/2014/chart" uri="{C3380CC4-5D6E-409C-BE32-E72D297353CC}">
              <c16:uniqueId val="{00000000-3D40-4E92-A250-F151C7313C06}"/>
            </c:ext>
          </c:extLst>
        </c:ser>
        <c:dLbls>
          <c:showLegendKey val="0"/>
          <c:showVal val="0"/>
          <c:showCatName val="0"/>
          <c:showSerName val="0"/>
          <c:showPercent val="0"/>
          <c:showBubbleSize val="0"/>
        </c:dLbls>
        <c:gapWidth val="50"/>
        <c:axId val="411742976"/>
        <c:axId val="411745280"/>
      </c:barChart>
      <c:lineChart>
        <c:grouping val="standard"/>
        <c:varyColors val="0"/>
        <c:ser>
          <c:idx val="0"/>
          <c:order val="1"/>
          <c:tx>
            <c:strRef>
              <c:f>Summary!$C$105</c:f>
              <c:strCache>
                <c:ptCount val="1"/>
                <c:pt idx="0">
                  <c:v>23/24</c:v>
                </c:pt>
              </c:strCache>
            </c:strRef>
          </c:tx>
          <c:spPr>
            <a:ln w="25400">
              <a:solidFill>
                <a:srgbClr val="F79131"/>
              </a:solidFill>
              <a:prstDash val="solid"/>
            </a:ln>
          </c:spPr>
          <c:marker>
            <c:symbol val="none"/>
          </c:marker>
          <c:val>
            <c:numRef>
              <c:f>Summary!$D$105:$Q$105</c:f>
              <c:numCache>
                <c:formatCode>#,##0</c:formatCode>
                <c:ptCount val="14"/>
                <c:pt idx="0">
                  <c:v>17998.285714285714</c:v>
                </c:pt>
                <c:pt idx="1">
                  <c:v>18092.142857142859</c:v>
                </c:pt>
                <c:pt idx="2">
                  <c:v>17971</c:v>
                </c:pt>
                <c:pt idx="3">
                  <c:v>17034.285714285714</c:v>
                </c:pt>
                <c:pt idx="4">
                  <c:v>17131.428571428572</c:v>
                </c:pt>
                <c:pt idx="5">
                  <c:v>19000</c:v>
                </c:pt>
                <c:pt idx="6">
                  <c:v>19371</c:v>
                </c:pt>
                <c:pt idx="7">
                  <c:v>19179.857142857141</c:v>
                </c:pt>
                <c:pt idx="8">
                  <c:v>18869.571428571428</c:v>
                </c:pt>
                <c:pt idx="9">
                  <c:v>18887.857142857141</c:v>
                </c:pt>
                <c:pt idx="10">
                  <c:v>19085</c:v>
                </c:pt>
                <c:pt idx="11">
                  <c:v>19202.857142857141</c:v>
                </c:pt>
                <c:pt idx="12">
                  <c:v>19206.428571428572</c:v>
                </c:pt>
                <c:pt idx="13">
                  <c:v>19110</c:v>
                </c:pt>
              </c:numCache>
            </c:numRef>
          </c:val>
          <c:smooth val="0"/>
          <c:extLst>
            <c:ext xmlns:c16="http://schemas.microsoft.com/office/drawing/2014/chart" uri="{C3380CC4-5D6E-409C-BE32-E72D297353CC}">
              <c16:uniqueId val="{00000001-3D40-4E92-A250-F151C7313C06}"/>
            </c:ext>
          </c:extLst>
        </c:ser>
        <c:ser>
          <c:idx val="3"/>
          <c:order val="3"/>
          <c:tx>
            <c:v>22/23</c:v>
          </c:tx>
          <c:spPr>
            <a:ln>
              <a:solidFill>
                <a:srgbClr val="C00848"/>
              </a:solidFill>
              <a:prstDash val="dash"/>
            </a:ln>
          </c:spPr>
          <c:marker>
            <c:symbol val="none"/>
          </c:marker>
          <c:val>
            <c:numRef>
              <c:f>Summary!$D$104:$Q$104</c:f>
              <c:numCache>
                <c:formatCode>#,##0</c:formatCode>
                <c:ptCount val="14"/>
                <c:pt idx="0">
                  <c:v>18812.571428571428</c:v>
                </c:pt>
                <c:pt idx="1">
                  <c:v>18943.142857142859</c:v>
                </c:pt>
                <c:pt idx="2">
                  <c:v>19114.142857142859</c:v>
                </c:pt>
                <c:pt idx="3">
                  <c:v>18143.571428571428</c:v>
                </c:pt>
                <c:pt idx="4">
                  <c:v>18307</c:v>
                </c:pt>
                <c:pt idx="5">
                  <c:v>19528.428571428572</c:v>
                </c:pt>
                <c:pt idx="6">
                  <c:v>20226</c:v>
                </c:pt>
                <c:pt idx="7">
                  <c:v>19887.714285714286</c:v>
                </c:pt>
                <c:pt idx="8">
                  <c:v>19427.428571428572</c:v>
                </c:pt>
                <c:pt idx="9">
                  <c:v>19361.714285714286</c:v>
                </c:pt>
                <c:pt idx="10">
                  <c:v>19131.428571428572</c:v>
                </c:pt>
                <c:pt idx="11">
                  <c:v>19220.571428571428</c:v>
                </c:pt>
                <c:pt idx="12">
                  <c:v>19298.714285714286</c:v>
                </c:pt>
                <c:pt idx="13">
                  <c:v>19254.571428571428</c:v>
                </c:pt>
              </c:numCache>
            </c:numRef>
          </c:val>
          <c:smooth val="0"/>
          <c:extLst>
            <c:ext xmlns:c16="http://schemas.microsoft.com/office/drawing/2014/chart" uri="{C3380CC4-5D6E-409C-BE32-E72D297353CC}">
              <c16:uniqueId val="{00000000-2353-40F5-92BB-6EFB21BF52EA}"/>
            </c:ext>
          </c:extLst>
        </c:ser>
        <c:dLbls>
          <c:showLegendKey val="0"/>
          <c:showVal val="0"/>
          <c:showCatName val="0"/>
          <c:showSerName val="0"/>
          <c:showPercent val="0"/>
          <c:showBubbleSize val="0"/>
        </c:dLbls>
        <c:marker val="1"/>
        <c:smooth val="0"/>
        <c:axId val="411742976"/>
        <c:axId val="411745280"/>
        <c:extLst>
          <c:ext xmlns:c15="http://schemas.microsoft.com/office/drawing/2012/chart" uri="{02D57815-91ED-43cb-92C2-25804820EDAC}">
            <c15:filteredLineSeries>
              <c15:ser>
                <c:idx val="2"/>
                <c:order val="2"/>
                <c:tx>
                  <c:v>20/21</c:v>
                </c:tx>
                <c:spPr>
                  <a:ln w="25400">
                    <a:solidFill>
                      <a:srgbClr val="00A89C"/>
                    </a:solidFill>
                    <a:prstDash val="sysDot"/>
                  </a:ln>
                </c:spPr>
                <c:marker>
                  <c:symbol val="none"/>
                </c:marker>
                <c:val>
                  <c:numRef>
                    <c:extLst>
                      <c:ext uri="{02D57815-91ED-43cb-92C2-25804820EDAC}">
                        <c15:formulaRef>
                          <c15:sqref>Summary!$D$104:$P$104</c15:sqref>
                        </c15:formulaRef>
                      </c:ext>
                    </c:extLst>
                    <c:numCache>
                      <c:formatCode>#,##0</c:formatCode>
                      <c:ptCount val="13"/>
                      <c:pt idx="0">
                        <c:v>18812.571428571428</c:v>
                      </c:pt>
                      <c:pt idx="1">
                        <c:v>18943.142857142859</c:v>
                      </c:pt>
                      <c:pt idx="2">
                        <c:v>19114.142857142859</c:v>
                      </c:pt>
                      <c:pt idx="3">
                        <c:v>18143.571428571428</c:v>
                      </c:pt>
                      <c:pt idx="4">
                        <c:v>18307</c:v>
                      </c:pt>
                      <c:pt idx="5">
                        <c:v>19528.428571428572</c:v>
                      </c:pt>
                      <c:pt idx="6">
                        <c:v>20226</c:v>
                      </c:pt>
                      <c:pt idx="7">
                        <c:v>19887.714285714286</c:v>
                      </c:pt>
                      <c:pt idx="8">
                        <c:v>19427.428571428572</c:v>
                      </c:pt>
                      <c:pt idx="9">
                        <c:v>19361.714285714286</c:v>
                      </c:pt>
                      <c:pt idx="10">
                        <c:v>19131.428571428572</c:v>
                      </c:pt>
                      <c:pt idx="11">
                        <c:v>19220.571428571428</c:v>
                      </c:pt>
                      <c:pt idx="12">
                        <c:v>19298.714285714286</c:v>
                      </c:pt>
                    </c:numCache>
                  </c:numRef>
                </c:val>
                <c:smooth val="0"/>
                <c:extLst>
                  <c:ext xmlns:c16="http://schemas.microsoft.com/office/drawing/2014/chart" uri="{C3380CC4-5D6E-409C-BE32-E72D297353CC}">
                    <c16:uniqueId val="{00000002-3D40-4E92-A250-F151C7313C06}"/>
                  </c:ext>
                </c:extLst>
              </c15:ser>
            </c15:filteredLineSeries>
          </c:ext>
        </c:extLst>
      </c:lineChart>
      <c:catAx>
        <c:axId val="411742976"/>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411745280"/>
        <c:crosses val="autoZero"/>
        <c:auto val="1"/>
        <c:lblAlgn val="ctr"/>
        <c:lblOffset val="100"/>
        <c:noMultiLvlLbl val="0"/>
      </c:catAx>
      <c:valAx>
        <c:axId val="411745280"/>
        <c:scaling>
          <c:orientation val="minMax"/>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411742976"/>
        <c:crosses val="autoZero"/>
        <c:crossBetween val="between"/>
      </c:valAx>
    </c:plotArea>
    <c:legend>
      <c:legendPos val="r"/>
      <c:legendEntry>
        <c:idx val="0"/>
        <c:txPr>
          <a:bodyPr/>
          <a:lstStyle/>
          <a:p>
            <a:pPr>
              <a:defRPr sz="700"/>
            </a:pPr>
            <a:endParaRPr lang="en-US"/>
          </a:p>
        </c:txPr>
      </c:legendEntry>
      <c:legendEntry>
        <c:idx val="1"/>
        <c:txPr>
          <a:bodyPr/>
          <a:lstStyle/>
          <a:p>
            <a:pPr>
              <a:defRPr sz="700"/>
            </a:pPr>
            <a:endParaRPr lang="en-US"/>
          </a:p>
        </c:txPr>
      </c:legendEntry>
      <c:layout>
        <c:manualLayout>
          <c:xMode val="edge"/>
          <c:yMode val="edge"/>
          <c:x val="0.46943695479777953"/>
          <c:y val="3.7497916870570872E-2"/>
          <c:w val="0.5305630134730448"/>
          <c:h val="0.20967031095002911"/>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6.8013724846894136E-2"/>
          <c:y val="6.2453703703703713E-2"/>
          <c:w val="0.90911089238845144"/>
          <c:h val="0.74377762365196576"/>
        </c:manualLayout>
      </c:layout>
      <c:barChart>
        <c:barDir val="col"/>
        <c:grouping val="clustered"/>
        <c:varyColors val="0"/>
        <c:ser>
          <c:idx val="1"/>
          <c:order val="1"/>
          <c:tx>
            <c:strRef>
              <c:f>Summary!$C$119</c:f>
              <c:strCache>
                <c:ptCount val="1"/>
                <c:pt idx="0">
                  <c:v>24/25</c:v>
                </c:pt>
              </c:strCache>
            </c:strRef>
          </c:tx>
          <c:spPr>
            <a:solidFill>
              <a:srgbClr val="2C72B3"/>
            </a:solidFill>
            <a:ln w="19050"/>
          </c:spPr>
          <c:invertIfNegative val="0"/>
          <c:cat>
            <c:strRef>
              <c:f>Summary!$D$4:$R$4</c:f>
              <c:strCache>
                <c:ptCount val="14"/>
                <c:pt idx="0">
                  <c:v>Week 1</c:v>
                </c:pt>
                <c:pt idx="1">
                  <c:v>Week 2</c:v>
                </c:pt>
                <c:pt idx="2">
                  <c:v>Week 3</c:v>
                </c:pt>
                <c:pt idx="3">
                  <c:v>Week 4</c:v>
                </c:pt>
                <c:pt idx="4">
                  <c:v>Week 5</c:v>
                </c:pt>
                <c:pt idx="5">
                  <c:v>Week 6</c:v>
                </c:pt>
                <c:pt idx="6">
                  <c:v>Week 7</c:v>
                </c:pt>
                <c:pt idx="7">
                  <c:v>Week 8</c:v>
                </c:pt>
                <c:pt idx="8">
                  <c:v>Week 9</c:v>
                </c:pt>
                <c:pt idx="9">
                  <c:v>Week 10</c:v>
                </c:pt>
                <c:pt idx="10">
                  <c:v>Week 11</c:v>
                </c:pt>
                <c:pt idx="11">
                  <c:v>Week 12</c:v>
                </c:pt>
                <c:pt idx="12">
                  <c:v>Week 13</c:v>
                </c:pt>
                <c:pt idx="13">
                  <c:v>Week 14</c:v>
                </c:pt>
              </c:strCache>
            </c:strRef>
          </c:cat>
          <c:val>
            <c:numRef>
              <c:f>Summary!$D$119:$Q$119</c:f>
              <c:numCache>
                <c:formatCode>#,##0</c:formatCode>
                <c:ptCount val="14"/>
                <c:pt idx="0">
                  <c:v>908.42857142857144</c:v>
                </c:pt>
                <c:pt idx="1">
                  <c:v>1017.7142857142857</c:v>
                </c:pt>
                <c:pt idx="2">
                  <c:v>857.85714285714289</c:v>
                </c:pt>
                <c:pt idx="3">
                  <c:v>880.14285714285711</c:v>
                </c:pt>
                <c:pt idx="4">
                  <c:v>669.57142857142856</c:v>
                </c:pt>
                <c:pt idx="5">
                  <c:v>744.71428571428567</c:v>
                </c:pt>
                <c:pt idx="6">
                  <c:v>752.71428571428567</c:v>
                </c:pt>
                <c:pt idx="7">
                  <c:v>928.71428571428567</c:v>
                </c:pt>
                <c:pt idx="8">
                  <c:v>0</c:v>
                </c:pt>
                <c:pt idx="9">
                  <c:v>0</c:v>
                </c:pt>
                <c:pt idx="10">
                  <c:v>0</c:v>
                </c:pt>
                <c:pt idx="11">
                  <c:v>0</c:v>
                </c:pt>
                <c:pt idx="12">
                  <c:v>0</c:v>
                </c:pt>
                <c:pt idx="13">
                  <c:v>0</c:v>
                </c:pt>
              </c:numCache>
            </c:numRef>
          </c:val>
          <c:extLst>
            <c:ext xmlns:c16="http://schemas.microsoft.com/office/drawing/2014/chart" uri="{C3380CC4-5D6E-409C-BE32-E72D297353CC}">
              <c16:uniqueId val="{00000000-9037-4505-BD0F-368B2AB4986E}"/>
            </c:ext>
          </c:extLst>
        </c:ser>
        <c:dLbls>
          <c:showLegendKey val="0"/>
          <c:showVal val="0"/>
          <c:showCatName val="0"/>
          <c:showSerName val="0"/>
          <c:showPercent val="0"/>
          <c:showBubbleSize val="0"/>
        </c:dLbls>
        <c:gapWidth val="50"/>
        <c:axId val="411904640"/>
        <c:axId val="419249536"/>
      </c:barChart>
      <c:lineChart>
        <c:grouping val="standard"/>
        <c:varyColors val="0"/>
        <c:ser>
          <c:idx val="0"/>
          <c:order val="0"/>
          <c:tx>
            <c:strRef>
              <c:f>Summary!$C$117</c:f>
              <c:strCache>
                <c:ptCount val="1"/>
                <c:pt idx="0">
                  <c:v>23/24</c:v>
                </c:pt>
              </c:strCache>
            </c:strRef>
          </c:tx>
          <c:spPr>
            <a:ln w="25400">
              <a:solidFill>
                <a:srgbClr val="F79131"/>
              </a:solidFill>
              <a:prstDash val="solid"/>
            </a:ln>
          </c:spPr>
          <c:marker>
            <c:symbol val="none"/>
          </c:marker>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Summary!$D$117:$Q$117</c:f>
              <c:numCache>
                <c:formatCode>#,##0</c:formatCode>
                <c:ptCount val="14"/>
                <c:pt idx="0">
                  <c:v>498.85714285714283</c:v>
                </c:pt>
                <c:pt idx="1">
                  <c:v>625.57142857142856</c:v>
                </c:pt>
                <c:pt idx="2">
                  <c:v>696</c:v>
                </c:pt>
                <c:pt idx="3">
                  <c:v>581.28571428571433</c:v>
                </c:pt>
                <c:pt idx="4">
                  <c:v>485.85714285714283</c:v>
                </c:pt>
                <c:pt idx="5">
                  <c:v>539.71428571428567</c:v>
                </c:pt>
                <c:pt idx="6">
                  <c:v>586.14285714285711</c:v>
                </c:pt>
                <c:pt idx="7">
                  <c:v>549.42857142857144</c:v>
                </c:pt>
                <c:pt idx="8">
                  <c:v>798</c:v>
                </c:pt>
                <c:pt idx="9">
                  <c:v>687</c:v>
                </c:pt>
                <c:pt idx="10">
                  <c:v>688.71428571428567</c:v>
                </c:pt>
                <c:pt idx="11">
                  <c:v>607.14285714285711</c:v>
                </c:pt>
                <c:pt idx="12">
                  <c:v>573.57142857142856</c:v>
                </c:pt>
                <c:pt idx="13">
                  <c:v>577.57142857142856</c:v>
                </c:pt>
              </c:numCache>
            </c:numRef>
          </c:val>
          <c:smooth val="0"/>
          <c:extLst>
            <c:ext xmlns:c16="http://schemas.microsoft.com/office/drawing/2014/chart" uri="{C3380CC4-5D6E-409C-BE32-E72D297353CC}">
              <c16:uniqueId val="{00000001-9037-4505-BD0F-368B2AB4986E}"/>
            </c:ext>
          </c:extLst>
        </c:ser>
        <c:ser>
          <c:idx val="3"/>
          <c:order val="3"/>
          <c:tx>
            <c:v>22/23</c:v>
          </c:tx>
          <c:spPr>
            <a:ln>
              <a:solidFill>
                <a:srgbClr val="C00848"/>
              </a:solidFill>
              <a:prstDash val="sysDash"/>
            </a:ln>
          </c:spPr>
          <c:marker>
            <c:symbol val="none"/>
          </c:marker>
          <c:val>
            <c:numRef>
              <c:f>Summary!$D$116:$Q$116</c:f>
              <c:numCache>
                <c:formatCode>#,##0</c:formatCode>
                <c:ptCount val="14"/>
                <c:pt idx="0">
                  <c:v>376.14285714285717</c:v>
                </c:pt>
                <c:pt idx="1">
                  <c:v>460.71428571428572</c:v>
                </c:pt>
                <c:pt idx="2">
                  <c:v>432.14285714285717</c:v>
                </c:pt>
                <c:pt idx="3">
                  <c:v>336.57142857142856</c:v>
                </c:pt>
                <c:pt idx="4">
                  <c:v>391.28571428571428</c:v>
                </c:pt>
                <c:pt idx="5">
                  <c:v>512.71428571428567</c:v>
                </c:pt>
                <c:pt idx="6">
                  <c:v>417.28571428571428</c:v>
                </c:pt>
                <c:pt idx="7">
                  <c:v>473.42857142857144</c:v>
                </c:pt>
                <c:pt idx="8">
                  <c:v>495.42857142857144</c:v>
                </c:pt>
                <c:pt idx="9">
                  <c:v>914.85714285714289</c:v>
                </c:pt>
                <c:pt idx="10">
                  <c:v>896.42857142857144</c:v>
                </c:pt>
                <c:pt idx="11">
                  <c:v>820.85714285714289</c:v>
                </c:pt>
                <c:pt idx="12">
                  <c:v>709.85714285714289</c:v>
                </c:pt>
                <c:pt idx="13">
                  <c:v>720.14285714285711</c:v>
                </c:pt>
              </c:numCache>
            </c:numRef>
          </c:val>
          <c:smooth val="0"/>
          <c:extLst>
            <c:ext xmlns:c16="http://schemas.microsoft.com/office/drawing/2014/chart" uri="{C3380CC4-5D6E-409C-BE32-E72D297353CC}">
              <c16:uniqueId val="{00000000-5BBB-4F88-9D83-587189F76387}"/>
            </c:ext>
          </c:extLst>
        </c:ser>
        <c:dLbls>
          <c:showLegendKey val="0"/>
          <c:showVal val="0"/>
          <c:showCatName val="0"/>
          <c:showSerName val="0"/>
          <c:showPercent val="0"/>
          <c:showBubbleSize val="0"/>
        </c:dLbls>
        <c:marker val="1"/>
        <c:smooth val="0"/>
        <c:axId val="411904640"/>
        <c:axId val="419249536"/>
        <c:extLst>
          <c:ext xmlns:c15="http://schemas.microsoft.com/office/drawing/2012/chart" uri="{02D57815-91ED-43cb-92C2-25804820EDAC}">
            <c15:filteredLineSeries>
              <c15:ser>
                <c:idx val="2"/>
                <c:order val="2"/>
                <c:tx>
                  <c:v>20/21</c:v>
                </c:tx>
                <c:spPr>
                  <a:ln w="25400">
                    <a:solidFill>
                      <a:srgbClr val="00A89C"/>
                    </a:solidFill>
                    <a:prstDash val="sysDot"/>
                  </a:ln>
                </c:spPr>
                <c:marker>
                  <c:symbol val="none"/>
                </c:marker>
                <c:val>
                  <c:numRef>
                    <c:extLst>
                      <c:ext uri="{02D57815-91ED-43cb-92C2-25804820EDAC}">
                        <c15:formulaRef>
                          <c15:sqref>Summary!$D$116:$P$116</c15:sqref>
                        </c15:formulaRef>
                      </c:ext>
                    </c:extLst>
                    <c:numCache>
                      <c:formatCode>#,##0</c:formatCode>
                      <c:ptCount val="13"/>
                      <c:pt idx="0">
                        <c:v>376.14285714285717</c:v>
                      </c:pt>
                      <c:pt idx="1">
                        <c:v>460.71428571428572</c:v>
                      </c:pt>
                      <c:pt idx="2">
                        <c:v>432.14285714285717</c:v>
                      </c:pt>
                      <c:pt idx="3">
                        <c:v>336.57142857142856</c:v>
                      </c:pt>
                      <c:pt idx="4">
                        <c:v>391.28571428571428</c:v>
                      </c:pt>
                      <c:pt idx="5">
                        <c:v>512.71428571428567</c:v>
                      </c:pt>
                      <c:pt idx="6">
                        <c:v>417.28571428571428</c:v>
                      </c:pt>
                      <c:pt idx="7">
                        <c:v>473.42857142857144</c:v>
                      </c:pt>
                      <c:pt idx="8">
                        <c:v>495.42857142857144</c:v>
                      </c:pt>
                      <c:pt idx="9">
                        <c:v>914.85714285714289</c:v>
                      </c:pt>
                      <c:pt idx="10">
                        <c:v>896.42857142857144</c:v>
                      </c:pt>
                      <c:pt idx="11">
                        <c:v>820.85714285714289</c:v>
                      </c:pt>
                      <c:pt idx="12">
                        <c:v>709.85714285714289</c:v>
                      </c:pt>
                    </c:numCache>
                  </c:numRef>
                </c:val>
                <c:smooth val="0"/>
                <c:extLst>
                  <c:ext xmlns:c16="http://schemas.microsoft.com/office/drawing/2014/chart" uri="{C3380CC4-5D6E-409C-BE32-E72D297353CC}">
                    <c16:uniqueId val="{00000002-9037-4505-BD0F-368B2AB4986E}"/>
                  </c:ext>
                </c:extLst>
              </c15:ser>
            </c15:filteredLineSeries>
          </c:ext>
        </c:extLst>
      </c:lineChart>
      <c:catAx>
        <c:axId val="411904640"/>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419249536"/>
        <c:crosses val="autoZero"/>
        <c:auto val="1"/>
        <c:lblAlgn val="ctr"/>
        <c:lblOffset val="100"/>
        <c:noMultiLvlLbl val="0"/>
      </c:catAx>
      <c:valAx>
        <c:axId val="419249536"/>
        <c:scaling>
          <c:orientation val="minMax"/>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411904640"/>
        <c:crosses val="autoZero"/>
        <c:crossBetween val="between"/>
      </c:valAx>
    </c:plotArea>
    <c:legend>
      <c:legendPos val="r"/>
      <c:layout>
        <c:manualLayout>
          <c:xMode val="edge"/>
          <c:yMode val="edge"/>
          <c:x val="0.41263573085846866"/>
          <c:y val="2.0904295403165137E-3"/>
          <c:w val="0.58736436812449688"/>
          <c:h val="8.6289605567961988E-2"/>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6.8013724846894136E-2"/>
          <c:y val="6.2453703703703713E-2"/>
          <c:w val="0.90911089238845144"/>
          <c:h val="0.74377762365196576"/>
        </c:manualLayout>
      </c:layout>
      <c:barChart>
        <c:barDir val="col"/>
        <c:grouping val="clustered"/>
        <c:varyColors val="0"/>
        <c:ser>
          <c:idx val="1"/>
          <c:order val="1"/>
          <c:tx>
            <c:strRef>
              <c:f>Summary!$C$135</c:f>
              <c:strCache>
                <c:ptCount val="1"/>
                <c:pt idx="0">
                  <c:v>24/25</c:v>
                </c:pt>
              </c:strCache>
            </c:strRef>
          </c:tx>
          <c:spPr>
            <a:solidFill>
              <a:srgbClr val="2C72B3"/>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Summary!$D$135:$Q$135</c:f>
              <c:numCache>
                <c:formatCode>0</c:formatCode>
                <c:ptCount val="14"/>
                <c:pt idx="0">
                  <c:v>152</c:v>
                </c:pt>
                <c:pt idx="1">
                  <c:v>181.14285714285714</c:v>
                </c:pt>
                <c:pt idx="2">
                  <c:v>146.85714285714286</c:v>
                </c:pt>
                <c:pt idx="3">
                  <c:v>156.85714285714286</c:v>
                </c:pt>
                <c:pt idx="4">
                  <c:v>141.42857142857142</c:v>
                </c:pt>
                <c:pt idx="5">
                  <c:v>208.28571428571428</c:v>
                </c:pt>
                <c:pt idx="6">
                  <c:v>102.71428571428571</c:v>
                </c:pt>
                <c:pt idx="7">
                  <c:v>145.14285714285714</c:v>
                </c:pt>
                <c:pt idx="8">
                  <c:v>0</c:v>
                </c:pt>
                <c:pt idx="9">
                  <c:v>0</c:v>
                </c:pt>
                <c:pt idx="10">
                  <c:v>0</c:v>
                </c:pt>
                <c:pt idx="11">
                  <c:v>0</c:v>
                </c:pt>
                <c:pt idx="12">
                  <c:v>0</c:v>
                </c:pt>
                <c:pt idx="13">
                  <c:v>0</c:v>
                </c:pt>
              </c:numCache>
            </c:numRef>
          </c:val>
          <c:extLst>
            <c:ext xmlns:c16="http://schemas.microsoft.com/office/drawing/2014/chart" uri="{C3380CC4-5D6E-409C-BE32-E72D297353CC}">
              <c16:uniqueId val="{00000000-EEA5-4AA1-BEB7-917B449FC105}"/>
            </c:ext>
          </c:extLst>
        </c:ser>
        <c:dLbls>
          <c:showLegendKey val="0"/>
          <c:showVal val="0"/>
          <c:showCatName val="0"/>
          <c:showSerName val="0"/>
          <c:showPercent val="0"/>
          <c:showBubbleSize val="0"/>
        </c:dLbls>
        <c:gapWidth val="50"/>
        <c:axId val="435401088"/>
        <c:axId val="435403392"/>
      </c:barChart>
      <c:lineChart>
        <c:grouping val="standard"/>
        <c:varyColors val="0"/>
        <c:ser>
          <c:idx val="0"/>
          <c:order val="0"/>
          <c:tx>
            <c:strRef>
              <c:f>Summary!$C$133</c:f>
              <c:strCache>
                <c:ptCount val="1"/>
                <c:pt idx="0">
                  <c:v>23/24</c:v>
                </c:pt>
              </c:strCache>
            </c:strRef>
          </c:tx>
          <c:spPr>
            <a:ln w="25400">
              <a:solidFill>
                <a:srgbClr val="F79131"/>
              </a:solidFill>
              <a:prstDash val="solid"/>
            </a:ln>
          </c:spPr>
          <c:marker>
            <c:symbol val="none"/>
          </c:marker>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Summary!$D$133:$Q$133</c:f>
              <c:numCache>
                <c:formatCode>0</c:formatCode>
                <c:ptCount val="14"/>
                <c:pt idx="0">
                  <c:v>92.285714285714292</c:v>
                </c:pt>
                <c:pt idx="1">
                  <c:v>114.71428571428571</c:v>
                </c:pt>
                <c:pt idx="2">
                  <c:v>126</c:v>
                </c:pt>
                <c:pt idx="3">
                  <c:v>129.14285714285714</c:v>
                </c:pt>
                <c:pt idx="4">
                  <c:v>108.71428571428571</c:v>
                </c:pt>
                <c:pt idx="5">
                  <c:v>115.71428571428571</c:v>
                </c:pt>
                <c:pt idx="6">
                  <c:v>134</c:v>
                </c:pt>
                <c:pt idx="7">
                  <c:v>111</c:v>
                </c:pt>
                <c:pt idx="8">
                  <c:v>109.85714285714286</c:v>
                </c:pt>
                <c:pt idx="9">
                  <c:v>116.85714285714286</c:v>
                </c:pt>
                <c:pt idx="10">
                  <c:v>124.14285714285714</c:v>
                </c:pt>
                <c:pt idx="11">
                  <c:v>98.142857142857139</c:v>
                </c:pt>
                <c:pt idx="12">
                  <c:v>104.71428571428571</c:v>
                </c:pt>
                <c:pt idx="13">
                  <c:v>107.57142857142857</c:v>
                </c:pt>
              </c:numCache>
            </c:numRef>
          </c:val>
          <c:smooth val="0"/>
          <c:extLst>
            <c:ext xmlns:c16="http://schemas.microsoft.com/office/drawing/2014/chart" uri="{C3380CC4-5D6E-409C-BE32-E72D297353CC}">
              <c16:uniqueId val="{00000001-EEA5-4AA1-BEB7-917B449FC105}"/>
            </c:ext>
          </c:extLst>
        </c:ser>
        <c:ser>
          <c:idx val="3"/>
          <c:order val="3"/>
          <c:tx>
            <c:v>22/23</c:v>
          </c:tx>
          <c:spPr>
            <a:ln>
              <a:solidFill>
                <a:srgbClr val="C00848"/>
              </a:solidFill>
              <a:prstDash val="sysDash"/>
            </a:ln>
          </c:spPr>
          <c:marker>
            <c:symbol val="none"/>
          </c:marker>
          <c:val>
            <c:numRef>
              <c:f>Summary!$D$132:$Q$132</c:f>
              <c:numCache>
                <c:formatCode>0</c:formatCode>
                <c:ptCount val="14"/>
                <c:pt idx="0">
                  <c:v>56.571428571428569</c:v>
                </c:pt>
                <c:pt idx="1">
                  <c:v>70.571428571428569</c:v>
                </c:pt>
                <c:pt idx="2">
                  <c:v>65.142857142857139</c:v>
                </c:pt>
                <c:pt idx="3">
                  <c:v>55.428571428571431</c:v>
                </c:pt>
                <c:pt idx="4">
                  <c:v>53.428571428571431</c:v>
                </c:pt>
                <c:pt idx="5">
                  <c:v>77.428571428571431</c:v>
                </c:pt>
                <c:pt idx="6">
                  <c:v>73.142857142857139</c:v>
                </c:pt>
                <c:pt idx="7">
                  <c:v>100.14285714285714</c:v>
                </c:pt>
                <c:pt idx="8">
                  <c:v>100.71428571428571</c:v>
                </c:pt>
                <c:pt idx="9">
                  <c:v>165.28571428571428</c:v>
                </c:pt>
                <c:pt idx="10">
                  <c:v>186.85714285714286</c:v>
                </c:pt>
                <c:pt idx="11">
                  <c:v>191.42857142857142</c:v>
                </c:pt>
                <c:pt idx="12">
                  <c:v>160.57142857142858</c:v>
                </c:pt>
                <c:pt idx="13">
                  <c:v>151.71428571428572</c:v>
                </c:pt>
              </c:numCache>
            </c:numRef>
          </c:val>
          <c:smooth val="0"/>
          <c:extLst>
            <c:ext xmlns:c16="http://schemas.microsoft.com/office/drawing/2014/chart" uri="{C3380CC4-5D6E-409C-BE32-E72D297353CC}">
              <c16:uniqueId val="{00000000-EC5D-40C0-894E-32D14C924667}"/>
            </c:ext>
          </c:extLst>
        </c:ser>
        <c:dLbls>
          <c:showLegendKey val="0"/>
          <c:showVal val="0"/>
          <c:showCatName val="0"/>
          <c:showSerName val="0"/>
          <c:showPercent val="0"/>
          <c:showBubbleSize val="0"/>
        </c:dLbls>
        <c:marker val="1"/>
        <c:smooth val="0"/>
        <c:axId val="435401088"/>
        <c:axId val="435403392"/>
        <c:extLst>
          <c:ext xmlns:c15="http://schemas.microsoft.com/office/drawing/2012/chart" uri="{02D57815-91ED-43cb-92C2-25804820EDAC}">
            <c15:filteredLineSeries>
              <c15:ser>
                <c:idx val="2"/>
                <c:order val="2"/>
                <c:tx>
                  <c:v>20/21</c:v>
                </c:tx>
                <c:spPr>
                  <a:ln w="25400">
                    <a:solidFill>
                      <a:srgbClr val="00A89C"/>
                    </a:solidFill>
                    <a:prstDash val="sysDot"/>
                  </a:ln>
                </c:spPr>
                <c:marker>
                  <c:symbol val="none"/>
                </c:marker>
                <c:val>
                  <c:numRef>
                    <c:extLst>
                      <c:ext uri="{02D57815-91ED-43cb-92C2-25804820EDAC}">
                        <c15:formulaRef>
                          <c15:sqref>Summary!$D$132:$P$132</c15:sqref>
                        </c15:formulaRef>
                      </c:ext>
                    </c:extLst>
                    <c:numCache>
                      <c:formatCode>0</c:formatCode>
                      <c:ptCount val="13"/>
                      <c:pt idx="0">
                        <c:v>56.571428571428569</c:v>
                      </c:pt>
                      <c:pt idx="1">
                        <c:v>70.571428571428569</c:v>
                      </c:pt>
                      <c:pt idx="2">
                        <c:v>65.142857142857139</c:v>
                      </c:pt>
                      <c:pt idx="3">
                        <c:v>55.428571428571431</c:v>
                      </c:pt>
                      <c:pt idx="4">
                        <c:v>53.428571428571431</c:v>
                      </c:pt>
                      <c:pt idx="5">
                        <c:v>77.428571428571431</c:v>
                      </c:pt>
                      <c:pt idx="6">
                        <c:v>73.142857142857139</c:v>
                      </c:pt>
                      <c:pt idx="7">
                        <c:v>100.14285714285714</c:v>
                      </c:pt>
                      <c:pt idx="8">
                        <c:v>100.71428571428571</c:v>
                      </c:pt>
                      <c:pt idx="9">
                        <c:v>165.28571428571428</c:v>
                      </c:pt>
                      <c:pt idx="10">
                        <c:v>186.85714285714286</c:v>
                      </c:pt>
                      <c:pt idx="11">
                        <c:v>191.42857142857142</c:v>
                      </c:pt>
                      <c:pt idx="12">
                        <c:v>160.57142857142858</c:v>
                      </c:pt>
                    </c:numCache>
                  </c:numRef>
                </c:val>
                <c:smooth val="0"/>
                <c:extLst>
                  <c:ext xmlns:c16="http://schemas.microsoft.com/office/drawing/2014/chart" uri="{C3380CC4-5D6E-409C-BE32-E72D297353CC}">
                    <c16:uniqueId val="{00000002-EEA5-4AA1-BEB7-917B449FC105}"/>
                  </c:ext>
                </c:extLst>
              </c15:ser>
            </c15:filteredLineSeries>
          </c:ext>
        </c:extLst>
      </c:lineChart>
      <c:catAx>
        <c:axId val="435401088"/>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435403392"/>
        <c:crosses val="autoZero"/>
        <c:auto val="1"/>
        <c:lblAlgn val="ctr"/>
        <c:lblOffset val="100"/>
        <c:noMultiLvlLbl val="0"/>
      </c:catAx>
      <c:valAx>
        <c:axId val="435403392"/>
        <c:scaling>
          <c:orientation val="minMax"/>
          <c:min val="0"/>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435401088"/>
        <c:crosses val="autoZero"/>
        <c:crossBetween val="between"/>
      </c:valAx>
    </c:plotArea>
    <c:legend>
      <c:legendPos val="r"/>
      <c:layout>
        <c:manualLayout>
          <c:xMode val="edge"/>
          <c:yMode val="edge"/>
          <c:x val="0.47451480824348302"/>
          <c:y val="2.4626978146194732E-3"/>
          <c:w val="0.52548529033233282"/>
          <c:h val="0.14198308659414494"/>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a:lstStyle/>
          <a:p>
            <a:pPr>
              <a:defRPr/>
            </a:pPr>
            <a:r>
              <a:rPr lang="en-GB" sz="900">
                <a:latin typeface="+mn-lt"/>
              </a:rPr>
              <a:t>Adult</a:t>
            </a:r>
            <a:r>
              <a:rPr lang="en-GB" sz="900" baseline="0">
                <a:latin typeface="+mn-lt"/>
              </a:rPr>
              <a:t> critical care occupancy</a:t>
            </a:r>
            <a:endParaRPr lang="en-GB" sz="900">
              <a:latin typeface="+mn-lt"/>
            </a:endParaRPr>
          </a:p>
        </c:rich>
      </c:tx>
      <c:layout>
        <c:manualLayout>
          <c:xMode val="edge"/>
          <c:yMode val="edge"/>
          <c:x val="0.12913115872799238"/>
          <c:y val="3.2131562302340294E-2"/>
        </c:manualLayout>
      </c:layout>
      <c:overlay val="1"/>
    </c:title>
    <c:autoTitleDeleted val="0"/>
    <c:plotArea>
      <c:layout>
        <c:manualLayout>
          <c:layoutTarget val="inner"/>
          <c:xMode val="edge"/>
          <c:yMode val="edge"/>
          <c:x val="9.6666848642009001E-2"/>
          <c:y val="4.6387940122285476E-2"/>
          <c:w val="0.90911089238845144"/>
          <c:h val="0.74377762365196576"/>
        </c:manualLayout>
      </c:layout>
      <c:barChart>
        <c:barDir val="col"/>
        <c:grouping val="clustered"/>
        <c:varyColors val="0"/>
        <c:ser>
          <c:idx val="1"/>
          <c:order val="1"/>
          <c:tx>
            <c:strRef>
              <c:f>Summary!$C$151</c:f>
              <c:strCache>
                <c:ptCount val="1"/>
                <c:pt idx="0">
                  <c:v>24/25</c:v>
                </c:pt>
              </c:strCache>
            </c:strRef>
          </c:tx>
          <c:spPr>
            <a:solidFill>
              <a:srgbClr val="2C72B3"/>
            </a:solidFill>
            <a:ln w="19050"/>
          </c:spPr>
          <c:invertIfNegative val="0"/>
          <c:cat>
            <c:strRef>
              <c:f>Summary!$D$4:$R$4</c:f>
              <c:strCache>
                <c:ptCount val="14"/>
                <c:pt idx="0">
                  <c:v>Week 1</c:v>
                </c:pt>
                <c:pt idx="1">
                  <c:v>Week 2</c:v>
                </c:pt>
                <c:pt idx="2">
                  <c:v>Week 3</c:v>
                </c:pt>
                <c:pt idx="3">
                  <c:v>Week 4</c:v>
                </c:pt>
                <c:pt idx="4">
                  <c:v>Week 5</c:v>
                </c:pt>
                <c:pt idx="5">
                  <c:v>Week 6</c:v>
                </c:pt>
                <c:pt idx="6">
                  <c:v>Week 7</c:v>
                </c:pt>
                <c:pt idx="7">
                  <c:v>Week 8</c:v>
                </c:pt>
                <c:pt idx="8">
                  <c:v>Week 9</c:v>
                </c:pt>
                <c:pt idx="9">
                  <c:v>Week 10</c:v>
                </c:pt>
                <c:pt idx="10">
                  <c:v>Week 11</c:v>
                </c:pt>
                <c:pt idx="11">
                  <c:v>Week 12</c:v>
                </c:pt>
                <c:pt idx="12">
                  <c:v>Week 13</c:v>
                </c:pt>
                <c:pt idx="13">
                  <c:v>Week 14</c:v>
                </c:pt>
              </c:strCache>
            </c:strRef>
          </c:cat>
          <c:val>
            <c:numRef>
              <c:f>Summary!$D$151:$Q$151</c:f>
              <c:numCache>
                <c:formatCode>0.0%</c:formatCode>
                <c:ptCount val="14"/>
                <c:pt idx="0">
                  <c:v>0.81032092604145001</c:v>
                </c:pt>
                <c:pt idx="1">
                  <c:v>0.8122512545423084</c:v>
                </c:pt>
                <c:pt idx="2">
                  <c:v>0.81234013135153815</c:v>
                </c:pt>
                <c:pt idx="3">
                  <c:v>0.81154230226231883</c:v>
                </c:pt>
                <c:pt idx="4">
                  <c:v>0.77247681303261573</c:v>
                </c:pt>
                <c:pt idx="5">
                  <c:v>0.81202356202356207</c:v>
                </c:pt>
                <c:pt idx="6">
                  <c:v>0.83891492491362496</c:v>
                </c:pt>
                <c:pt idx="7">
                  <c:v>0.83017500258879573</c:v>
                </c:pt>
                <c:pt idx="8">
                  <c:v>0</c:v>
                </c:pt>
                <c:pt idx="9">
                  <c:v>0</c:v>
                </c:pt>
                <c:pt idx="10">
                  <c:v>0</c:v>
                </c:pt>
                <c:pt idx="11">
                  <c:v>0</c:v>
                </c:pt>
                <c:pt idx="12">
                  <c:v>0</c:v>
                </c:pt>
                <c:pt idx="13">
                  <c:v>0</c:v>
                </c:pt>
              </c:numCache>
            </c:numRef>
          </c:val>
          <c:extLst>
            <c:ext xmlns:c16="http://schemas.microsoft.com/office/drawing/2014/chart" uri="{C3380CC4-5D6E-409C-BE32-E72D297353CC}">
              <c16:uniqueId val="{00000000-588D-4AA4-834F-66BA975794EC}"/>
            </c:ext>
          </c:extLst>
        </c:ser>
        <c:dLbls>
          <c:showLegendKey val="0"/>
          <c:showVal val="0"/>
          <c:showCatName val="0"/>
          <c:showSerName val="0"/>
          <c:showPercent val="0"/>
          <c:showBubbleSize val="0"/>
        </c:dLbls>
        <c:gapWidth val="50"/>
        <c:axId val="459632640"/>
        <c:axId val="459635712"/>
      </c:barChart>
      <c:lineChart>
        <c:grouping val="standard"/>
        <c:varyColors val="0"/>
        <c:ser>
          <c:idx val="0"/>
          <c:order val="0"/>
          <c:tx>
            <c:strRef>
              <c:f>Summary!$C$149</c:f>
              <c:strCache>
                <c:ptCount val="1"/>
                <c:pt idx="0">
                  <c:v>23/24</c:v>
                </c:pt>
              </c:strCache>
            </c:strRef>
          </c:tx>
          <c:spPr>
            <a:ln w="25400">
              <a:solidFill>
                <a:srgbClr val="F79131"/>
              </a:solidFill>
              <a:prstDash val="solid"/>
            </a:ln>
          </c:spPr>
          <c:marker>
            <c:symbol val="none"/>
          </c:marker>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Summary!$D$149:$Q$149</c:f>
              <c:numCache>
                <c:formatCode>0.0%</c:formatCode>
                <c:ptCount val="14"/>
                <c:pt idx="0">
                  <c:v>0.80146899196758081</c:v>
                </c:pt>
                <c:pt idx="1">
                  <c:v>0.81689583183356129</c:v>
                </c:pt>
                <c:pt idx="2">
                  <c:v>0.81565078326609242</c:v>
                </c:pt>
                <c:pt idx="3">
                  <c:v>0.77576879787967901</c:v>
                </c:pt>
                <c:pt idx="4">
                  <c:v>0.74938556912805843</c:v>
                </c:pt>
                <c:pt idx="5">
                  <c:v>0.79578383077368875</c:v>
                </c:pt>
                <c:pt idx="6">
                  <c:v>0.79008578915251804</c:v>
                </c:pt>
                <c:pt idx="7">
                  <c:v>0.80306986591390261</c:v>
                </c:pt>
                <c:pt idx="8">
                  <c:v>0.82596978937664001</c:v>
                </c:pt>
                <c:pt idx="9">
                  <c:v>0.82220408742548967</c:v>
                </c:pt>
                <c:pt idx="10">
                  <c:v>0.81413976006550137</c:v>
                </c:pt>
                <c:pt idx="11">
                  <c:v>0.80189488737933501</c:v>
                </c:pt>
                <c:pt idx="12">
                  <c:v>0.79696991352819269</c:v>
                </c:pt>
                <c:pt idx="13">
                  <c:v>0.78052805280528048</c:v>
                </c:pt>
              </c:numCache>
            </c:numRef>
          </c:val>
          <c:smooth val="0"/>
          <c:extLst>
            <c:ext xmlns:c16="http://schemas.microsoft.com/office/drawing/2014/chart" uri="{C3380CC4-5D6E-409C-BE32-E72D297353CC}">
              <c16:uniqueId val="{00000001-588D-4AA4-834F-66BA975794EC}"/>
            </c:ext>
          </c:extLst>
        </c:ser>
        <c:ser>
          <c:idx val="2"/>
          <c:order val="3"/>
          <c:tx>
            <c:v>22/23</c:v>
          </c:tx>
          <c:spPr>
            <a:ln>
              <a:solidFill>
                <a:srgbClr val="C00848"/>
              </a:solidFill>
              <a:prstDash val="sysDash"/>
            </a:ln>
          </c:spPr>
          <c:marker>
            <c:symbol val="none"/>
          </c:marker>
          <c:val>
            <c:numRef>
              <c:f>Summary!$D$148:$Q$148</c:f>
              <c:numCache>
                <c:formatCode>0.0%</c:formatCode>
                <c:ptCount val="14"/>
                <c:pt idx="0">
                  <c:v>0.80148998360305124</c:v>
                </c:pt>
                <c:pt idx="1">
                  <c:v>0.80061741537151376</c:v>
                </c:pt>
                <c:pt idx="2">
                  <c:v>0.81599744834674137</c:v>
                </c:pt>
                <c:pt idx="3">
                  <c:v>0.81700912839671513</c:v>
                </c:pt>
                <c:pt idx="4">
                  <c:v>0.81488293131498901</c:v>
                </c:pt>
                <c:pt idx="5">
                  <c:v>0.83364700961940608</c:v>
                </c:pt>
                <c:pt idx="6">
                  <c:v>0.82610825373499874</c:v>
                </c:pt>
                <c:pt idx="7">
                  <c:v>0.80556045584447655</c:v>
                </c:pt>
                <c:pt idx="8">
                  <c:v>0.79330106072470985</c:v>
                </c:pt>
                <c:pt idx="9">
                  <c:v>0.79384484167880875</c:v>
                </c:pt>
                <c:pt idx="10">
                  <c:v>0.78028512071065259</c:v>
                </c:pt>
                <c:pt idx="11">
                  <c:v>0.77699045719982907</c:v>
                </c:pt>
                <c:pt idx="12">
                  <c:v>0.7837009585575313</c:v>
                </c:pt>
                <c:pt idx="13">
                  <c:v>0.78729784727428509</c:v>
                </c:pt>
              </c:numCache>
            </c:numRef>
          </c:val>
          <c:smooth val="0"/>
          <c:extLst>
            <c:ext xmlns:c16="http://schemas.microsoft.com/office/drawing/2014/chart" uri="{C3380CC4-5D6E-409C-BE32-E72D297353CC}">
              <c16:uniqueId val="{00000000-CD7F-47C6-81F4-086F3FD965D7}"/>
            </c:ext>
          </c:extLst>
        </c:ser>
        <c:dLbls>
          <c:showLegendKey val="0"/>
          <c:showVal val="0"/>
          <c:showCatName val="0"/>
          <c:showSerName val="0"/>
          <c:showPercent val="0"/>
          <c:showBubbleSize val="0"/>
        </c:dLbls>
        <c:marker val="1"/>
        <c:smooth val="0"/>
        <c:axId val="459632640"/>
        <c:axId val="459635712"/>
        <c:extLst>
          <c:ext xmlns:c15="http://schemas.microsoft.com/office/drawing/2012/chart" uri="{02D57815-91ED-43cb-92C2-25804820EDAC}">
            <c15:filteredLineSeries>
              <c15:ser>
                <c:idx val="3"/>
                <c:order val="2"/>
                <c:tx>
                  <c:v>20/21</c:v>
                </c:tx>
                <c:spPr>
                  <a:ln w="25400">
                    <a:solidFill>
                      <a:srgbClr val="00A89C"/>
                    </a:solidFill>
                    <a:prstDash val="sysDot"/>
                  </a:ln>
                </c:spPr>
                <c:marker>
                  <c:symbol val="none"/>
                </c:marker>
                <c:val>
                  <c:numRef>
                    <c:extLst>
                      <c:ext uri="{02D57815-91ED-43cb-92C2-25804820EDAC}">
                        <c15:formulaRef>
                          <c15:sqref>Summary!$D$148:$P$148</c15:sqref>
                        </c15:formulaRef>
                      </c:ext>
                    </c:extLst>
                    <c:numCache>
                      <c:formatCode>0.0%</c:formatCode>
                      <c:ptCount val="13"/>
                      <c:pt idx="0">
                        <c:v>0.80148998360305124</c:v>
                      </c:pt>
                      <c:pt idx="1">
                        <c:v>0.80061741537151376</c:v>
                      </c:pt>
                      <c:pt idx="2">
                        <c:v>0.81599744834674137</c:v>
                      </c:pt>
                      <c:pt idx="3">
                        <c:v>0.81700912839671513</c:v>
                      </c:pt>
                      <c:pt idx="4">
                        <c:v>0.81488293131498901</c:v>
                      </c:pt>
                      <c:pt idx="5">
                        <c:v>0.83364700961940608</c:v>
                      </c:pt>
                      <c:pt idx="6">
                        <c:v>0.82610825373499874</c:v>
                      </c:pt>
                      <c:pt idx="7">
                        <c:v>0.80556045584447655</c:v>
                      </c:pt>
                      <c:pt idx="8">
                        <c:v>0.79330106072470985</c:v>
                      </c:pt>
                      <c:pt idx="9">
                        <c:v>0.79384484167880875</c:v>
                      </c:pt>
                      <c:pt idx="10">
                        <c:v>0.78028512071065259</c:v>
                      </c:pt>
                      <c:pt idx="11">
                        <c:v>0.77699045719982907</c:v>
                      </c:pt>
                      <c:pt idx="12">
                        <c:v>0.7837009585575313</c:v>
                      </c:pt>
                    </c:numCache>
                  </c:numRef>
                </c:val>
                <c:smooth val="0"/>
                <c:extLst>
                  <c:ext xmlns:c16="http://schemas.microsoft.com/office/drawing/2014/chart" uri="{C3380CC4-5D6E-409C-BE32-E72D297353CC}">
                    <c16:uniqueId val="{00000002-588D-4AA4-834F-66BA975794EC}"/>
                  </c:ext>
                </c:extLst>
              </c15:ser>
            </c15:filteredLineSeries>
          </c:ext>
        </c:extLst>
      </c:lineChart>
      <c:catAx>
        <c:axId val="459632640"/>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459635712"/>
        <c:crosses val="autoZero"/>
        <c:auto val="1"/>
        <c:lblAlgn val="ctr"/>
        <c:lblOffset val="100"/>
        <c:noMultiLvlLbl val="0"/>
      </c:catAx>
      <c:valAx>
        <c:axId val="459635712"/>
        <c:scaling>
          <c:orientation val="minMax"/>
          <c:max val="1"/>
          <c:min val="0.5"/>
        </c:scaling>
        <c:delete val="0"/>
        <c:axPos val="l"/>
        <c:numFmt formatCode="0%" sourceLinked="0"/>
        <c:majorTickMark val="out"/>
        <c:minorTickMark val="none"/>
        <c:tickLblPos val="nextTo"/>
        <c:spPr>
          <a:ln w="50800">
            <a:solidFill>
              <a:srgbClr val="CED8DD"/>
            </a:solidFill>
          </a:ln>
        </c:spPr>
        <c:txPr>
          <a:bodyPr/>
          <a:lstStyle/>
          <a:p>
            <a:pPr>
              <a:defRPr sz="800" b="1"/>
            </a:pPr>
            <a:endParaRPr lang="en-US"/>
          </a:p>
        </c:txPr>
        <c:crossAx val="459632640"/>
        <c:crosses val="autoZero"/>
        <c:crossBetween val="between"/>
        <c:majorUnit val="0.1"/>
      </c:valAx>
    </c:plotArea>
    <c:legend>
      <c:legendPos val="r"/>
      <c:layout>
        <c:manualLayout>
          <c:xMode val="edge"/>
          <c:yMode val="edge"/>
          <c:x val="0.52495170378320355"/>
          <c:y val="2.3938708867119176E-3"/>
          <c:w val="0.47504829621679634"/>
          <c:h val="0.12513006061955834"/>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a:lstStyle/>
          <a:p>
            <a:pPr>
              <a:defRPr sz="900"/>
            </a:pPr>
            <a:r>
              <a:rPr lang="en-GB" sz="900">
                <a:latin typeface="+mn-lt"/>
              </a:rPr>
              <a:t>Paediatric</a:t>
            </a:r>
            <a:r>
              <a:rPr lang="en-GB" sz="900" baseline="0">
                <a:latin typeface="+mn-lt"/>
              </a:rPr>
              <a:t> intensive care occupancy</a:t>
            </a:r>
          </a:p>
        </c:rich>
      </c:tx>
      <c:layout>
        <c:manualLayout>
          <c:xMode val="edge"/>
          <c:yMode val="edge"/>
          <c:x val="0.11973659069196126"/>
          <c:y val="4.5554473265940879E-2"/>
        </c:manualLayout>
      </c:layout>
      <c:overlay val="1"/>
    </c:title>
    <c:autoTitleDeleted val="0"/>
    <c:plotArea>
      <c:layout>
        <c:manualLayout>
          <c:layoutTarget val="inner"/>
          <c:xMode val="edge"/>
          <c:yMode val="edge"/>
          <c:x val="6.8013724846894136E-2"/>
          <c:y val="6.2453703703703713E-2"/>
          <c:w val="0.90911089238845144"/>
          <c:h val="0.74377762365196576"/>
        </c:manualLayout>
      </c:layout>
      <c:barChart>
        <c:barDir val="col"/>
        <c:grouping val="clustered"/>
        <c:varyColors val="0"/>
        <c:ser>
          <c:idx val="1"/>
          <c:order val="1"/>
          <c:tx>
            <c:strRef>
              <c:f>Summary!$C$175</c:f>
              <c:strCache>
                <c:ptCount val="1"/>
                <c:pt idx="0">
                  <c:v>24/25</c:v>
                </c:pt>
              </c:strCache>
            </c:strRef>
          </c:tx>
          <c:spPr>
            <a:solidFill>
              <a:srgbClr val="2C72B3"/>
            </a:solidFill>
            <a:ln w="19050"/>
          </c:spPr>
          <c:invertIfNegative val="0"/>
          <c:cat>
            <c:numRef>
              <c:f>Summary!$D$5:$P$5</c:f>
              <c:numCache>
                <c:formatCode>General</c:formatCode>
                <c:ptCount val="13"/>
                <c:pt idx="0">
                  <c:v>1</c:v>
                </c:pt>
                <c:pt idx="1">
                  <c:v>2</c:v>
                </c:pt>
                <c:pt idx="2">
                  <c:v>3</c:v>
                </c:pt>
                <c:pt idx="3">
                  <c:v>4</c:v>
                </c:pt>
                <c:pt idx="4">
                  <c:v>5</c:v>
                </c:pt>
                <c:pt idx="5">
                  <c:v>6</c:v>
                </c:pt>
                <c:pt idx="6">
                  <c:v>7</c:v>
                </c:pt>
                <c:pt idx="7">
                  <c:v>8</c:v>
                </c:pt>
                <c:pt idx="8">
                  <c:v>9</c:v>
                </c:pt>
                <c:pt idx="9">
                  <c:v>10</c:v>
                </c:pt>
                <c:pt idx="10">
                  <c:v>11</c:v>
                </c:pt>
                <c:pt idx="11">
                  <c:v>12</c:v>
                </c:pt>
                <c:pt idx="12">
                  <c:v>13</c:v>
                </c:pt>
              </c:numCache>
            </c:numRef>
          </c:cat>
          <c:val>
            <c:numRef>
              <c:f>Summary!$D$175:$Q$175</c:f>
              <c:numCache>
                <c:formatCode>0.0%</c:formatCode>
                <c:ptCount val="14"/>
                <c:pt idx="0">
                  <c:v>0.86075471698113204</c:v>
                </c:pt>
                <c:pt idx="1">
                  <c:v>0.85165462152909854</c:v>
                </c:pt>
                <c:pt idx="2">
                  <c:v>0.831638418079096</c:v>
                </c:pt>
                <c:pt idx="3">
                  <c:v>0.85617214043035106</c:v>
                </c:pt>
                <c:pt idx="4">
                  <c:v>0.78519924098671723</c:v>
                </c:pt>
                <c:pt idx="5">
                  <c:v>0.72810011376564276</c:v>
                </c:pt>
                <c:pt idx="6">
                  <c:v>0.73505591978403395</c:v>
                </c:pt>
                <c:pt idx="7">
                  <c:v>0.74913561275451401</c:v>
                </c:pt>
                <c:pt idx="8">
                  <c:v>0</c:v>
                </c:pt>
                <c:pt idx="9">
                  <c:v>0</c:v>
                </c:pt>
                <c:pt idx="10">
                  <c:v>0</c:v>
                </c:pt>
                <c:pt idx="11">
                  <c:v>0</c:v>
                </c:pt>
                <c:pt idx="12">
                  <c:v>0</c:v>
                </c:pt>
                <c:pt idx="13">
                  <c:v>0</c:v>
                </c:pt>
              </c:numCache>
            </c:numRef>
          </c:val>
          <c:extLst>
            <c:ext xmlns:c16="http://schemas.microsoft.com/office/drawing/2014/chart" uri="{C3380CC4-5D6E-409C-BE32-E72D297353CC}">
              <c16:uniqueId val="{00000000-34F8-401D-9AD3-59E797B48A91}"/>
            </c:ext>
          </c:extLst>
        </c:ser>
        <c:dLbls>
          <c:showLegendKey val="0"/>
          <c:showVal val="0"/>
          <c:showCatName val="0"/>
          <c:showSerName val="0"/>
          <c:showPercent val="0"/>
          <c:showBubbleSize val="0"/>
        </c:dLbls>
        <c:gapWidth val="50"/>
        <c:axId val="463088256"/>
        <c:axId val="498782208"/>
      </c:barChart>
      <c:lineChart>
        <c:grouping val="standard"/>
        <c:varyColors val="0"/>
        <c:ser>
          <c:idx val="0"/>
          <c:order val="0"/>
          <c:tx>
            <c:strRef>
              <c:f>Summary!$C$173</c:f>
              <c:strCache>
                <c:ptCount val="1"/>
                <c:pt idx="0">
                  <c:v>23/24</c:v>
                </c:pt>
              </c:strCache>
            </c:strRef>
          </c:tx>
          <c:spPr>
            <a:ln w="25400">
              <a:solidFill>
                <a:srgbClr val="F79131"/>
              </a:solidFill>
              <a:prstDash val="solid"/>
            </a:ln>
          </c:spPr>
          <c:marker>
            <c:symbol val="none"/>
          </c:marker>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Summary!$D$173:$Q$173</c:f>
              <c:numCache>
                <c:formatCode>0.0%</c:formatCode>
                <c:ptCount val="14"/>
                <c:pt idx="0">
                  <c:v>0.86446020488573683</c:v>
                </c:pt>
                <c:pt idx="1">
                  <c:v>0.85500982318271124</c:v>
                </c:pt>
                <c:pt idx="2">
                  <c:v>0.83563263697280254</c:v>
                </c:pt>
                <c:pt idx="3">
                  <c:v>0.81710681907765081</c:v>
                </c:pt>
                <c:pt idx="4">
                  <c:v>0.76535001955416504</c:v>
                </c:pt>
                <c:pt idx="5">
                  <c:v>0.7693510555121188</c:v>
                </c:pt>
                <c:pt idx="6">
                  <c:v>0.72510737992971497</c:v>
                </c:pt>
                <c:pt idx="7">
                  <c:v>0.77665369649805449</c:v>
                </c:pt>
                <c:pt idx="8">
                  <c:v>0.80769230769230771</c:v>
                </c:pt>
                <c:pt idx="9">
                  <c:v>0.78748068006182381</c:v>
                </c:pt>
                <c:pt idx="10">
                  <c:v>0.77888293802601383</c:v>
                </c:pt>
                <c:pt idx="11">
                  <c:v>0.7749615975422427</c:v>
                </c:pt>
                <c:pt idx="12">
                  <c:v>0.75381008206330602</c:v>
                </c:pt>
                <c:pt idx="13">
                  <c:v>0.78179696616102679</c:v>
                </c:pt>
              </c:numCache>
            </c:numRef>
          </c:val>
          <c:smooth val="0"/>
          <c:extLst>
            <c:ext xmlns:c16="http://schemas.microsoft.com/office/drawing/2014/chart" uri="{C3380CC4-5D6E-409C-BE32-E72D297353CC}">
              <c16:uniqueId val="{00000001-34F8-401D-9AD3-59E797B48A91}"/>
            </c:ext>
          </c:extLst>
        </c:ser>
        <c:ser>
          <c:idx val="2"/>
          <c:order val="3"/>
          <c:tx>
            <c:v>22/23</c:v>
          </c:tx>
          <c:spPr>
            <a:ln>
              <a:solidFill>
                <a:srgbClr val="C00848"/>
              </a:solidFill>
              <a:prstDash val="sysDash"/>
            </a:ln>
          </c:spPr>
          <c:marker>
            <c:symbol val="none"/>
          </c:marker>
          <c:val>
            <c:numRef>
              <c:f>Summary!$D$172:$Q$172</c:f>
              <c:numCache>
                <c:formatCode>0.0%</c:formatCode>
                <c:ptCount val="14"/>
                <c:pt idx="0">
                  <c:v>0.8784681516217272</c:v>
                </c:pt>
                <c:pt idx="1">
                  <c:v>0.8939749608763693</c:v>
                </c:pt>
                <c:pt idx="2">
                  <c:v>0.87917146144994252</c:v>
                </c:pt>
                <c:pt idx="3">
                  <c:v>0.88724151385095595</c:v>
                </c:pt>
                <c:pt idx="4">
                  <c:v>0.86304604486422665</c:v>
                </c:pt>
                <c:pt idx="5">
                  <c:v>0.87376335575781561</c:v>
                </c:pt>
                <c:pt idx="6">
                  <c:v>0.86109995985547971</c:v>
                </c:pt>
                <c:pt idx="7">
                  <c:v>0.81734243275792851</c:v>
                </c:pt>
                <c:pt idx="8">
                  <c:v>0.81407437025189922</c:v>
                </c:pt>
                <c:pt idx="9">
                  <c:v>0.83472720031859815</c:v>
                </c:pt>
                <c:pt idx="10">
                  <c:v>0.81415929203539827</c:v>
                </c:pt>
                <c:pt idx="11">
                  <c:v>0.80102241447109712</c:v>
                </c:pt>
                <c:pt idx="12">
                  <c:v>0.83026421136909523</c:v>
                </c:pt>
                <c:pt idx="13">
                  <c:v>0.8213998390989542</c:v>
                </c:pt>
              </c:numCache>
            </c:numRef>
          </c:val>
          <c:smooth val="0"/>
          <c:extLst>
            <c:ext xmlns:c16="http://schemas.microsoft.com/office/drawing/2014/chart" uri="{C3380CC4-5D6E-409C-BE32-E72D297353CC}">
              <c16:uniqueId val="{00000000-5DAF-4E02-95E8-2B256D43F253}"/>
            </c:ext>
          </c:extLst>
        </c:ser>
        <c:dLbls>
          <c:showLegendKey val="0"/>
          <c:showVal val="0"/>
          <c:showCatName val="0"/>
          <c:showSerName val="0"/>
          <c:showPercent val="0"/>
          <c:showBubbleSize val="0"/>
        </c:dLbls>
        <c:marker val="1"/>
        <c:smooth val="0"/>
        <c:axId val="463088256"/>
        <c:axId val="498782208"/>
        <c:extLst>
          <c:ext xmlns:c15="http://schemas.microsoft.com/office/drawing/2012/chart" uri="{02D57815-91ED-43cb-92C2-25804820EDAC}">
            <c15:filteredLineSeries>
              <c15:ser>
                <c:idx val="3"/>
                <c:order val="2"/>
                <c:tx>
                  <c:v>20/21</c:v>
                </c:tx>
                <c:spPr>
                  <a:ln w="25400">
                    <a:solidFill>
                      <a:srgbClr val="00A89C"/>
                    </a:solidFill>
                    <a:prstDash val="sysDot"/>
                  </a:ln>
                </c:spPr>
                <c:marker>
                  <c:symbol val="none"/>
                </c:marker>
                <c:val>
                  <c:numRef>
                    <c:extLst>
                      <c:ext uri="{02D57815-91ED-43cb-92C2-25804820EDAC}">
                        <c15:formulaRef>
                          <c15:sqref>Summary!$D$172:$P$172</c15:sqref>
                        </c15:formulaRef>
                      </c:ext>
                    </c:extLst>
                    <c:numCache>
                      <c:formatCode>0.0%</c:formatCode>
                      <c:ptCount val="13"/>
                      <c:pt idx="0">
                        <c:v>0.8784681516217272</c:v>
                      </c:pt>
                      <c:pt idx="1">
                        <c:v>0.8939749608763693</c:v>
                      </c:pt>
                      <c:pt idx="2">
                        <c:v>0.87917146144994252</c:v>
                      </c:pt>
                      <c:pt idx="3">
                        <c:v>0.88724151385095595</c:v>
                      </c:pt>
                      <c:pt idx="4">
                        <c:v>0.86304604486422665</c:v>
                      </c:pt>
                      <c:pt idx="5">
                        <c:v>0.87376335575781561</c:v>
                      </c:pt>
                      <c:pt idx="6">
                        <c:v>0.86109995985547971</c:v>
                      </c:pt>
                      <c:pt idx="7">
                        <c:v>0.81734243275792851</c:v>
                      </c:pt>
                      <c:pt idx="8">
                        <c:v>0.81407437025189922</c:v>
                      </c:pt>
                      <c:pt idx="9">
                        <c:v>0.83472720031859815</c:v>
                      </c:pt>
                      <c:pt idx="10">
                        <c:v>0.81415929203539827</c:v>
                      </c:pt>
                      <c:pt idx="11">
                        <c:v>0.80102241447109712</c:v>
                      </c:pt>
                      <c:pt idx="12">
                        <c:v>0.83026421136909523</c:v>
                      </c:pt>
                    </c:numCache>
                  </c:numRef>
                </c:val>
                <c:smooth val="0"/>
                <c:extLst>
                  <c:ext xmlns:c16="http://schemas.microsoft.com/office/drawing/2014/chart" uri="{C3380CC4-5D6E-409C-BE32-E72D297353CC}">
                    <c16:uniqueId val="{00000002-34F8-401D-9AD3-59E797B48A91}"/>
                  </c:ext>
                </c:extLst>
              </c15:ser>
            </c15:filteredLineSeries>
          </c:ext>
        </c:extLst>
      </c:lineChart>
      <c:catAx>
        <c:axId val="463088256"/>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498782208"/>
        <c:crosses val="autoZero"/>
        <c:auto val="1"/>
        <c:lblAlgn val="ctr"/>
        <c:lblOffset val="100"/>
        <c:noMultiLvlLbl val="0"/>
      </c:catAx>
      <c:valAx>
        <c:axId val="498782208"/>
        <c:scaling>
          <c:orientation val="minMax"/>
          <c:max val="1"/>
          <c:min val="0.5"/>
        </c:scaling>
        <c:delete val="0"/>
        <c:axPos val="l"/>
        <c:numFmt formatCode="0%" sourceLinked="0"/>
        <c:majorTickMark val="out"/>
        <c:minorTickMark val="none"/>
        <c:tickLblPos val="nextTo"/>
        <c:spPr>
          <a:ln w="50800">
            <a:solidFill>
              <a:srgbClr val="CED8DD"/>
            </a:solidFill>
          </a:ln>
        </c:spPr>
        <c:txPr>
          <a:bodyPr/>
          <a:lstStyle/>
          <a:p>
            <a:pPr>
              <a:defRPr sz="800" b="1"/>
            </a:pPr>
            <a:endParaRPr lang="en-US"/>
          </a:p>
        </c:txPr>
        <c:crossAx val="463088256"/>
        <c:crosses val="autoZero"/>
        <c:crossBetween val="between"/>
        <c:majorUnit val="0.1"/>
      </c:valAx>
    </c:plotArea>
    <c:legend>
      <c:legendPos val="r"/>
      <c:layout>
        <c:manualLayout>
          <c:xMode val="edge"/>
          <c:yMode val="edge"/>
          <c:x val="0.80495404834250461"/>
          <c:y val="6.3677351615094805E-3"/>
          <c:w val="0.18900118856492418"/>
          <c:h val="0.23871904144277686"/>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a:lstStyle/>
          <a:p>
            <a:pPr algn="l">
              <a:defRPr sz="900"/>
            </a:pPr>
            <a:r>
              <a:rPr lang="en-GB" sz="900" b="1">
                <a:latin typeface="+mn-lt"/>
              </a:rPr>
              <a:t>Neonatal</a:t>
            </a:r>
            <a:r>
              <a:rPr lang="en-GB" sz="900" b="1" baseline="0">
                <a:latin typeface="+mn-lt"/>
              </a:rPr>
              <a:t> intensive care o</a:t>
            </a:r>
            <a:r>
              <a:rPr lang="en-GB" sz="900" b="1">
                <a:latin typeface="+mn-lt"/>
              </a:rPr>
              <a:t>ccupancy</a:t>
            </a:r>
            <a:endParaRPr lang="en-GB" sz="900" b="1" baseline="0">
              <a:latin typeface="+mn-lt"/>
            </a:endParaRPr>
          </a:p>
        </c:rich>
      </c:tx>
      <c:layout>
        <c:manualLayout>
          <c:xMode val="edge"/>
          <c:yMode val="edge"/>
          <c:x val="0.12219789818479597"/>
          <c:y val="4.2463075722614138E-2"/>
        </c:manualLayout>
      </c:layout>
      <c:overlay val="1"/>
    </c:title>
    <c:autoTitleDeleted val="0"/>
    <c:plotArea>
      <c:layout>
        <c:manualLayout>
          <c:layoutTarget val="inner"/>
          <c:xMode val="edge"/>
          <c:yMode val="edge"/>
          <c:x val="0.10372927287362491"/>
          <c:y val="8.4642085539047535E-2"/>
          <c:w val="0.90911089238845144"/>
          <c:h val="0.74377762365196576"/>
        </c:manualLayout>
      </c:layout>
      <c:barChart>
        <c:barDir val="col"/>
        <c:grouping val="clustered"/>
        <c:varyColors val="0"/>
        <c:ser>
          <c:idx val="1"/>
          <c:order val="1"/>
          <c:tx>
            <c:strRef>
              <c:f>Summary!$C$199</c:f>
              <c:strCache>
                <c:ptCount val="1"/>
                <c:pt idx="0">
                  <c:v>24/25</c:v>
                </c:pt>
              </c:strCache>
            </c:strRef>
          </c:tx>
          <c:spPr>
            <a:solidFill>
              <a:srgbClr val="2C72B3"/>
            </a:solidFill>
            <a:ln w="19050"/>
          </c:spPr>
          <c:invertIfNegative val="0"/>
          <c:cat>
            <c:strRef>
              <c:f>Summary!$D$4:$P$4</c:f>
              <c:strCache>
                <c:ptCount val="13"/>
                <c:pt idx="0">
                  <c:v>Week 1</c:v>
                </c:pt>
                <c:pt idx="1">
                  <c:v>Week 2</c:v>
                </c:pt>
                <c:pt idx="2">
                  <c:v>Week 3</c:v>
                </c:pt>
                <c:pt idx="3">
                  <c:v>Week 4</c:v>
                </c:pt>
                <c:pt idx="4">
                  <c:v>Week 5</c:v>
                </c:pt>
                <c:pt idx="5">
                  <c:v>Week 6</c:v>
                </c:pt>
                <c:pt idx="6">
                  <c:v>Week 7</c:v>
                </c:pt>
                <c:pt idx="7">
                  <c:v>Week 8</c:v>
                </c:pt>
                <c:pt idx="8">
                  <c:v>Week 9</c:v>
                </c:pt>
                <c:pt idx="9">
                  <c:v>Week 10</c:v>
                </c:pt>
                <c:pt idx="10">
                  <c:v>Week 11</c:v>
                </c:pt>
                <c:pt idx="11">
                  <c:v>Week 12</c:v>
                </c:pt>
                <c:pt idx="12">
                  <c:v>Week 13</c:v>
                </c:pt>
              </c:strCache>
            </c:strRef>
          </c:cat>
          <c:val>
            <c:numRef>
              <c:f>Summary!$D$199:$Q$199</c:f>
              <c:numCache>
                <c:formatCode>0.0%</c:formatCode>
                <c:ptCount val="14"/>
                <c:pt idx="0">
                  <c:v>0.68895348837209303</c:v>
                </c:pt>
                <c:pt idx="1">
                  <c:v>0.69558411599934089</c:v>
                </c:pt>
                <c:pt idx="2">
                  <c:v>0.68632951076643844</c:v>
                </c:pt>
                <c:pt idx="3">
                  <c:v>0.69285243741765479</c:v>
                </c:pt>
                <c:pt idx="4">
                  <c:v>0.67326486665562368</c:v>
                </c:pt>
                <c:pt idx="5">
                  <c:v>0.6704897446630389</c:v>
                </c:pt>
                <c:pt idx="6">
                  <c:v>0.67554298077723229</c:v>
                </c:pt>
                <c:pt idx="7">
                  <c:v>0.6768848384424192</c:v>
                </c:pt>
                <c:pt idx="8">
                  <c:v>0</c:v>
                </c:pt>
                <c:pt idx="9">
                  <c:v>0</c:v>
                </c:pt>
                <c:pt idx="10">
                  <c:v>0</c:v>
                </c:pt>
                <c:pt idx="11">
                  <c:v>0</c:v>
                </c:pt>
                <c:pt idx="12">
                  <c:v>0</c:v>
                </c:pt>
                <c:pt idx="13">
                  <c:v>0</c:v>
                </c:pt>
              </c:numCache>
            </c:numRef>
          </c:val>
          <c:extLst>
            <c:ext xmlns:c16="http://schemas.microsoft.com/office/drawing/2014/chart" uri="{C3380CC4-5D6E-409C-BE32-E72D297353CC}">
              <c16:uniqueId val="{00000000-27EC-4CFA-B942-E4BC1BD22551}"/>
            </c:ext>
          </c:extLst>
        </c:ser>
        <c:dLbls>
          <c:showLegendKey val="0"/>
          <c:showVal val="0"/>
          <c:showCatName val="0"/>
          <c:showSerName val="0"/>
          <c:showPercent val="0"/>
          <c:showBubbleSize val="0"/>
        </c:dLbls>
        <c:gapWidth val="50"/>
        <c:axId val="561923968"/>
        <c:axId val="561932160"/>
      </c:barChart>
      <c:lineChart>
        <c:grouping val="standard"/>
        <c:varyColors val="0"/>
        <c:ser>
          <c:idx val="0"/>
          <c:order val="0"/>
          <c:tx>
            <c:strRef>
              <c:f>Summary!$C$197</c:f>
              <c:strCache>
                <c:ptCount val="1"/>
                <c:pt idx="0">
                  <c:v>23/24</c:v>
                </c:pt>
              </c:strCache>
            </c:strRef>
          </c:tx>
          <c:spPr>
            <a:ln w="25400">
              <a:solidFill>
                <a:srgbClr val="F79131"/>
              </a:solidFill>
              <a:prstDash val="solid"/>
            </a:ln>
          </c:spPr>
          <c:marker>
            <c:symbol val="none"/>
          </c:marker>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Summary!$D$197:$Q$197</c:f>
              <c:numCache>
                <c:formatCode>0.0%</c:formatCode>
                <c:ptCount val="14"/>
                <c:pt idx="0">
                  <c:v>0.67379143358103033</c:v>
                </c:pt>
                <c:pt idx="1">
                  <c:v>0.700058582308143</c:v>
                </c:pt>
                <c:pt idx="2">
                  <c:v>0.71078066914498139</c:v>
                </c:pt>
                <c:pt idx="3">
                  <c:v>0.68309343742376194</c:v>
                </c:pt>
                <c:pt idx="4">
                  <c:v>0.68841965250644277</c:v>
                </c:pt>
                <c:pt idx="5">
                  <c:v>0.68153130709184517</c:v>
                </c:pt>
                <c:pt idx="6">
                  <c:v>0.67573431241655546</c:v>
                </c:pt>
                <c:pt idx="7">
                  <c:v>0.68279614901632479</c:v>
                </c:pt>
                <c:pt idx="8">
                  <c:v>0.66791885800150264</c:v>
                </c:pt>
                <c:pt idx="9">
                  <c:v>0.66521811800100283</c:v>
                </c:pt>
                <c:pt idx="10">
                  <c:v>0.69565217391304346</c:v>
                </c:pt>
                <c:pt idx="11">
                  <c:v>0.69685137492730742</c:v>
                </c:pt>
                <c:pt idx="12">
                  <c:v>0.67962210988646721</c:v>
                </c:pt>
                <c:pt idx="13">
                  <c:v>0.69205270572636113</c:v>
                </c:pt>
              </c:numCache>
            </c:numRef>
          </c:val>
          <c:smooth val="0"/>
          <c:extLst>
            <c:ext xmlns:c16="http://schemas.microsoft.com/office/drawing/2014/chart" uri="{C3380CC4-5D6E-409C-BE32-E72D297353CC}">
              <c16:uniqueId val="{00000001-27EC-4CFA-B942-E4BC1BD22551}"/>
            </c:ext>
          </c:extLst>
        </c:ser>
        <c:ser>
          <c:idx val="2"/>
          <c:order val="3"/>
          <c:tx>
            <c:v>22/23</c:v>
          </c:tx>
          <c:spPr>
            <a:ln>
              <a:solidFill>
                <a:srgbClr val="C00848"/>
              </a:solidFill>
              <a:prstDash val="sysDash"/>
            </a:ln>
          </c:spPr>
          <c:marker>
            <c:symbol val="none"/>
          </c:marker>
          <c:val>
            <c:numRef>
              <c:f>Summary!$D$196:$Q$196</c:f>
              <c:numCache>
                <c:formatCode>0.0%</c:formatCode>
                <c:ptCount val="14"/>
                <c:pt idx="0">
                  <c:v>0.69740828004039046</c:v>
                </c:pt>
                <c:pt idx="1">
                  <c:v>0.69336576365008806</c:v>
                </c:pt>
                <c:pt idx="2">
                  <c:v>0.70634522015737489</c:v>
                </c:pt>
                <c:pt idx="3">
                  <c:v>0.68617465353147433</c:v>
                </c:pt>
                <c:pt idx="4">
                  <c:v>0.65475398936170215</c:v>
                </c:pt>
                <c:pt idx="5">
                  <c:v>0.66290811174688657</c:v>
                </c:pt>
                <c:pt idx="6">
                  <c:v>0.65104210261990458</c:v>
                </c:pt>
                <c:pt idx="7">
                  <c:v>0.64789676554382436</c:v>
                </c:pt>
                <c:pt idx="8">
                  <c:v>0.66876521447158566</c:v>
                </c:pt>
                <c:pt idx="9">
                  <c:v>0.6675041876046901</c:v>
                </c:pt>
                <c:pt idx="10">
                  <c:v>0.65256237356709368</c:v>
                </c:pt>
                <c:pt idx="11">
                  <c:v>0.65131302961657855</c:v>
                </c:pt>
                <c:pt idx="12">
                  <c:v>0.66137566137566139</c:v>
                </c:pt>
                <c:pt idx="13">
                  <c:v>0.65720524017467252</c:v>
                </c:pt>
              </c:numCache>
            </c:numRef>
          </c:val>
          <c:smooth val="0"/>
          <c:extLst>
            <c:ext xmlns:c16="http://schemas.microsoft.com/office/drawing/2014/chart" uri="{C3380CC4-5D6E-409C-BE32-E72D297353CC}">
              <c16:uniqueId val="{00000000-8B5C-4902-8211-45F2B4C1A5BE}"/>
            </c:ext>
          </c:extLst>
        </c:ser>
        <c:dLbls>
          <c:showLegendKey val="0"/>
          <c:showVal val="0"/>
          <c:showCatName val="0"/>
          <c:showSerName val="0"/>
          <c:showPercent val="0"/>
          <c:showBubbleSize val="0"/>
        </c:dLbls>
        <c:marker val="1"/>
        <c:smooth val="0"/>
        <c:axId val="561923968"/>
        <c:axId val="561932160"/>
        <c:extLst>
          <c:ext xmlns:c15="http://schemas.microsoft.com/office/drawing/2012/chart" uri="{02D57815-91ED-43cb-92C2-25804820EDAC}">
            <c15:filteredLineSeries>
              <c15:ser>
                <c:idx val="3"/>
                <c:order val="2"/>
                <c:tx>
                  <c:v>20/21</c:v>
                </c:tx>
                <c:spPr>
                  <a:ln w="25400">
                    <a:solidFill>
                      <a:srgbClr val="00A89C"/>
                    </a:solidFill>
                    <a:prstDash val="sysDot"/>
                  </a:ln>
                </c:spPr>
                <c:marker>
                  <c:symbol val="none"/>
                </c:marker>
                <c:val>
                  <c:numRef>
                    <c:extLst>
                      <c:ext uri="{02D57815-91ED-43cb-92C2-25804820EDAC}">
                        <c15:formulaRef>
                          <c15:sqref>Summary!$D$196:$P$196</c15:sqref>
                        </c15:formulaRef>
                      </c:ext>
                    </c:extLst>
                    <c:numCache>
                      <c:formatCode>0.0%</c:formatCode>
                      <c:ptCount val="13"/>
                      <c:pt idx="0">
                        <c:v>0.69740828004039046</c:v>
                      </c:pt>
                      <c:pt idx="1">
                        <c:v>0.69336576365008806</c:v>
                      </c:pt>
                      <c:pt idx="2">
                        <c:v>0.70634522015737489</c:v>
                      </c:pt>
                      <c:pt idx="3">
                        <c:v>0.68617465353147433</c:v>
                      </c:pt>
                      <c:pt idx="4">
                        <c:v>0.65475398936170215</c:v>
                      </c:pt>
                      <c:pt idx="5">
                        <c:v>0.66290811174688657</c:v>
                      </c:pt>
                      <c:pt idx="6">
                        <c:v>0.65104210261990458</c:v>
                      </c:pt>
                      <c:pt idx="7">
                        <c:v>0.64789676554382436</c:v>
                      </c:pt>
                      <c:pt idx="8">
                        <c:v>0.66876521447158566</c:v>
                      </c:pt>
                      <c:pt idx="9">
                        <c:v>0.6675041876046901</c:v>
                      </c:pt>
                      <c:pt idx="10">
                        <c:v>0.65256237356709368</c:v>
                      </c:pt>
                      <c:pt idx="11">
                        <c:v>0.65131302961657855</c:v>
                      </c:pt>
                      <c:pt idx="12">
                        <c:v>0.66137566137566139</c:v>
                      </c:pt>
                    </c:numCache>
                  </c:numRef>
                </c:val>
                <c:smooth val="0"/>
                <c:extLst>
                  <c:ext xmlns:c16="http://schemas.microsoft.com/office/drawing/2014/chart" uri="{C3380CC4-5D6E-409C-BE32-E72D297353CC}">
                    <c16:uniqueId val="{00000002-27EC-4CFA-B942-E4BC1BD22551}"/>
                  </c:ext>
                </c:extLst>
              </c15:ser>
            </c15:filteredLineSeries>
          </c:ext>
        </c:extLst>
      </c:lineChart>
      <c:catAx>
        <c:axId val="561923968"/>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1932160"/>
        <c:crosses val="autoZero"/>
        <c:auto val="1"/>
        <c:lblAlgn val="ctr"/>
        <c:lblOffset val="100"/>
        <c:noMultiLvlLbl val="0"/>
      </c:catAx>
      <c:valAx>
        <c:axId val="561932160"/>
        <c:scaling>
          <c:orientation val="minMax"/>
          <c:max val="1"/>
          <c:min val="0.5"/>
        </c:scaling>
        <c:delete val="0"/>
        <c:axPos val="l"/>
        <c:numFmt formatCode="0%" sourceLinked="0"/>
        <c:majorTickMark val="out"/>
        <c:minorTickMark val="none"/>
        <c:tickLblPos val="nextTo"/>
        <c:spPr>
          <a:ln w="50800">
            <a:solidFill>
              <a:srgbClr val="CED8DD"/>
            </a:solidFill>
          </a:ln>
        </c:spPr>
        <c:txPr>
          <a:bodyPr/>
          <a:lstStyle/>
          <a:p>
            <a:pPr>
              <a:defRPr sz="800" b="1"/>
            </a:pPr>
            <a:endParaRPr lang="en-US"/>
          </a:p>
        </c:txPr>
        <c:crossAx val="561923968"/>
        <c:crosses val="autoZero"/>
        <c:crossBetween val="between"/>
        <c:majorUnit val="0.1"/>
      </c:valAx>
    </c:plotArea>
    <c:legend>
      <c:legendPos val="r"/>
      <c:layout>
        <c:manualLayout>
          <c:xMode val="edge"/>
          <c:yMode val="edge"/>
          <c:x val="0.8062395974349601"/>
          <c:y val="1.3196244956223124E-3"/>
          <c:w val="0.18818496246038155"/>
          <c:h val="0.23863748621104106"/>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6.8013724846894136E-2"/>
          <c:y val="6.2453703703703713E-2"/>
          <c:w val="0.90911089238845144"/>
          <c:h val="0.74377762365196576"/>
        </c:manualLayout>
      </c:layout>
      <c:barChart>
        <c:barDir val="col"/>
        <c:grouping val="clustered"/>
        <c:varyColors val="0"/>
        <c:ser>
          <c:idx val="1"/>
          <c:order val="0"/>
          <c:tx>
            <c:strRef>
              <c:f>Summary!$C$223</c:f>
              <c:strCache>
                <c:ptCount val="1"/>
                <c:pt idx="0">
                  <c:v>24/25</c:v>
                </c:pt>
              </c:strCache>
            </c:strRef>
          </c:tx>
          <c:spPr>
            <a:solidFill>
              <a:srgbClr val="2C72B3"/>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Summary!$D$223:$Q$223</c:f>
              <c:numCache>
                <c:formatCode>#,##0</c:formatCode>
                <c:ptCount val="14"/>
                <c:pt idx="0">
                  <c:v>90514</c:v>
                </c:pt>
                <c:pt idx="1">
                  <c:v>89902</c:v>
                </c:pt>
                <c:pt idx="2">
                  <c:v>91563</c:v>
                </c:pt>
                <c:pt idx="3">
                  <c:v>92996</c:v>
                </c:pt>
                <c:pt idx="4">
                  <c:v>94493</c:v>
                </c:pt>
                <c:pt idx="5">
                  <c:v>91862</c:v>
                </c:pt>
                <c:pt idx="6">
                  <c:v>87747</c:v>
                </c:pt>
                <c:pt idx="7">
                  <c:v>88928</c:v>
                </c:pt>
                <c:pt idx="8">
                  <c:v>0</c:v>
                </c:pt>
                <c:pt idx="9">
                  <c:v>0</c:v>
                </c:pt>
                <c:pt idx="10">
                  <c:v>0</c:v>
                </c:pt>
                <c:pt idx="11">
                  <c:v>0</c:v>
                </c:pt>
                <c:pt idx="12">
                  <c:v>0</c:v>
                </c:pt>
                <c:pt idx="13">
                  <c:v>0</c:v>
                </c:pt>
              </c:numCache>
            </c:numRef>
          </c:val>
          <c:extLst>
            <c:ext xmlns:c16="http://schemas.microsoft.com/office/drawing/2014/chart" uri="{C3380CC4-5D6E-409C-BE32-E72D297353CC}">
              <c16:uniqueId val="{00000000-1CD8-4875-8109-8C26E4681454}"/>
            </c:ext>
          </c:extLst>
        </c:ser>
        <c:dLbls>
          <c:showLegendKey val="0"/>
          <c:showVal val="0"/>
          <c:showCatName val="0"/>
          <c:showSerName val="0"/>
          <c:showPercent val="0"/>
          <c:showBubbleSize val="0"/>
        </c:dLbls>
        <c:gapWidth val="50"/>
        <c:axId val="561978752"/>
        <c:axId val="561982848"/>
      </c:barChart>
      <c:lineChart>
        <c:grouping val="standard"/>
        <c:varyColors val="0"/>
        <c:ser>
          <c:idx val="0"/>
          <c:order val="1"/>
          <c:tx>
            <c:strRef>
              <c:f>Summary!$C$221</c:f>
              <c:strCache>
                <c:ptCount val="1"/>
                <c:pt idx="0">
                  <c:v>23/24</c:v>
                </c:pt>
              </c:strCache>
            </c:strRef>
          </c:tx>
          <c:spPr>
            <a:ln w="25400">
              <a:solidFill>
                <a:srgbClr val="F79131"/>
              </a:solidFill>
              <a:prstDash val="solid"/>
            </a:ln>
          </c:spPr>
          <c:marker>
            <c:symbol val="none"/>
          </c:marker>
          <c:val>
            <c:numRef>
              <c:f>Summary!$D$221:$Q$221</c:f>
              <c:numCache>
                <c:formatCode>#,##0</c:formatCode>
                <c:ptCount val="14"/>
                <c:pt idx="0">
                  <c:v>83873</c:v>
                </c:pt>
                <c:pt idx="1">
                  <c:v>84268</c:v>
                </c:pt>
                <c:pt idx="2">
                  <c:v>85923</c:v>
                </c:pt>
                <c:pt idx="3">
                  <c:v>93454</c:v>
                </c:pt>
                <c:pt idx="4">
                  <c:v>93576</c:v>
                </c:pt>
                <c:pt idx="5">
                  <c:v>91234</c:v>
                </c:pt>
                <c:pt idx="6">
                  <c:v>90294</c:v>
                </c:pt>
                <c:pt idx="7">
                  <c:v>90115</c:v>
                </c:pt>
                <c:pt idx="8">
                  <c:v>90079</c:v>
                </c:pt>
                <c:pt idx="9">
                  <c:v>90861</c:v>
                </c:pt>
                <c:pt idx="10">
                  <c:v>91225</c:v>
                </c:pt>
                <c:pt idx="11">
                  <c:v>89377</c:v>
                </c:pt>
                <c:pt idx="12">
                  <c:v>91597</c:v>
                </c:pt>
                <c:pt idx="13">
                  <c:v>92763</c:v>
                </c:pt>
              </c:numCache>
            </c:numRef>
          </c:val>
          <c:smooth val="0"/>
          <c:extLst>
            <c:ext xmlns:c16="http://schemas.microsoft.com/office/drawing/2014/chart" uri="{C3380CC4-5D6E-409C-BE32-E72D297353CC}">
              <c16:uniqueId val="{00000001-1CD8-4875-8109-8C26E4681454}"/>
            </c:ext>
          </c:extLst>
        </c:ser>
        <c:ser>
          <c:idx val="3"/>
          <c:order val="3"/>
          <c:tx>
            <c:v>22/23</c:v>
          </c:tx>
          <c:spPr>
            <a:ln>
              <a:solidFill>
                <a:srgbClr val="C00848"/>
              </a:solidFill>
              <a:prstDash val="sysDash"/>
            </a:ln>
          </c:spPr>
          <c:marker>
            <c:symbol val="none"/>
          </c:marker>
          <c:val>
            <c:numRef>
              <c:f>Summary!$D$220:$Q$220</c:f>
              <c:numCache>
                <c:formatCode>#,##0</c:formatCode>
                <c:ptCount val="14"/>
                <c:pt idx="0">
                  <c:v>77895</c:v>
                </c:pt>
                <c:pt idx="1">
                  <c:v>74822</c:v>
                </c:pt>
                <c:pt idx="2">
                  <c:v>69349</c:v>
                </c:pt>
                <c:pt idx="3">
                  <c:v>70166</c:v>
                </c:pt>
                <c:pt idx="4">
                  <c:v>71211</c:v>
                </c:pt>
                <c:pt idx="5">
                  <c:v>72029</c:v>
                </c:pt>
                <c:pt idx="6">
                  <c:v>72009</c:v>
                </c:pt>
                <c:pt idx="7">
                  <c:v>77935</c:v>
                </c:pt>
                <c:pt idx="8">
                  <c:v>78431</c:v>
                </c:pt>
                <c:pt idx="9">
                  <c:v>80502</c:v>
                </c:pt>
                <c:pt idx="10">
                  <c:v>78240</c:v>
                </c:pt>
                <c:pt idx="11">
                  <c:v>79752</c:v>
                </c:pt>
                <c:pt idx="12">
                  <c:v>78572</c:v>
                </c:pt>
                <c:pt idx="13">
                  <c:v>79735</c:v>
                </c:pt>
              </c:numCache>
            </c:numRef>
          </c:val>
          <c:smooth val="0"/>
          <c:extLst>
            <c:ext xmlns:c16="http://schemas.microsoft.com/office/drawing/2014/chart" uri="{C3380CC4-5D6E-409C-BE32-E72D297353CC}">
              <c16:uniqueId val="{00000000-60F4-445B-A10F-AEF3D7125C26}"/>
            </c:ext>
          </c:extLst>
        </c:ser>
        <c:dLbls>
          <c:showLegendKey val="0"/>
          <c:showVal val="0"/>
          <c:showCatName val="0"/>
          <c:showSerName val="0"/>
          <c:showPercent val="0"/>
          <c:showBubbleSize val="0"/>
        </c:dLbls>
        <c:marker val="1"/>
        <c:smooth val="0"/>
        <c:axId val="561978752"/>
        <c:axId val="561982848"/>
        <c:extLst>
          <c:ext xmlns:c15="http://schemas.microsoft.com/office/drawing/2012/chart" uri="{02D57815-91ED-43cb-92C2-25804820EDAC}">
            <c15:filteredLineSeries>
              <c15:ser>
                <c:idx val="2"/>
                <c:order val="2"/>
                <c:tx>
                  <c:v>20/21</c:v>
                </c:tx>
                <c:spPr>
                  <a:ln w="25400">
                    <a:solidFill>
                      <a:srgbClr val="00A89C"/>
                    </a:solidFill>
                    <a:prstDash val="sysDot"/>
                  </a:ln>
                </c:spPr>
                <c:marker>
                  <c:symbol val="none"/>
                </c:marker>
                <c:val>
                  <c:numRef>
                    <c:extLst>
                      <c:ext uri="{02D57815-91ED-43cb-92C2-25804820EDAC}">
                        <c15:formulaRef>
                          <c15:sqref>Summary!$D$220:$P$220</c15:sqref>
                        </c15:formulaRef>
                      </c:ext>
                    </c:extLst>
                    <c:numCache>
                      <c:formatCode>#,##0</c:formatCode>
                      <c:ptCount val="13"/>
                      <c:pt idx="0">
                        <c:v>77895</c:v>
                      </c:pt>
                      <c:pt idx="1">
                        <c:v>74822</c:v>
                      </c:pt>
                      <c:pt idx="2">
                        <c:v>69349</c:v>
                      </c:pt>
                      <c:pt idx="3">
                        <c:v>70166</c:v>
                      </c:pt>
                      <c:pt idx="4">
                        <c:v>71211</c:v>
                      </c:pt>
                      <c:pt idx="5">
                        <c:v>72029</c:v>
                      </c:pt>
                      <c:pt idx="6">
                        <c:v>72009</c:v>
                      </c:pt>
                      <c:pt idx="7">
                        <c:v>77935</c:v>
                      </c:pt>
                      <c:pt idx="8">
                        <c:v>78431</c:v>
                      </c:pt>
                      <c:pt idx="9">
                        <c:v>80502</c:v>
                      </c:pt>
                      <c:pt idx="10">
                        <c:v>78240</c:v>
                      </c:pt>
                      <c:pt idx="11">
                        <c:v>79752</c:v>
                      </c:pt>
                      <c:pt idx="12">
                        <c:v>78572</c:v>
                      </c:pt>
                    </c:numCache>
                  </c:numRef>
                </c:val>
                <c:smooth val="0"/>
                <c:extLst>
                  <c:ext xmlns:c16="http://schemas.microsoft.com/office/drawing/2014/chart" uri="{C3380CC4-5D6E-409C-BE32-E72D297353CC}">
                    <c16:uniqueId val="{00000002-1CD8-4875-8109-8C26E4681454}"/>
                  </c:ext>
                </c:extLst>
              </c15:ser>
            </c15:filteredLineSeries>
          </c:ext>
        </c:extLst>
      </c:lineChart>
      <c:catAx>
        <c:axId val="56197875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1982848"/>
        <c:crosses val="autoZero"/>
        <c:auto val="1"/>
        <c:lblAlgn val="ctr"/>
        <c:lblOffset val="100"/>
        <c:noMultiLvlLbl val="0"/>
      </c:catAx>
      <c:valAx>
        <c:axId val="561982848"/>
        <c:scaling>
          <c:orientation val="minMax"/>
        </c:scaling>
        <c:delete val="0"/>
        <c:axPos val="l"/>
        <c:numFmt formatCode="#,##0" sourceLinked="0"/>
        <c:majorTickMark val="out"/>
        <c:minorTickMark val="none"/>
        <c:tickLblPos val="nextTo"/>
        <c:spPr>
          <a:ln w="50800">
            <a:solidFill>
              <a:srgbClr val="CED8DD"/>
            </a:solidFill>
          </a:ln>
        </c:spPr>
        <c:txPr>
          <a:bodyPr/>
          <a:lstStyle/>
          <a:p>
            <a:pPr>
              <a:defRPr sz="800" b="1"/>
            </a:pPr>
            <a:endParaRPr lang="en-US"/>
          </a:p>
        </c:txPr>
        <c:crossAx val="561978752"/>
        <c:crosses val="autoZero"/>
        <c:crossBetween val="between"/>
        <c:majorUnit val="10000"/>
      </c:valAx>
    </c:plotArea>
    <c:legend>
      <c:legendPos val="r"/>
      <c:layout>
        <c:manualLayout>
          <c:xMode val="edge"/>
          <c:yMode val="edge"/>
          <c:x val="0.52306683507564966"/>
          <c:y val="3.1773672521704034E-3"/>
          <c:w val="0.4769330972890134"/>
          <c:h val="0.11337688601227557"/>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71388888888889"/>
          <c:y val="6.2453703703703713E-2"/>
          <c:w val="0.8813563888888889"/>
          <c:h val="0.74377762365196576"/>
        </c:manualLayout>
      </c:layout>
      <c:barChart>
        <c:barDir val="col"/>
        <c:grouping val="clustered"/>
        <c:varyColors val="0"/>
        <c:ser>
          <c:idx val="1"/>
          <c:order val="0"/>
          <c:tx>
            <c:strRef>
              <c:f>Summary!$C$247</c:f>
              <c:strCache>
                <c:ptCount val="1"/>
                <c:pt idx="0">
                  <c:v>24/25</c:v>
                </c:pt>
              </c:strCache>
            </c:strRef>
          </c:tx>
          <c:spPr>
            <a:solidFill>
              <a:srgbClr val="2C72B3"/>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Summary!$D$247:$Q$247</c:f>
              <c:numCache>
                <c:formatCode>0.0%</c:formatCode>
                <c:ptCount val="14"/>
                <c:pt idx="0">
                  <c:v>0.16356585721545838</c:v>
                </c:pt>
                <c:pt idx="1">
                  <c:v>0.16319992881137238</c:v>
                </c:pt>
                <c:pt idx="2">
                  <c:v>0.14307089108045826</c:v>
                </c:pt>
                <c:pt idx="3">
                  <c:v>0.16252311927394728</c:v>
                </c:pt>
                <c:pt idx="4">
                  <c:v>0.12941699385139641</c:v>
                </c:pt>
                <c:pt idx="5">
                  <c:v>0.2128627724194988</c:v>
                </c:pt>
                <c:pt idx="6">
                  <c:v>0.14707055511869352</c:v>
                </c:pt>
                <c:pt idx="7">
                  <c:v>0.10144161568909679</c:v>
                </c:pt>
                <c:pt idx="8">
                  <c:v>0</c:v>
                </c:pt>
                <c:pt idx="9">
                  <c:v>0</c:v>
                </c:pt>
                <c:pt idx="10">
                  <c:v>0</c:v>
                </c:pt>
                <c:pt idx="11">
                  <c:v>0</c:v>
                </c:pt>
                <c:pt idx="12">
                  <c:v>0</c:v>
                </c:pt>
                <c:pt idx="13">
                  <c:v>0</c:v>
                </c:pt>
              </c:numCache>
            </c:numRef>
          </c:val>
          <c:extLst>
            <c:ext xmlns:c16="http://schemas.microsoft.com/office/drawing/2014/chart" uri="{C3380CC4-5D6E-409C-BE32-E72D297353CC}">
              <c16:uniqueId val="{00000000-AEB2-439C-9286-9EDB20708B64}"/>
            </c:ext>
          </c:extLst>
        </c:ser>
        <c:dLbls>
          <c:showLegendKey val="0"/>
          <c:showVal val="0"/>
          <c:showCatName val="0"/>
          <c:showSerName val="0"/>
          <c:showPercent val="0"/>
          <c:showBubbleSize val="0"/>
        </c:dLbls>
        <c:gapWidth val="50"/>
        <c:axId val="562204672"/>
        <c:axId val="562207744"/>
      </c:barChart>
      <c:lineChart>
        <c:grouping val="standard"/>
        <c:varyColors val="0"/>
        <c:ser>
          <c:idx val="0"/>
          <c:order val="1"/>
          <c:tx>
            <c:strRef>
              <c:f>Summary!$C$245</c:f>
              <c:strCache>
                <c:ptCount val="1"/>
                <c:pt idx="0">
                  <c:v>23/24</c:v>
                </c:pt>
              </c:strCache>
            </c:strRef>
          </c:tx>
          <c:spPr>
            <a:ln w="25400">
              <a:solidFill>
                <a:srgbClr val="F79131"/>
              </a:solidFill>
              <a:prstDash val="solid"/>
            </a:ln>
          </c:spPr>
          <c:marker>
            <c:symbol val="none"/>
          </c:marker>
          <c:val>
            <c:numRef>
              <c:f>Summary!$D$245:$Q$245</c:f>
              <c:numCache>
                <c:formatCode>0.0%</c:formatCode>
                <c:ptCount val="14"/>
                <c:pt idx="0">
                  <c:v>9.7576097194567973E-2</c:v>
                </c:pt>
                <c:pt idx="1">
                  <c:v>0.1518607300517397</c:v>
                </c:pt>
                <c:pt idx="2">
                  <c:v>0.14194104023369761</c:v>
                </c:pt>
                <c:pt idx="3">
                  <c:v>7.1853532219059643E-2</c:v>
                </c:pt>
                <c:pt idx="4">
                  <c:v>0.11731640591604685</c:v>
                </c:pt>
                <c:pt idx="5">
                  <c:v>0.13399609794594119</c:v>
                </c:pt>
                <c:pt idx="6">
                  <c:v>9.0515427381664335E-2</c:v>
                </c:pt>
                <c:pt idx="7">
                  <c:v>0.13961049769738668</c:v>
                </c:pt>
                <c:pt idx="8">
                  <c:v>0.15376502847500528</c:v>
                </c:pt>
                <c:pt idx="9">
                  <c:v>0.12098700212412367</c:v>
                </c:pt>
                <c:pt idx="10">
                  <c:v>0.13346122225267196</c:v>
                </c:pt>
                <c:pt idx="11">
                  <c:v>0.11980710921154213</c:v>
                </c:pt>
                <c:pt idx="12">
                  <c:v>9.5265128770592927E-2</c:v>
                </c:pt>
                <c:pt idx="13">
                  <c:v>7.4997574463956537E-2</c:v>
                </c:pt>
              </c:numCache>
            </c:numRef>
          </c:val>
          <c:smooth val="0"/>
          <c:extLst>
            <c:ext xmlns:c16="http://schemas.microsoft.com/office/drawing/2014/chart" uri="{C3380CC4-5D6E-409C-BE32-E72D297353CC}">
              <c16:uniqueId val="{00000001-AEB2-439C-9286-9EDB20708B64}"/>
            </c:ext>
          </c:extLst>
        </c:ser>
        <c:ser>
          <c:idx val="3"/>
          <c:order val="3"/>
          <c:tx>
            <c:v>22/23</c:v>
          </c:tx>
          <c:spPr>
            <a:ln>
              <a:solidFill>
                <a:srgbClr val="C00848"/>
              </a:solidFill>
              <a:prstDash val="sysDash"/>
            </a:ln>
          </c:spPr>
          <c:marker>
            <c:symbol val="none"/>
          </c:marker>
          <c:val>
            <c:numRef>
              <c:f>Summary!$D$244:$Q$244</c:f>
              <c:numCache>
                <c:formatCode>0.0%</c:formatCode>
                <c:ptCount val="14"/>
                <c:pt idx="0">
                  <c:v>0.14501572629822196</c:v>
                </c:pt>
                <c:pt idx="1">
                  <c:v>0.16750420999171367</c:v>
                </c:pt>
                <c:pt idx="2">
                  <c:v>0.23618220882781293</c:v>
                </c:pt>
                <c:pt idx="3">
                  <c:v>0.19855770601145853</c:v>
                </c:pt>
                <c:pt idx="4">
                  <c:v>0.26288073471795087</c:v>
                </c:pt>
                <c:pt idx="5">
                  <c:v>0.18831304058087714</c:v>
                </c:pt>
                <c:pt idx="6">
                  <c:v>8.89472149314669E-2</c:v>
                </c:pt>
                <c:pt idx="7">
                  <c:v>6.5708603323282225E-2</c:v>
                </c:pt>
                <c:pt idx="8">
                  <c:v>5.6125766597391338E-2</c:v>
                </c:pt>
                <c:pt idx="9">
                  <c:v>9.6010037017713851E-2</c:v>
                </c:pt>
                <c:pt idx="10">
                  <c:v>6.8443251533742325E-2</c:v>
                </c:pt>
                <c:pt idx="11">
                  <c:v>0.10382184772795666</c:v>
                </c:pt>
                <c:pt idx="12">
                  <c:v>0.10954283968843863</c:v>
                </c:pt>
                <c:pt idx="13">
                  <c:v>9.2619301436006773E-2</c:v>
                </c:pt>
              </c:numCache>
            </c:numRef>
          </c:val>
          <c:smooth val="0"/>
          <c:extLst>
            <c:ext xmlns:c16="http://schemas.microsoft.com/office/drawing/2014/chart" uri="{C3380CC4-5D6E-409C-BE32-E72D297353CC}">
              <c16:uniqueId val="{00000000-52B3-4C3E-A33F-949658E84D67}"/>
            </c:ext>
          </c:extLst>
        </c:ser>
        <c:dLbls>
          <c:showLegendKey val="0"/>
          <c:showVal val="0"/>
          <c:showCatName val="0"/>
          <c:showSerName val="0"/>
          <c:showPercent val="0"/>
          <c:showBubbleSize val="0"/>
        </c:dLbls>
        <c:marker val="1"/>
        <c:smooth val="0"/>
        <c:axId val="562204672"/>
        <c:axId val="562207744"/>
        <c:extLst>
          <c:ext xmlns:c15="http://schemas.microsoft.com/office/drawing/2012/chart" uri="{02D57815-91ED-43cb-92C2-25804820EDAC}">
            <c15:filteredLineSeries>
              <c15:ser>
                <c:idx val="2"/>
                <c:order val="2"/>
                <c:tx>
                  <c:v>20/21</c:v>
                </c:tx>
                <c:spPr>
                  <a:ln w="25400">
                    <a:solidFill>
                      <a:srgbClr val="00A89C"/>
                    </a:solidFill>
                    <a:prstDash val="sysDot"/>
                  </a:ln>
                </c:spPr>
                <c:marker>
                  <c:symbol val="none"/>
                </c:marker>
                <c:val>
                  <c:numRef>
                    <c:extLst>
                      <c:ext uri="{02D57815-91ED-43cb-92C2-25804820EDAC}">
                        <c15:formulaRef>
                          <c15:sqref>Summary!$D$244:$P$244</c15:sqref>
                        </c15:formulaRef>
                      </c:ext>
                    </c:extLst>
                    <c:numCache>
                      <c:formatCode>0.0%</c:formatCode>
                      <c:ptCount val="13"/>
                      <c:pt idx="0">
                        <c:v>0.14501572629822196</c:v>
                      </c:pt>
                      <c:pt idx="1">
                        <c:v>0.16750420999171367</c:v>
                      </c:pt>
                      <c:pt idx="2">
                        <c:v>0.23618220882781293</c:v>
                      </c:pt>
                      <c:pt idx="3">
                        <c:v>0.19855770601145853</c:v>
                      </c:pt>
                      <c:pt idx="4">
                        <c:v>0.26288073471795087</c:v>
                      </c:pt>
                      <c:pt idx="5">
                        <c:v>0.18831304058087714</c:v>
                      </c:pt>
                      <c:pt idx="6">
                        <c:v>8.89472149314669E-2</c:v>
                      </c:pt>
                      <c:pt idx="7">
                        <c:v>6.5708603323282225E-2</c:v>
                      </c:pt>
                      <c:pt idx="8">
                        <c:v>5.6125766597391338E-2</c:v>
                      </c:pt>
                      <c:pt idx="9">
                        <c:v>9.6010037017713851E-2</c:v>
                      </c:pt>
                      <c:pt idx="10">
                        <c:v>6.8443251533742325E-2</c:v>
                      </c:pt>
                      <c:pt idx="11">
                        <c:v>0.10382184772795666</c:v>
                      </c:pt>
                      <c:pt idx="12">
                        <c:v>0.10954283968843863</c:v>
                      </c:pt>
                    </c:numCache>
                  </c:numRef>
                </c:val>
                <c:smooth val="0"/>
                <c:extLst>
                  <c:ext xmlns:c16="http://schemas.microsoft.com/office/drawing/2014/chart" uri="{C3380CC4-5D6E-409C-BE32-E72D297353CC}">
                    <c16:uniqueId val="{00000002-AEB2-439C-9286-9EDB20708B64}"/>
                  </c:ext>
                </c:extLst>
              </c15:ser>
            </c15:filteredLineSeries>
          </c:ext>
        </c:extLst>
      </c:lineChart>
      <c:catAx>
        <c:axId val="56220467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2207744"/>
        <c:crosses val="autoZero"/>
        <c:auto val="1"/>
        <c:lblAlgn val="ctr"/>
        <c:lblOffset val="100"/>
        <c:noMultiLvlLbl val="0"/>
      </c:catAx>
      <c:valAx>
        <c:axId val="562207744"/>
        <c:scaling>
          <c:orientation val="minMax"/>
        </c:scaling>
        <c:delete val="0"/>
        <c:axPos val="l"/>
        <c:numFmt formatCode="0.0%" sourceLinked="0"/>
        <c:majorTickMark val="none"/>
        <c:minorTickMark val="none"/>
        <c:tickLblPos val="nextTo"/>
        <c:spPr>
          <a:ln w="50800">
            <a:solidFill>
              <a:srgbClr val="CED8DD"/>
            </a:solidFill>
          </a:ln>
        </c:spPr>
        <c:txPr>
          <a:bodyPr/>
          <a:lstStyle/>
          <a:p>
            <a:pPr>
              <a:defRPr sz="800" b="1"/>
            </a:pPr>
            <a:endParaRPr lang="en-US"/>
          </a:p>
        </c:txPr>
        <c:crossAx val="562204672"/>
        <c:crosses val="autoZero"/>
        <c:crossBetween val="between"/>
      </c:valAx>
    </c:plotArea>
    <c:legend>
      <c:legendPos val="r"/>
      <c:layout>
        <c:manualLayout>
          <c:xMode val="edge"/>
          <c:yMode val="edge"/>
          <c:x val="0.55005014468760471"/>
          <c:y val="9.553811081287656E-3"/>
          <c:w val="0.44994989016820025"/>
          <c:h val="0.11497762612948918"/>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6.8013724846894136E-2"/>
          <c:y val="6.2453703703703713E-2"/>
          <c:w val="0.90911089238845144"/>
          <c:h val="0.74377762365196576"/>
        </c:manualLayout>
      </c:layout>
      <c:barChart>
        <c:barDir val="col"/>
        <c:grouping val="clustered"/>
        <c:varyColors val="0"/>
        <c:ser>
          <c:idx val="1"/>
          <c:order val="1"/>
          <c:tx>
            <c:strRef>
              <c:f>Summary!$C$52</c:f>
              <c:strCache>
                <c:ptCount val="1"/>
                <c:pt idx="0">
                  <c:v>24/25</c:v>
                </c:pt>
              </c:strCache>
            </c:strRef>
          </c:tx>
          <c:spPr>
            <a:solidFill>
              <a:srgbClr val="2C72B3"/>
            </a:solidFill>
          </c:spPr>
          <c:invertIfNegative val="0"/>
          <c:val>
            <c:numRef>
              <c:f>Summary!$D$52:$Q$52</c:f>
              <c:numCache>
                <c:formatCode>#,##0</c:formatCode>
                <c:ptCount val="14"/>
                <c:pt idx="0">
                  <c:v>102070</c:v>
                </c:pt>
                <c:pt idx="1">
                  <c:v>102179.42857142857</c:v>
                </c:pt>
                <c:pt idx="2">
                  <c:v>102464</c:v>
                </c:pt>
                <c:pt idx="3">
                  <c:v>102603.85714285714</c:v>
                </c:pt>
                <c:pt idx="4">
                  <c:v>101308.85714285714</c:v>
                </c:pt>
                <c:pt idx="5">
                  <c:v>102545.85714285714</c:v>
                </c:pt>
                <c:pt idx="6">
                  <c:v>103847</c:v>
                </c:pt>
                <c:pt idx="7">
                  <c:v>103327.42857142857</c:v>
                </c:pt>
                <c:pt idx="8">
                  <c:v>0</c:v>
                </c:pt>
                <c:pt idx="9">
                  <c:v>0</c:v>
                </c:pt>
                <c:pt idx="10">
                  <c:v>0</c:v>
                </c:pt>
                <c:pt idx="11">
                  <c:v>0</c:v>
                </c:pt>
                <c:pt idx="12">
                  <c:v>0</c:v>
                </c:pt>
                <c:pt idx="13">
                  <c:v>0</c:v>
                </c:pt>
              </c:numCache>
            </c:numRef>
          </c:val>
          <c:extLst>
            <c:ext xmlns:c16="http://schemas.microsoft.com/office/drawing/2014/chart" uri="{C3380CC4-5D6E-409C-BE32-E72D297353CC}">
              <c16:uniqueId val="{00000000-C4E5-4C27-B463-332B80ADCEDA}"/>
            </c:ext>
          </c:extLst>
        </c:ser>
        <c:dLbls>
          <c:showLegendKey val="0"/>
          <c:showVal val="0"/>
          <c:showCatName val="0"/>
          <c:showSerName val="0"/>
          <c:showPercent val="0"/>
          <c:showBubbleSize val="0"/>
        </c:dLbls>
        <c:gapWidth val="50"/>
        <c:axId val="563149440"/>
        <c:axId val="563173632"/>
      </c:barChart>
      <c:lineChart>
        <c:grouping val="standard"/>
        <c:varyColors val="0"/>
        <c:ser>
          <c:idx val="0"/>
          <c:order val="0"/>
          <c:tx>
            <c:strRef>
              <c:f>Summary!$C$50</c:f>
              <c:strCache>
                <c:ptCount val="1"/>
                <c:pt idx="0">
                  <c:v>23/24</c:v>
                </c:pt>
              </c:strCache>
            </c:strRef>
          </c:tx>
          <c:spPr>
            <a:ln w="25400">
              <a:solidFill>
                <a:srgbClr val="F79131"/>
              </a:solidFill>
              <a:prstDash val="solid"/>
            </a:ln>
          </c:spPr>
          <c:marker>
            <c:symbol val="none"/>
          </c:marker>
          <c:val>
            <c:numRef>
              <c:f>Summary!$D$50:$Q$50</c:f>
              <c:numCache>
                <c:formatCode>#,##0</c:formatCode>
                <c:ptCount val="14"/>
                <c:pt idx="0">
                  <c:v>100903.42857142857</c:v>
                </c:pt>
                <c:pt idx="1">
                  <c:v>101259.57142857143</c:v>
                </c:pt>
                <c:pt idx="2">
                  <c:v>101199.42857142857</c:v>
                </c:pt>
                <c:pt idx="3">
                  <c:v>100739.85714285714</c:v>
                </c:pt>
                <c:pt idx="4">
                  <c:v>100008</c:v>
                </c:pt>
                <c:pt idx="5">
                  <c:v>102225.57142857143</c:v>
                </c:pt>
                <c:pt idx="6">
                  <c:v>102783.85714285714</c:v>
                </c:pt>
                <c:pt idx="7">
                  <c:v>103277.28571428571</c:v>
                </c:pt>
                <c:pt idx="8">
                  <c:v>103688.14285714286</c:v>
                </c:pt>
                <c:pt idx="9">
                  <c:v>103584</c:v>
                </c:pt>
                <c:pt idx="10">
                  <c:v>103557.28571428571</c:v>
                </c:pt>
                <c:pt idx="11">
                  <c:v>103596.85714285714</c:v>
                </c:pt>
                <c:pt idx="12">
                  <c:v>103273</c:v>
                </c:pt>
                <c:pt idx="13">
                  <c:v>102893.57142857143</c:v>
                </c:pt>
              </c:numCache>
            </c:numRef>
          </c:val>
          <c:smooth val="0"/>
          <c:extLst>
            <c:ext xmlns:c16="http://schemas.microsoft.com/office/drawing/2014/chart" uri="{C3380CC4-5D6E-409C-BE32-E72D297353CC}">
              <c16:uniqueId val="{00000001-C4E5-4C27-B463-332B80ADCEDA}"/>
            </c:ext>
          </c:extLst>
        </c:ser>
        <c:ser>
          <c:idx val="3"/>
          <c:order val="3"/>
          <c:tx>
            <c:v>22/23</c:v>
          </c:tx>
          <c:spPr>
            <a:ln>
              <a:solidFill>
                <a:srgbClr val="C00848"/>
              </a:solidFill>
              <a:prstDash val="sysDash"/>
            </a:ln>
          </c:spPr>
          <c:marker>
            <c:symbol val="none"/>
          </c:marker>
          <c:val>
            <c:numRef>
              <c:f>Summary!$D$49:$Q$49</c:f>
              <c:numCache>
                <c:formatCode>#,##0</c:formatCode>
                <c:ptCount val="14"/>
                <c:pt idx="0">
                  <c:v>99508</c:v>
                </c:pt>
                <c:pt idx="1">
                  <c:v>99673.71428571429</c:v>
                </c:pt>
                <c:pt idx="2">
                  <c:v>100100.85714285714</c:v>
                </c:pt>
                <c:pt idx="3">
                  <c:v>99939.857142857145</c:v>
                </c:pt>
                <c:pt idx="4">
                  <c:v>100270.57142857143</c:v>
                </c:pt>
                <c:pt idx="5">
                  <c:v>102134.28571428571</c:v>
                </c:pt>
                <c:pt idx="6">
                  <c:v>102229.71428571429</c:v>
                </c:pt>
                <c:pt idx="7">
                  <c:v>101472.85714285714</c:v>
                </c:pt>
                <c:pt idx="8">
                  <c:v>101048.14285714286</c:v>
                </c:pt>
                <c:pt idx="9">
                  <c:v>101375.14285714286</c:v>
                </c:pt>
                <c:pt idx="10">
                  <c:v>100855.42857142857</c:v>
                </c:pt>
                <c:pt idx="11">
                  <c:v>101067.28571428571</c:v>
                </c:pt>
                <c:pt idx="12">
                  <c:v>101067.57142857143</c:v>
                </c:pt>
                <c:pt idx="13">
                  <c:v>101029.14285714286</c:v>
                </c:pt>
              </c:numCache>
            </c:numRef>
          </c:val>
          <c:smooth val="0"/>
          <c:extLst>
            <c:ext xmlns:c16="http://schemas.microsoft.com/office/drawing/2014/chart" uri="{C3380CC4-5D6E-409C-BE32-E72D297353CC}">
              <c16:uniqueId val="{00000000-CA54-467E-BE04-EF0E97A0D9AD}"/>
            </c:ext>
          </c:extLst>
        </c:ser>
        <c:dLbls>
          <c:showLegendKey val="0"/>
          <c:showVal val="0"/>
          <c:showCatName val="0"/>
          <c:showSerName val="0"/>
          <c:showPercent val="0"/>
          <c:showBubbleSize val="0"/>
        </c:dLbls>
        <c:marker val="1"/>
        <c:smooth val="0"/>
        <c:axId val="563149440"/>
        <c:axId val="563173632"/>
        <c:extLst>
          <c:ext xmlns:c15="http://schemas.microsoft.com/office/drawing/2012/chart" uri="{02D57815-91ED-43cb-92C2-25804820EDAC}">
            <c15:filteredLineSeries>
              <c15:ser>
                <c:idx val="2"/>
                <c:order val="2"/>
                <c:tx>
                  <c:v>20/21</c:v>
                </c:tx>
                <c:spPr>
                  <a:ln w="25400">
                    <a:solidFill>
                      <a:srgbClr val="00A89C"/>
                    </a:solidFill>
                    <a:prstDash val="sysDot"/>
                  </a:ln>
                </c:spPr>
                <c:marker>
                  <c:symbol val="none"/>
                </c:marker>
                <c:val>
                  <c:numRef>
                    <c:extLst>
                      <c:ext uri="{02D57815-91ED-43cb-92C2-25804820EDAC}">
                        <c15:formulaRef>
                          <c15:sqref>Summary!$D$49:$P$49</c15:sqref>
                        </c15:formulaRef>
                      </c:ext>
                    </c:extLst>
                    <c:numCache>
                      <c:formatCode>#,##0</c:formatCode>
                      <c:ptCount val="13"/>
                      <c:pt idx="0">
                        <c:v>99508</c:v>
                      </c:pt>
                      <c:pt idx="1">
                        <c:v>99673.71428571429</c:v>
                      </c:pt>
                      <c:pt idx="2">
                        <c:v>100100.85714285714</c:v>
                      </c:pt>
                      <c:pt idx="3">
                        <c:v>99939.857142857145</c:v>
                      </c:pt>
                      <c:pt idx="4">
                        <c:v>100270.57142857143</c:v>
                      </c:pt>
                      <c:pt idx="5">
                        <c:v>102134.28571428571</c:v>
                      </c:pt>
                      <c:pt idx="6">
                        <c:v>102229.71428571429</c:v>
                      </c:pt>
                      <c:pt idx="7">
                        <c:v>101472.85714285714</c:v>
                      </c:pt>
                      <c:pt idx="8">
                        <c:v>101048.14285714286</c:v>
                      </c:pt>
                      <c:pt idx="9">
                        <c:v>101375.14285714286</c:v>
                      </c:pt>
                      <c:pt idx="10">
                        <c:v>100855.42857142857</c:v>
                      </c:pt>
                      <c:pt idx="11">
                        <c:v>101067.28571428571</c:v>
                      </c:pt>
                      <c:pt idx="12">
                        <c:v>101067.57142857143</c:v>
                      </c:pt>
                    </c:numCache>
                  </c:numRef>
                </c:val>
                <c:smooth val="0"/>
                <c:extLst>
                  <c:ext xmlns:c16="http://schemas.microsoft.com/office/drawing/2014/chart" uri="{C3380CC4-5D6E-409C-BE32-E72D297353CC}">
                    <c16:uniqueId val="{00000002-C4E5-4C27-B463-332B80ADCEDA}"/>
                  </c:ext>
                </c:extLst>
              </c15:ser>
            </c15:filteredLineSeries>
          </c:ext>
        </c:extLst>
      </c:lineChart>
      <c:catAx>
        <c:axId val="563149440"/>
        <c:scaling>
          <c:orientation val="minMax"/>
        </c:scaling>
        <c:delete val="0"/>
        <c:axPos val="b"/>
        <c:title>
          <c:tx>
            <c:rich>
              <a:bodyPr/>
              <a:lstStyle/>
              <a:p>
                <a:pPr>
                  <a:defRPr/>
                </a:pPr>
                <a:r>
                  <a:rPr lang="en-US"/>
                  <a:t>Week</a:t>
                </a:r>
              </a:p>
            </c:rich>
          </c:tx>
          <c:overlay val="0"/>
        </c:title>
        <c:numFmt formatCode="@" sourceLinked="1"/>
        <c:majorTickMark val="out"/>
        <c:minorTickMark val="none"/>
        <c:tickLblPos val="nextTo"/>
        <c:spPr>
          <a:ln w="3175">
            <a:solidFill>
              <a:srgbClr val="9DA6AB"/>
            </a:solidFill>
          </a:ln>
        </c:spPr>
        <c:txPr>
          <a:bodyPr/>
          <a:lstStyle/>
          <a:p>
            <a:pPr>
              <a:defRPr sz="800" b="1"/>
            </a:pPr>
            <a:endParaRPr lang="en-US"/>
          </a:p>
        </c:txPr>
        <c:crossAx val="563173632"/>
        <c:crosses val="autoZero"/>
        <c:auto val="1"/>
        <c:lblAlgn val="ctr"/>
        <c:lblOffset val="100"/>
        <c:noMultiLvlLbl val="0"/>
      </c:catAx>
      <c:valAx>
        <c:axId val="563173632"/>
        <c:scaling>
          <c:orientation val="minMax"/>
          <c:min val="80000"/>
        </c:scaling>
        <c:delete val="0"/>
        <c:axPos val="l"/>
        <c:numFmt formatCode="#,##0" sourceLinked="0"/>
        <c:majorTickMark val="out"/>
        <c:minorTickMark val="none"/>
        <c:tickLblPos val="nextTo"/>
        <c:spPr>
          <a:ln w="50800">
            <a:solidFill>
              <a:srgbClr val="CED8DD"/>
            </a:solidFill>
          </a:ln>
        </c:spPr>
        <c:txPr>
          <a:bodyPr/>
          <a:lstStyle/>
          <a:p>
            <a:pPr>
              <a:defRPr sz="800" b="1"/>
            </a:pPr>
            <a:endParaRPr lang="en-US"/>
          </a:p>
        </c:txPr>
        <c:crossAx val="563149440"/>
        <c:crosses val="autoZero"/>
        <c:crossBetween val="between"/>
      </c:valAx>
    </c:plotArea>
    <c:legend>
      <c:legendPos val="r"/>
      <c:layout>
        <c:manualLayout>
          <c:xMode val="edge"/>
          <c:yMode val="edge"/>
          <c:x val="0.34300941722396611"/>
          <c:y val="3.0690781210751194E-3"/>
          <c:w val="0.6008567212235042"/>
          <c:h val="8.9511684795606561E-2"/>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510861111111111"/>
          <c:y val="9.8247987457943595E-2"/>
          <c:w val="0.8622711111111111"/>
          <c:h val="0.652039669537952"/>
        </c:manualLayout>
      </c:layout>
      <c:barChart>
        <c:barDir val="col"/>
        <c:grouping val="clustered"/>
        <c:varyColors val="0"/>
        <c:ser>
          <c:idx val="1"/>
          <c:order val="0"/>
          <c:tx>
            <c:strRef>
              <c:f>Summary!$C$96</c:f>
              <c:strCache>
                <c:ptCount val="1"/>
                <c:pt idx="0">
                  <c:v>24/25</c:v>
                </c:pt>
              </c:strCache>
            </c:strRef>
          </c:tx>
          <c:spPr>
            <a:solidFill>
              <a:srgbClr val="2C72B3"/>
            </a:solidFill>
            <a:ln w="19050"/>
          </c:spPr>
          <c:invertIfNegative val="0"/>
          <c:cat>
            <c:numRef>
              <c:f>Summary!$D$5:$Q$5</c:f>
              <c:numCache>
                <c:formatCode>General</c:formatCode>
                <c:ptCount val="14"/>
                <c:pt idx="0">
                  <c:v>1</c:v>
                </c:pt>
                <c:pt idx="1">
                  <c:v>2</c:v>
                </c:pt>
                <c:pt idx="2">
                  <c:v>3</c:v>
                </c:pt>
                <c:pt idx="3">
                  <c:v>4</c:v>
                </c:pt>
                <c:pt idx="4">
                  <c:v>5</c:v>
                </c:pt>
                <c:pt idx="5">
                  <c:v>6</c:v>
                </c:pt>
                <c:pt idx="6">
                  <c:v>7</c:v>
                </c:pt>
                <c:pt idx="7">
                  <c:v>8</c:v>
                </c:pt>
                <c:pt idx="8">
                  <c:v>9</c:v>
                </c:pt>
                <c:pt idx="9">
                  <c:v>10</c:v>
                </c:pt>
                <c:pt idx="10">
                  <c:v>11</c:v>
                </c:pt>
                <c:pt idx="11">
                  <c:v>12</c:v>
                </c:pt>
                <c:pt idx="12">
                  <c:v>13</c:v>
                </c:pt>
                <c:pt idx="13">
                  <c:v>14</c:v>
                </c:pt>
              </c:numCache>
            </c:numRef>
          </c:cat>
          <c:val>
            <c:numRef>
              <c:f>Summary!$D$96:$Q$96</c:f>
              <c:numCache>
                <c:formatCode>#,##0</c:formatCode>
                <c:ptCount val="14"/>
                <c:pt idx="0">
                  <c:v>27286.428571428572</c:v>
                </c:pt>
                <c:pt idx="1">
                  <c:v>27682.571428571428</c:v>
                </c:pt>
                <c:pt idx="2">
                  <c:v>28187.857142857141</c:v>
                </c:pt>
                <c:pt idx="3">
                  <c:v>27341.428571428572</c:v>
                </c:pt>
                <c:pt idx="4">
                  <c:v>26182.142857142859</c:v>
                </c:pt>
                <c:pt idx="5">
                  <c:v>29210.571428571428</c:v>
                </c:pt>
                <c:pt idx="6">
                  <c:v>30198</c:v>
                </c:pt>
                <c:pt idx="7">
                  <c:v>29728.285714285714</c:v>
                </c:pt>
                <c:pt idx="8">
                  <c:v>0</c:v>
                </c:pt>
                <c:pt idx="9">
                  <c:v>0</c:v>
                </c:pt>
                <c:pt idx="10">
                  <c:v>0</c:v>
                </c:pt>
                <c:pt idx="11">
                  <c:v>0</c:v>
                </c:pt>
                <c:pt idx="12">
                  <c:v>0</c:v>
                </c:pt>
                <c:pt idx="13">
                  <c:v>0</c:v>
                </c:pt>
              </c:numCache>
            </c:numRef>
          </c:val>
          <c:extLst>
            <c:ext xmlns:c16="http://schemas.microsoft.com/office/drawing/2014/chart" uri="{C3380CC4-5D6E-409C-BE32-E72D297353CC}">
              <c16:uniqueId val="{00000000-07CB-4E2A-AE55-88698CBB6D9B}"/>
            </c:ext>
          </c:extLst>
        </c:ser>
        <c:dLbls>
          <c:showLegendKey val="0"/>
          <c:showVal val="0"/>
          <c:showCatName val="0"/>
          <c:showSerName val="0"/>
          <c:showPercent val="0"/>
          <c:showBubbleSize val="0"/>
        </c:dLbls>
        <c:gapWidth val="50"/>
        <c:axId val="564020736"/>
        <c:axId val="564022656"/>
      </c:barChart>
      <c:lineChart>
        <c:grouping val="standard"/>
        <c:varyColors val="0"/>
        <c:ser>
          <c:idx val="0"/>
          <c:order val="1"/>
          <c:tx>
            <c:strRef>
              <c:f>Summary!$C$94</c:f>
              <c:strCache>
                <c:ptCount val="1"/>
                <c:pt idx="0">
                  <c:v>23/24</c:v>
                </c:pt>
              </c:strCache>
            </c:strRef>
          </c:tx>
          <c:spPr>
            <a:ln w="25400">
              <a:solidFill>
                <a:srgbClr val="F79131"/>
              </a:solidFill>
              <a:prstDash val="solid"/>
            </a:ln>
          </c:spPr>
          <c:marker>
            <c:symbol val="none"/>
          </c:marker>
          <c:val>
            <c:numRef>
              <c:f>Summary!$D$94:$Q$94</c:f>
              <c:numCache>
                <c:formatCode>#,##0</c:formatCode>
                <c:ptCount val="14"/>
                <c:pt idx="0">
                  <c:v>27718.285714285714</c:v>
                </c:pt>
                <c:pt idx="1">
                  <c:v>27836.428571428572</c:v>
                </c:pt>
                <c:pt idx="2">
                  <c:v>27728.857142857141</c:v>
                </c:pt>
                <c:pt idx="3">
                  <c:v>26518</c:v>
                </c:pt>
                <c:pt idx="4">
                  <c:v>26526.857142857141</c:v>
                </c:pt>
                <c:pt idx="5">
                  <c:v>29270.714285714286</c:v>
                </c:pt>
                <c:pt idx="6">
                  <c:v>29383.571428571428</c:v>
                </c:pt>
                <c:pt idx="7">
                  <c:v>29037.285714285714</c:v>
                </c:pt>
                <c:pt idx="8">
                  <c:v>28993</c:v>
                </c:pt>
                <c:pt idx="9">
                  <c:v>29295.285714285714</c:v>
                </c:pt>
                <c:pt idx="10">
                  <c:v>29500.142857142859</c:v>
                </c:pt>
                <c:pt idx="11">
                  <c:v>29430.428571428572</c:v>
                </c:pt>
                <c:pt idx="12">
                  <c:v>29191.857142857141</c:v>
                </c:pt>
                <c:pt idx="13">
                  <c:v>28860.857142857141</c:v>
                </c:pt>
              </c:numCache>
            </c:numRef>
          </c:val>
          <c:smooth val="0"/>
          <c:extLst>
            <c:ext xmlns:c16="http://schemas.microsoft.com/office/drawing/2014/chart" uri="{C3380CC4-5D6E-409C-BE32-E72D297353CC}">
              <c16:uniqueId val="{00000001-07CB-4E2A-AE55-88698CBB6D9B}"/>
            </c:ext>
          </c:extLst>
        </c:ser>
        <c:ser>
          <c:idx val="3"/>
          <c:order val="3"/>
          <c:tx>
            <c:v>22/23</c:v>
          </c:tx>
          <c:spPr>
            <a:ln>
              <a:solidFill>
                <a:srgbClr val="C00848"/>
              </a:solidFill>
              <a:prstDash val="dash"/>
            </a:ln>
          </c:spPr>
          <c:marker>
            <c:symbol val="none"/>
          </c:marker>
          <c:val>
            <c:numRef>
              <c:f>Summary!$D$93:$Q$93</c:f>
              <c:numCache>
                <c:formatCode>#,##0</c:formatCode>
                <c:ptCount val="14"/>
                <c:pt idx="0">
                  <c:v>28560.428571428572</c:v>
                </c:pt>
                <c:pt idx="1">
                  <c:v>28913.285714285714</c:v>
                </c:pt>
                <c:pt idx="2">
                  <c:v>29059.714285714286</c:v>
                </c:pt>
                <c:pt idx="3">
                  <c:v>27627.428571428572</c:v>
                </c:pt>
                <c:pt idx="4">
                  <c:v>28270</c:v>
                </c:pt>
                <c:pt idx="5">
                  <c:v>31189.571428571428</c:v>
                </c:pt>
                <c:pt idx="6">
                  <c:v>30965.142857142859</c:v>
                </c:pt>
                <c:pt idx="7">
                  <c:v>30045.571428571428</c:v>
                </c:pt>
                <c:pt idx="8">
                  <c:v>29542</c:v>
                </c:pt>
                <c:pt idx="9">
                  <c:v>29322.857142857141</c:v>
                </c:pt>
                <c:pt idx="10">
                  <c:v>29275.428571428572</c:v>
                </c:pt>
                <c:pt idx="11">
                  <c:v>29330.285714285714</c:v>
                </c:pt>
                <c:pt idx="12">
                  <c:v>29183.142857142859</c:v>
                </c:pt>
                <c:pt idx="13">
                  <c:v>29268.571428571428</c:v>
                </c:pt>
              </c:numCache>
            </c:numRef>
          </c:val>
          <c:smooth val="0"/>
          <c:extLst>
            <c:ext xmlns:c16="http://schemas.microsoft.com/office/drawing/2014/chart" uri="{C3380CC4-5D6E-409C-BE32-E72D297353CC}">
              <c16:uniqueId val="{00000000-D841-4728-BE70-F5E133A61CED}"/>
            </c:ext>
          </c:extLst>
        </c:ser>
        <c:dLbls>
          <c:showLegendKey val="0"/>
          <c:showVal val="0"/>
          <c:showCatName val="0"/>
          <c:showSerName val="0"/>
          <c:showPercent val="0"/>
          <c:showBubbleSize val="0"/>
        </c:dLbls>
        <c:marker val="1"/>
        <c:smooth val="0"/>
        <c:axId val="564020736"/>
        <c:axId val="564022656"/>
        <c:extLst>
          <c:ext xmlns:c15="http://schemas.microsoft.com/office/drawing/2012/chart" uri="{02D57815-91ED-43cb-92C2-25804820EDAC}">
            <c15:filteredLineSeries>
              <c15:ser>
                <c:idx val="2"/>
                <c:order val="2"/>
                <c:tx>
                  <c:v>20/21</c:v>
                </c:tx>
                <c:spPr>
                  <a:ln w="22225" cap="flat" cmpd="sng" algn="ctr">
                    <a:solidFill>
                      <a:srgbClr val="00A89C"/>
                    </a:solidFill>
                    <a:prstDash val="sysDot"/>
                  </a:ln>
                  <a:effectLst/>
                </c:spPr>
                <c:marker>
                  <c:symbol val="none"/>
                </c:marker>
                <c:val>
                  <c:numRef>
                    <c:extLst>
                      <c:ext uri="{02D57815-91ED-43cb-92C2-25804820EDAC}">
                        <c15:formulaRef>
                          <c15:sqref>Summary!$D$93:$P$93</c15:sqref>
                        </c15:formulaRef>
                      </c:ext>
                    </c:extLst>
                    <c:numCache>
                      <c:formatCode>#,##0</c:formatCode>
                      <c:ptCount val="13"/>
                      <c:pt idx="0">
                        <c:v>28560.428571428572</c:v>
                      </c:pt>
                      <c:pt idx="1">
                        <c:v>28913.285714285714</c:v>
                      </c:pt>
                      <c:pt idx="2">
                        <c:v>29059.714285714286</c:v>
                      </c:pt>
                      <c:pt idx="3">
                        <c:v>27627.428571428572</c:v>
                      </c:pt>
                      <c:pt idx="4">
                        <c:v>28270</c:v>
                      </c:pt>
                      <c:pt idx="5">
                        <c:v>31189.571428571428</c:v>
                      </c:pt>
                      <c:pt idx="6">
                        <c:v>30965.142857142859</c:v>
                      </c:pt>
                      <c:pt idx="7">
                        <c:v>30045.571428571428</c:v>
                      </c:pt>
                      <c:pt idx="8">
                        <c:v>29542</c:v>
                      </c:pt>
                      <c:pt idx="9">
                        <c:v>29322.857142857141</c:v>
                      </c:pt>
                      <c:pt idx="10">
                        <c:v>29275.428571428572</c:v>
                      </c:pt>
                      <c:pt idx="11">
                        <c:v>29330.285714285714</c:v>
                      </c:pt>
                      <c:pt idx="12">
                        <c:v>29183.142857142859</c:v>
                      </c:pt>
                    </c:numCache>
                  </c:numRef>
                </c:val>
                <c:smooth val="0"/>
                <c:extLst>
                  <c:ext xmlns:c16="http://schemas.microsoft.com/office/drawing/2014/chart" uri="{C3380CC4-5D6E-409C-BE32-E72D297353CC}">
                    <c16:uniqueId val="{00000000-020C-4E10-B39A-76CFECA96E9D}"/>
                  </c:ext>
                </c:extLst>
              </c15:ser>
            </c15:filteredLineSeries>
          </c:ext>
        </c:extLst>
      </c:lineChart>
      <c:catAx>
        <c:axId val="564020736"/>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4022656"/>
        <c:crosses val="autoZero"/>
        <c:auto val="1"/>
        <c:lblAlgn val="ctr"/>
        <c:lblOffset val="100"/>
        <c:noMultiLvlLbl val="0"/>
      </c:catAx>
      <c:valAx>
        <c:axId val="564022656"/>
        <c:scaling>
          <c:orientation val="minMax"/>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564020736"/>
        <c:crosses val="autoZero"/>
        <c:crossBetween val="between"/>
      </c:valAx>
    </c:plotArea>
    <c:legend>
      <c:legendPos val="r"/>
      <c:layout>
        <c:manualLayout>
          <c:xMode val="edge"/>
          <c:yMode val="edge"/>
          <c:x val="0.50946872561181189"/>
          <c:y val="8.2540363968860997E-3"/>
          <c:w val="0.48603952636170766"/>
          <c:h val="0.14798922975544776"/>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71388888888889"/>
          <c:y val="6.2453703703703713E-2"/>
          <c:w val="0.8813563888888889"/>
          <c:h val="0.74377762365196576"/>
        </c:manualLayout>
      </c:layout>
      <c:barChart>
        <c:barDir val="col"/>
        <c:grouping val="clustered"/>
        <c:varyColors val="0"/>
        <c:ser>
          <c:idx val="1"/>
          <c:order val="0"/>
          <c:tx>
            <c:strRef>
              <c:f>Summary!$C$235</c:f>
              <c:strCache>
                <c:ptCount val="1"/>
                <c:pt idx="0">
                  <c:v>24/25</c:v>
                </c:pt>
              </c:strCache>
            </c:strRef>
          </c:tx>
          <c:spPr>
            <a:solidFill>
              <a:srgbClr val="2C72B3"/>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Summary!$D$235:$Q$235</c:f>
              <c:numCache>
                <c:formatCode>0.0%</c:formatCode>
                <c:ptCount val="14"/>
                <c:pt idx="0">
                  <c:v>0.36055195881300128</c:v>
                </c:pt>
                <c:pt idx="1">
                  <c:v>0.35808992013525837</c:v>
                </c:pt>
                <c:pt idx="2">
                  <c:v>0.34483361183010602</c:v>
                </c:pt>
                <c:pt idx="3">
                  <c:v>0.36865026452750654</c:v>
                </c:pt>
                <c:pt idx="4">
                  <c:v>0.3214206343327019</c:v>
                </c:pt>
                <c:pt idx="5">
                  <c:v>0.42244889072739544</c:v>
                </c:pt>
                <c:pt idx="6">
                  <c:v>0.34828541146705871</c:v>
                </c:pt>
                <c:pt idx="7">
                  <c:v>0.29517137459517812</c:v>
                </c:pt>
                <c:pt idx="8">
                  <c:v>0</c:v>
                </c:pt>
                <c:pt idx="9">
                  <c:v>0</c:v>
                </c:pt>
                <c:pt idx="10">
                  <c:v>0</c:v>
                </c:pt>
                <c:pt idx="11">
                  <c:v>0</c:v>
                </c:pt>
                <c:pt idx="12">
                  <c:v>0</c:v>
                </c:pt>
                <c:pt idx="13">
                  <c:v>0</c:v>
                </c:pt>
              </c:numCache>
            </c:numRef>
          </c:val>
          <c:extLst>
            <c:ext xmlns:c16="http://schemas.microsoft.com/office/drawing/2014/chart" uri="{C3380CC4-5D6E-409C-BE32-E72D297353CC}">
              <c16:uniqueId val="{00000000-319D-4CD2-BF65-6BE46F42B4DB}"/>
            </c:ext>
          </c:extLst>
        </c:ser>
        <c:dLbls>
          <c:showLegendKey val="0"/>
          <c:showVal val="0"/>
          <c:showCatName val="0"/>
          <c:showSerName val="0"/>
          <c:showPercent val="0"/>
          <c:showBubbleSize val="0"/>
        </c:dLbls>
        <c:gapWidth val="50"/>
        <c:axId val="565834112"/>
        <c:axId val="565836800"/>
      </c:barChart>
      <c:lineChart>
        <c:grouping val="standard"/>
        <c:varyColors val="0"/>
        <c:ser>
          <c:idx val="0"/>
          <c:order val="1"/>
          <c:tx>
            <c:strRef>
              <c:f>Summary!$C$233</c:f>
              <c:strCache>
                <c:ptCount val="1"/>
                <c:pt idx="0">
                  <c:v>23/24</c:v>
                </c:pt>
              </c:strCache>
            </c:strRef>
          </c:tx>
          <c:spPr>
            <a:ln w="25400">
              <a:solidFill>
                <a:srgbClr val="F79131"/>
              </a:solidFill>
              <a:prstDash val="solid"/>
            </a:ln>
          </c:spPr>
          <c:marker>
            <c:symbol val="none"/>
          </c:marker>
          <c:val>
            <c:numRef>
              <c:f>Summary!$D$233:$Q$233</c:f>
              <c:numCache>
                <c:formatCode>0.0%</c:formatCode>
                <c:ptCount val="14"/>
                <c:pt idx="0">
                  <c:v>0.26902578899049756</c:v>
                </c:pt>
                <c:pt idx="1">
                  <c:v>0.33818294014335215</c:v>
                </c:pt>
                <c:pt idx="2">
                  <c:v>0.33051685811715142</c:v>
                </c:pt>
                <c:pt idx="3">
                  <c:v>0.22927857555588846</c:v>
                </c:pt>
                <c:pt idx="4">
                  <c:v>0.28941181499529794</c:v>
                </c:pt>
                <c:pt idx="5">
                  <c:v>0.30897472433522588</c:v>
                </c:pt>
                <c:pt idx="6">
                  <c:v>0.25720424391432434</c:v>
                </c:pt>
                <c:pt idx="7">
                  <c:v>0.32175553459468459</c:v>
                </c:pt>
                <c:pt idx="8">
                  <c:v>0.33926886399715805</c:v>
                </c:pt>
                <c:pt idx="9">
                  <c:v>0.30711746513905858</c:v>
                </c:pt>
                <c:pt idx="10">
                  <c:v>0.32573307755549463</c:v>
                </c:pt>
                <c:pt idx="11">
                  <c:v>0.29868981952851403</c:v>
                </c:pt>
                <c:pt idx="12">
                  <c:v>0.27043462122121903</c:v>
                </c:pt>
                <c:pt idx="13">
                  <c:v>0.23692636072572038</c:v>
                </c:pt>
              </c:numCache>
            </c:numRef>
          </c:val>
          <c:smooth val="0"/>
          <c:extLst>
            <c:ext xmlns:c16="http://schemas.microsoft.com/office/drawing/2014/chart" uri="{C3380CC4-5D6E-409C-BE32-E72D297353CC}">
              <c16:uniqueId val="{00000001-319D-4CD2-BF65-6BE46F42B4DB}"/>
            </c:ext>
          </c:extLst>
        </c:ser>
        <c:ser>
          <c:idx val="3"/>
          <c:order val="3"/>
          <c:tx>
            <c:v>22/23</c:v>
          </c:tx>
          <c:spPr>
            <a:ln>
              <a:solidFill>
                <a:srgbClr val="C00848"/>
              </a:solidFill>
              <a:prstDash val="sysDash"/>
            </a:ln>
          </c:spPr>
          <c:marker>
            <c:symbol val="none"/>
          </c:marker>
          <c:val>
            <c:numRef>
              <c:f>Summary!$D$232:$Q$232</c:f>
              <c:numCache>
                <c:formatCode>0.0%</c:formatCode>
                <c:ptCount val="14"/>
                <c:pt idx="0">
                  <c:v>0.30673342319789459</c:v>
                </c:pt>
                <c:pt idx="1">
                  <c:v>0.33654540108524233</c:v>
                </c:pt>
                <c:pt idx="2">
                  <c:v>0.40526900171595842</c:v>
                </c:pt>
                <c:pt idx="3">
                  <c:v>0.37404155858963029</c:v>
                </c:pt>
                <c:pt idx="4">
                  <c:v>0.43656176714271672</c:v>
                </c:pt>
                <c:pt idx="5">
                  <c:v>0.35748101459134513</c:v>
                </c:pt>
                <c:pt idx="6">
                  <c:v>0.2335541390659501</c:v>
                </c:pt>
                <c:pt idx="7">
                  <c:v>0.201629563097453</c:v>
                </c:pt>
                <c:pt idx="8">
                  <c:v>0.18175211332253829</c:v>
                </c:pt>
                <c:pt idx="9">
                  <c:v>0.23595687063675436</c:v>
                </c:pt>
                <c:pt idx="10">
                  <c:v>0.20021728016359919</c:v>
                </c:pt>
                <c:pt idx="11">
                  <c:v>0.2496112950145451</c:v>
                </c:pt>
                <c:pt idx="12">
                  <c:v>0.25768721682024132</c:v>
                </c:pt>
                <c:pt idx="13">
                  <c:v>0.23293409418699443</c:v>
                </c:pt>
              </c:numCache>
            </c:numRef>
          </c:val>
          <c:smooth val="0"/>
          <c:extLst>
            <c:ext xmlns:c16="http://schemas.microsoft.com/office/drawing/2014/chart" uri="{C3380CC4-5D6E-409C-BE32-E72D297353CC}">
              <c16:uniqueId val="{00000000-A6A8-41C0-84FB-1B44C1A38503}"/>
            </c:ext>
          </c:extLst>
        </c:ser>
        <c:dLbls>
          <c:showLegendKey val="0"/>
          <c:showVal val="0"/>
          <c:showCatName val="0"/>
          <c:showSerName val="0"/>
          <c:showPercent val="0"/>
          <c:showBubbleSize val="0"/>
        </c:dLbls>
        <c:marker val="1"/>
        <c:smooth val="0"/>
        <c:axId val="565834112"/>
        <c:axId val="565836800"/>
        <c:extLst>
          <c:ext xmlns:c15="http://schemas.microsoft.com/office/drawing/2012/chart" uri="{02D57815-91ED-43cb-92C2-25804820EDAC}">
            <c15:filteredLineSeries>
              <c15:ser>
                <c:idx val="2"/>
                <c:order val="2"/>
                <c:tx>
                  <c:v>20/21</c:v>
                </c:tx>
                <c:spPr>
                  <a:ln w="25400">
                    <a:solidFill>
                      <a:srgbClr val="00A89C"/>
                    </a:solidFill>
                    <a:prstDash val="sysDot"/>
                  </a:ln>
                </c:spPr>
                <c:marker>
                  <c:symbol val="none"/>
                </c:marker>
                <c:val>
                  <c:numRef>
                    <c:extLst>
                      <c:ext uri="{02D57815-91ED-43cb-92C2-25804820EDAC}">
                        <c15:formulaRef>
                          <c15:sqref>Summary!$D$232:$P$232</c15:sqref>
                        </c15:formulaRef>
                      </c:ext>
                    </c:extLst>
                    <c:numCache>
                      <c:formatCode>0.0%</c:formatCode>
                      <c:ptCount val="13"/>
                      <c:pt idx="0">
                        <c:v>0.30673342319789459</c:v>
                      </c:pt>
                      <c:pt idx="1">
                        <c:v>0.33654540108524233</c:v>
                      </c:pt>
                      <c:pt idx="2">
                        <c:v>0.40526900171595842</c:v>
                      </c:pt>
                      <c:pt idx="3">
                        <c:v>0.37404155858963029</c:v>
                      </c:pt>
                      <c:pt idx="4">
                        <c:v>0.43656176714271672</c:v>
                      </c:pt>
                      <c:pt idx="5">
                        <c:v>0.35748101459134513</c:v>
                      </c:pt>
                      <c:pt idx="6">
                        <c:v>0.2335541390659501</c:v>
                      </c:pt>
                      <c:pt idx="7">
                        <c:v>0.201629563097453</c:v>
                      </c:pt>
                      <c:pt idx="8">
                        <c:v>0.18175211332253829</c:v>
                      </c:pt>
                      <c:pt idx="9">
                        <c:v>0.23595687063675436</c:v>
                      </c:pt>
                      <c:pt idx="10">
                        <c:v>0.20021728016359919</c:v>
                      </c:pt>
                      <c:pt idx="11">
                        <c:v>0.2496112950145451</c:v>
                      </c:pt>
                      <c:pt idx="12">
                        <c:v>0.25768721682024132</c:v>
                      </c:pt>
                    </c:numCache>
                  </c:numRef>
                </c:val>
                <c:smooth val="0"/>
                <c:extLst>
                  <c:ext xmlns:c16="http://schemas.microsoft.com/office/drawing/2014/chart" uri="{C3380CC4-5D6E-409C-BE32-E72D297353CC}">
                    <c16:uniqueId val="{00000002-319D-4CD2-BF65-6BE46F42B4DB}"/>
                  </c:ext>
                </c:extLst>
              </c15:ser>
            </c15:filteredLineSeries>
          </c:ext>
        </c:extLst>
      </c:lineChart>
      <c:catAx>
        <c:axId val="56583411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5836800"/>
        <c:crosses val="autoZero"/>
        <c:auto val="1"/>
        <c:lblAlgn val="ctr"/>
        <c:lblOffset val="100"/>
        <c:noMultiLvlLbl val="0"/>
      </c:catAx>
      <c:valAx>
        <c:axId val="565836800"/>
        <c:scaling>
          <c:orientation val="minMax"/>
        </c:scaling>
        <c:delete val="0"/>
        <c:axPos val="l"/>
        <c:numFmt formatCode="0.0%" sourceLinked="0"/>
        <c:majorTickMark val="none"/>
        <c:minorTickMark val="none"/>
        <c:tickLblPos val="nextTo"/>
        <c:spPr>
          <a:ln w="50800">
            <a:solidFill>
              <a:srgbClr val="CED8DD"/>
            </a:solidFill>
          </a:ln>
        </c:spPr>
        <c:txPr>
          <a:bodyPr/>
          <a:lstStyle/>
          <a:p>
            <a:pPr>
              <a:defRPr sz="800" b="1"/>
            </a:pPr>
            <a:endParaRPr lang="en-US"/>
          </a:p>
        </c:txPr>
        <c:crossAx val="565834112"/>
        <c:crosses val="autoZero"/>
        <c:crossBetween val="between"/>
      </c:valAx>
    </c:plotArea>
    <c:legend>
      <c:legendPos val="r"/>
      <c:layout>
        <c:manualLayout>
          <c:xMode val="edge"/>
          <c:yMode val="edge"/>
          <c:x val="0.55005014468760471"/>
          <c:y val="9.553811081287656E-3"/>
          <c:w val="0.44994973776835689"/>
          <c:h val="0.17546774409536164"/>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71388888888889"/>
          <c:y val="6.2453703703703713E-2"/>
          <c:w val="0.8813563888888889"/>
          <c:h val="0.74377762365196576"/>
        </c:manualLayout>
      </c:layout>
      <c:barChart>
        <c:barDir val="col"/>
        <c:grouping val="clustered"/>
        <c:varyColors val="0"/>
        <c:ser>
          <c:idx val="1"/>
          <c:order val="0"/>
          <c:tx>
            <c:strRef>
              <c:f>Summary!$C$317</c:f>
              <c:strCache>
                <c:ptCount val="1"/>
                <c:pt idx="0">
                  <c:v>21/22</c:v>
                </c:pt>
              </c:strCache>
            </c:strRef>
          </c:tx>
          <c:spPr>
            <a:solidFill>
              <a:srgbClr val="00A89C"/>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Summary!$D$317:$P$317</c:f>
            </c:numRef>
          </c:val>
          <c:extLst>
            <c:ext xmlns:c16="http://schemas.microsoft.com/office/drawing/2014/chart" uri="{C3380CC4-5D6E-409C-BE32-E72D297353CC}">
              <c16:uniqueId val="{00000000-114A-4476-BCCF-CF82A82166DD}"/>
            </c:ext>
          </c:extLst>
        </c:ser>
        <c:dLbls>
          <c:showLegendKey val="0"/>
          <c:showVal val="0"/>
          <c:showCatName val="0"/>
          <c:showSerName val="0"/>
          <c:showPercent val="0"/>
          <c:showBubbleSize val="0"/>
        </c:dLbls>
        <c:gapWidth val="50"/>
        <c:axId val="562204672"/>
        <c:axId val="562207744"/>
      </c:barChart>
      <c:catAx>
        <c:axId val="56220467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2207744"/>
        <c:crosses val="autoZero"/>
        <c:auto val="1"/>
        <c:lblAlgn val="ctr"/>
        <c:lblOffset val="100"/>
        <c:noMultiLvlLbl val="0"/>
      </c:catAx>
      <c:valAx>
        <c:axId val="562207744"/>
        <c:scaling>
          <c:orientation val="minMax"/>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562204672"/>
        <c:crosses val="autoZero"/>
        <c:crossBetween val="between"/>
      </c:valAx>
    </c:plotArea>
    <c:legend>
      <c:legendPos val="r"/>
      <c:layout>
        <c:manualLayout>
          <c:xMode val="edge"/>
          <c:yMode val="edge"/>
          <c:x val="0.70414095566986457"/>
          <c:y val="9.553811081287656E-3"/>
          <c:w val="0.28816825898242421"/>
          <c:h val="0.12522418605333518"/>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71388888888889"/>
          <c:y val="6.2453703703703713E-2"/>
          <c:w val="0.8813563888888889"/>
          <c:h val="0.74377762365196576"/>
        </c:manualLayout>
      </c:layout>
      <c:barChart>
        <c:barDir val="col"/>
        <c:grouping val="clustered"/>
        <c:varyColors val="0"/>
        <c:ser>
          <c:idx val="1"/>
          <c:order val="0"/>
          <c:tx>
            <c:strRef>
              <c:f>Summary!$C$289</c:f>
              <c:strCache>
                <c:ptCount val="1"/>
                <c:pt idx="0">
                  <c:v>24/25</c:v>
                </c:pt>
              </c:strCache>
            </c:strRef>
          </c:tx>
          <c:spPr>
            <a:solidFill>
              <a:srgbClr val="2C72B3"/>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Summary!$D$289:$Q$289</c:f>
              <c:numCache>
                <c:formatCode>0</c:formatCode>
                <c:ptCount val="14"/>
                <c:pt idx="0">
                  <c:v>148.57142857142858</c:v>
                </c:pt>
                <c:pt idx="1">
                  <c:v>162.42857142857142</c:v>
                </c:pt>
                <c:pt idx="2">
                  <c:v>136.42857142857142</c:v>
                </c:pt>
                <c:pt idx="3">
                  <c:v>94.285714285714292</c:v>
                </c:pt>
                <c:pt idx="4">
                  <c:v>84</c:v>
                </c:pt>
                <c:pt idx="5">
                  <c:v>78.142857142857139</c:v>
                </c:pt>
                <c:pt idx="6">
                  <c:v>58.714285714285715</c:v>
                </c:pt>
                <c:pt idx="7">
                  <c:v>34.428571428571431</c:v>
                </c:pt>
                <c:pt idx="8">
                  <c:v>0</c:v>
                </c:pt>
                <c:pt idx="9">
                  <c:v>0</c:v>
                </c:pt>
                <c:pt idx="10">
                  <c:v>0</c:v>
                </c:pt>
                <c:pt idx="11">
                  <c:v>0</c:v>
                </c:pt>
                <c:pt idx="12">
                  <c:v>0</c:v>
                </c:pt>
                <c:pt idx="13">
                  <c:v>0</c:v>
                </c:pt>
              </c:numCache>
            </c:numRef>
          </c:val>
          <c:extLst>
            <c:ext xmlns:c16="http://schemas.microsoft.com/office/drawing/2014/chart" uri="{C3380CC4-5D6E-409C-BE32-E72D297353CC}">
              <c16:uniqueId val="{00000000-6812-4235-BD83-CC22EFA27902}"/>
            </c:ext>
          </c:extLst>
        </c:ser>
        <c:dLbls>
          <c:showLegendKey val="0"/>
          <c:showVal val="0"/>
          <c:showCatName val="0"/>
          <c:showSerName val="0"/>
          <c:showPercent val="0"/>
          <c:showBubbleSize val="0"/>
        </c:dLbls>
        <c:gapWidth val="50"/>
        <c:axId val="562204672"/>
        <c:axId val="562207744"/>
      </c:barChart>
      <c:lineChart>
        <c:grouping val="standard"/>
        <c:varyColors val="0"/>
        <c:ser>
          <c:idx val="0"/>
          <c:order val="1"/>
          <c:tx>
            <c:strRef>
              <c:f>Summary!$C$287</c:f>
              <c:strCache>
                <c:ptCount val="1"/>
                <c:pt idx="0">
                  <c:v>23/24</c:v>
                </c:pt>
              </c:strCache>
            </c:strRef>
          </c:tx>
          <c:spPr>
            <a:ln w="25400">
              <a:solidFill>
                <a:srgbClr val="F79131"/>
              </a:solidFill>
              <a:prstDash val="solid"/>
            </a:ln>
          </c:spPr>
          <c:marker>
            <c:symbol val="none"/>
          </c:marker>
          <c:val>
            <c:numRef>
              <c:f>Summary!$D$287:$Q$287</c:f>
              <c:numCache>
                <c:formatCode>0</c:formatCode>
                <c:ptCount val="14"/>
                <c:pt idx="0">
                  <c:v>162.42857142857142</c:v>
                </c:pt>
                <c:pt idx="1">
                  <c:v>124</c:v>
                </c:pt>
                <c:pt idx="2">
                  <c:v>108.71428571428571</c:v>
                </c:pt>
                <c:pt idx="3">
                  <c:v>78.285714285714292</c:v>
                </c:pt>
                <c:pt idx="4">
                  <c:v>51.714285714285715</c:v>
                </c:pt>
                <c:pt idx="5">
                  <c:v>54.142857142857146</c:v>
                </c:pt>
                <c:pt idx="6">
                  <c:v>29.714285714285715</c:v>
                </c:pt>
                <c:pt idx="7">
                  <c:v>16.571428571428573</c:v>
                </c:pt>
                <c:pt idx="8">
                  <c:v>20.857142857142858</c:v>
                </c:pt>
                <c:pt idx="9">
                  <c:v>21.571428571428573</c:v>
                </c:pt>
                <c:pt idx="10">
                  <c:v>18.142857142857142</c:v>
                </c:pt>
                <c:pt idx="11">
                  <c:v>11.142857142857142</c:v>
                </c:pt>
                <c:pt idx="12">
                  <c:v>10.285714285714286</c:v>
                </c:pt>
                <c:pt idx="13">
                  <c:v>9.2857142857142865</c:v>
                </c:pt>
              </c:numCache>
            </c:numRef>
          </c:val>
          <c:smooth val="0"/>
          <c:extLst>
            <c:ext xmlns:c16="http://schemas.microsoft.com/office/drawing/2014/chart" uri="{C3380CC4-5D6E-409C-BE32-E72D297353CC}">
              <c16:uniqueId val="{00000000-60F2-4790-A8DE-A4B8C8A427FE}"/>
            </c:ext>
          </c:extLst>
        </c:ser>
        <c:ser>
          <c:idx val="2"/>
          <c:order val="2"/>
          <c:tx>
            <c:v>22/23</c:v>
          </c:tx>
          <c:spPr>
            <a:ln>
              <a:solidFill>
                <a:srgbClr val="C00848"/>
              </a:solidFill>
              <a:prstDash val="sysDash"/>
            </a:ln>
          </c:spPr>
          <c:marker>
            <c:symbol val="none"/>
          </c:marker>
          <c:val>
            <c:numRef>
              <c:f>Summary!$D$286:$Q$286</c:f>
              <c:numCache>
                <c:formatCode>0</c:formatCode>
                <c:ptCount val="14"/>
                <c:pt idx="0">
                  <c:v>138.42857142857142</c:v>
                </c:pt>
                <c:pt idx="1">
                  <c:v>126.57142857142857</c:v>
                </c:pt>
                <c:pt idx="2">
                  <c:v>110.28571428571429</c:v>
                </c:pt>
                <c:pt idx="3">
                  <c:v>103.42857142857143</c:v>
                </c:pt>
                <c:pt idx="4">
                  <c:v>88.142857142857139</c:v>
                </c:pt>
                <c:pt idx="5">
                  <c:v>64.857142857142861</c:v>
                </c:pt>
                <c:pt idx="6">
                  <c:v>47</c:v>
                </c:pt>
                <c:pt idx="7">
                  <c:v>30.714285714285715</c:v>
                </c:pt>
                <c:pt idx="8">
                  <c:v>30.285714285714285</c:v>
                </c:pt>
                <c:pt idx="9">
                  <c:v>24.857142857142858</c:v>
                </c:pt>
                <c:pt idx="10">
                  <c:v>23.142857142857142</c:v>
                </c:pt>
                <c:pt idx="11">
                  <c:v>16.142857142857142</c:v>
                </c:pt>
                <c:pt idx="12">
                  <c:v>8.4285714285714288</c:v>
                </c:pt>
                <c:pt idx="13">
                  <c:v>9.8571428571428577</c:v>
                </c:pt>
              </c:numCache>
            </c:numRef>
          </c:val>
          <c:smooth val="0"/>
          <c:extLst>
            <c:ext xmlns:c16="http://schemas.microsoft.com/office/drawing/2014/chart" uri="{C3380CC4-5D6E-409C-BE32-E72D297353CC}">
              <c16:uniqueId val="{00000000-4130-43C0-AAC2-A103C7B835DB}"/>
            </c:ext>
          </c:extLst>
        </c:ser>
        <c:dLbls>
          <c:showLegendKey val="0"/>
          <c:showVal val="0"/>
          <c:showCatName val="0"/>
          <c:showSerName val="0"/>
          <c:showPercent val="0"/>
          <c:showBubbleSize val="0"/>
        </c:dLbls>
        <c:marker val="1"/>
        <c:smooth val="0"/>
        <c:axId val="562204672"/>
        <c:axId val="562207744"/>
      </c:lineChart>
      <c:catAx>
        <c:axId val="56220467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2207744"/>
        <c:crosses val="autoZero"/>
        <c:auto val="1"/>
        <c:lblAlgn val="ctr"/>
        <c:lblOffset val="100"/>
        <c:noMultiLvlLbl val="0"/>
      </c:catAx>
      <c:valAx>
        <c:axId val="562207744"/>
        <c:scaling>
          <c:orientation val="minMax"/>
          <c:max val="200"/>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562204672"/>
        <c:crosses val="autoZero"/>
        <c:crossBetween val="between"/>
      </c:valAx>
    </c:plotArea>
    <c:legend>
      <c:legendPos val="r"/>
      <c:layout>
        <c:manualLayout>
          <c:xMode val="edge"/>
          <c:yMode val="edge"/>
          <c:x val="0.59114109102164714"/>
          <c:y val="9.553811081287656E-3"/>
          <c:w val="0.40885890897835286"/>
          <c:h val="0.19511746357569937"/>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71388888888889"/>
          <c:y val="6.2453703703703713E-2"/>
          <c:w val="0.8813563888888889"/>
          <c:h val="0.74377762365196576"/>
        </c:manualLayout>
      </c:layout>
      <c:barChart>
        <c:barDir val="col"/>
        <c:grouping val="clustered"/>
        <c:varyColors val="0"/>
        <c:ser>
          <c:idx val="1"/>
          <c:order val="0"/>
          <c:tx>
            <c:strRef>
              <c:f>Summary!$C$301</c:f>
              <c:strCache>
                <c:ptCount val="1"/>
                <c:pt idx="0">
                  <c:v>24/25</c:v>
                </c:pt>
              </c:strCache>
            </c:strRef>
          </c:tx>
          <c:spPr>
            <a:solidFill>
              <a:srgbClr val="2C72B3"/>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Summary!$D$301:$Q$301</c:f>
              <c:numCache>
                <c:formatCode>0</c:formatCode>
                <c:ptCount val="14"/>
                <c:pt idx="0">
                  <c:v>6.8571428571428568</c:v>
                </c:pt>
                <c:pt idx="1">
                  <c:v>10.428571428571429</c:v>
                </c:pt>
                <c:pt idx="2">
                  <c:v>9.1428571428571423</c:v>
                </c:pt>
                <c:pt idx="3">
                  <c:v>6.8571428571428568</c:v>
                </c:pt>
                <c:pt idx="4">
                  <c:v>10.285714285714286</c:v>
                </c:pt>
                <c:pt idx="5">
                  <c:v>6.4285714285714288</c:v>
                </c:pt>
                <c:pt idx="6">
                  <c:v>7.4285714285714288</c:v>
                </c:pt>
                <c:pt idx="7">
                  <c:v>5</c:v>
                </c:pt>
                <c:pt idx="8">
                  <c:v>0</c:v>
                </c:pt>
                <c:pt idx="9">
                  <c:v>0</c:v>
                </c:pt>
                <c:pt idx="10">
                  <c:v>0</c:v>
                </c:pt>
                <c:pt idx="11">
                  <c:v>0</c:v>
                </c:pt>
                <c:pt idx="12">
                  <c:v>0</c:v>
                </c:pt>
                <c:pt idx="13">
                  <c:v>0</c:v>
                </c:pt>
              </c:numCache>
            </c:numRef>
          </c:val>
          <c:extLst>
            <c:ext xmlns:c16="http://schemas.microsoft.com/office/drawing/2014/chart" uri="{C3380CC4-5D6E-409C-BE32-E72D297353CC}">
              <c16:uniqueId val="{00000000-1073-4BF4-82DF-21E2F8F9F1BB}"/>
            </c:ext>
          </c:extLst>
        </c:ser>
        <c:dLbls>
          <c:showLegendKey val="0"/>
          <c:showVal val="0"/>
          <c:showCatName val="0"/>
          <c:showSerName val="0"/>
          <c:showPercent val="0"/>
          <c:showBubbleSize val="0"/>
        </c:dLbls>
        <c:gapWidth val="50"/>
        <c:axId val="562204672"/>
        <c:axId val="562207744"/>
      </c:barChart>
      <c:lineChart>
        <c:grouping val="standard"/>
        <c:varyColors val="0"/>
        <c:ser>
          <c:idx val="0"/>
          <c:order val="1"/>
          <c:tx>
            <c:strRef>
              <c:f>Summary!$C$299</c:f>
              <c:strCache>
                <c:ptCount val="1"/>
                <c:pt idx="0">
                  <c:v>23/24</c:v>
                </c:pt>
              </c:strCache>
            </c:strRef>
          </c:tx>
          <c:spPr>
            <a:ln w="25400">
              <a:solidFill>
                <a:srgbClr val="F79131"/>
              </a:solidFill>
              <a:prstDash val="solid"/>
            </a:ln>
          </c:spPr>
          <c:marker>
            <c:symbol val="none"/>
          </c:marker>
          <c:val>
            <c:numRef>
              <c:f>Summary!$D$299:$Q$299</c:f>
              <c:numCache>
                <c:formatCode>0</c:formatCode>
                <c:ptCount val="14"/>
                <c:pt idx="0">
                  <c:v>16</c:v>
                </c:pt>
                <c:pt idx="1">
                  <c:v>16.571428571428573</c:v>
                </c:pt>
                <c:pt idx="2">
                  <c:v>15.142857142857142</c:v>
                </c:pt>
                <c:pt idx="3">
                  <c:v>4.8571428571428568</c:v>
                </c:pt>
                <c:pt idx="4">
                  <c:v>2</c:v>
                </c:pt>
                <c:pt idx="5">
                  <c:v>5.2857142857142856</c:v>
                </c:pt>
                <c:pt idx="6">
                  <c:v>2.7142857142857144</c:v>
                </c:pt>
                <c:pt idx="7">
                  <c:v>1.1428571428571428</c:v>
                </c:pt>
                <c:pt idx="8">
                  <c:v>1</c:v>
                </c:pt>
                <c:pt idx="9">
                  <c:v>2.5714285714285716</c:v>
                </c:pt>
                <c:pt idx="10">
                  <c:v>2.5714285714285716</c:v>
                </c:pt>
                <c:pt idx="11">
                  <c:v>2.2857142857142856</c:v>
                </c:pt>
                <c:pt idx="12">
                  <c:v>2.1428571428571428</c:v>
                </c:pt>
                <c:pt idx="13">
                  <c:v>1.8571428571428572</c:v>
                </c:pt>
              </c:numCache>
            </c:numRef>
          </c:val>
          <c:smooth val="0"/>
          <c:extLst>
            <c:ext xmlns:c16="http://schemas.microsoft.com/office/drawing/2014/chart" uri="{C3380CC4-5D6E-409C-BE32-E72D297353CC}">
              <c16:uniqueId val="{00000000-B34A-4788-A793-3AB0ACE87E59}"/>
            </c:ext>
          </c:extLst>
        </c:ser>
        <c:ser>
          <c:idx val="2"/>
          <c:order val="2"/>
          <c:tx>
            <c:v>22/23</c:v>
          </c:tx>
          <c:spPr>
            <a:ln>
              <a:solidFill>
                <a:srgbClr val="C00848"/>
              </a:solidFill>
              <a:prstDash val="sysDash"/>
            </a:ln>
          </c:spPr>
          <c:marker>
            <c:symbol val="none"/>
          </c:marker>
          <c:val>
            <c:numRef>
              <c:f>Summary!$D$298:$Q$298</c:f>
              <c:numCache>
                <c:formatCode>0</c:formatCode>
                <c:ptCount val="14"/>
                <c:pt idx="0">
                  <c:v>6.5714285714285712</c:v>
                </c:pt>
                <c:pt idx="1">
                  <c:v>4.7142857142857144</c:v>
                </c:pt>
                <c:pt idx="2">
                  <c:v>9.2857142857142865</c:v>
                </c:pt>
                <c:pt idx="3">
                  <c:v>5.2857142857142856</c:v>
                </c:pt>
                <c:pt idx="4">
                  <c:v>4.4285714285714288</c:v>
                </c:pt>
                <c:pt idx="5">
                  <c:v>2.2857142857142856</c:v>
                </c:pt>
                <c:pt idx="6">
                  <c:v>1.8571428571428572</c:v>
                </c:pt>
                <c:pt idx="7">
                  <c:v>0.7142857142857143</c:v>
                </c:pt>
                <c:pt idx="8">
                  <c:v>0</c:v>
                </c:pt>
                <c:pt idx="9">
                  <c:v>0.7142857142857143</c:v>
                </c:pt>
                <c:pt idx="10">
                  <c:v>1</c:v>
                </c:pt>
                <c:pt idx="11">
                  <c:v>0.2857142857142857</c:v>
                </c:pt>
                <c:pt idx="12">
                  <c:v>0</c:v>
                </c:pt>
                <c:pt idx="13">
                  <c:v>1.1428571428571428</c:v>
                </c:pt>
              </c:numCache>
            </c:numRef>
          </c:val>
          <c:smooth val="0"/>
          <c:extLst>
            <c:ext xmlns:c16="http://schemas.microsoft.com/office/drawing/2014/chart" uri="{C3380CC4-5D6E-409C-BE32-E72D297353CC}">
              <c16:uniqueId val="{00000000-633D-42EF-A6F1-650FF8FFA065}"/>
            </c:ext>
          </c:extLst>
        </c:ser>
        <c:dLbls>
          <c:showLegendKey val="0"/>
          <c:showVal val="0"/>
          <c:showCatName val="0"/>
          <c:showSerName val="0"/>
          <c:showPercent val="0"/>
          <c:showBubbleSize val="0"/>
        </c:dLbls>
        <c:marker val="1"/>
        <c:smooth val="0"/>
        <c:axId val="562204672"/>
        <c:axId val="562207744"/>
      </c:lineChart>
      <c:catAx>
        <c:axId val="56220467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2207744"/>
        <c:crosses val="autoZero"/>
        <c:auto val="1"/>
        <c:lblAlgn val="ctr"/>
        <c:lblOffset val="100"/>
        <c:noMultiLvlLbl val="0"/>
      </c:catAx>
      <c:valAx>
        <c:axId val="562207744"/>
        <c:scaling>
          <c:orientation val="minMax"/>
          <c:max val="20"/>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562204672"/>
        <c:crosses val="autoZero"/>
        <c:crossBetween val="between"/>
      </c:valAx>
    </c:plotArea>
    <c:legend>
      <c:legendPos val="r"/>
      <c:layout>
        <c:manualLayout>
          <c:xMode val="edge"/>
          <c:yMode val="edge"/>
          <c:x val="0.56032282756960172"/>
          <c:y val="9.5536579388524057E-3"/>
          <c:w val="0.43967717243039828"/>
          <c:h val="0.15389200619996571"/>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71388888888889"/>
          <c:y val="6.2453703703703713E-2"/>
          <c:w val="0.8813563888888889"/>
          <c:h val="0.74377762365196576"/>
        </c:manualLayout>
      </c:layout>
      <c:barChart>
        <c:barDir val="col"/>
        <c:grouping val="clustered"/>
        <c:varyColors val="0"/>
        <c:ser>
          <c:idx val="1"/>
          <c:order val="0"/>
          <c:tx>
            <c:strRef>
              <c:f>Summary!$C$263</c:f>
              <c:strCache>
                <c:ptCount val="1"/>
                <c:pt idx="0">
                  <c:v>24/25</c:v>
                </c:pt>
              </c:strCache>
            </c:strRef>
          </c:tx>
          <c:spPr>
            <a:solidFill>
              <a:srgbClr val="2C72B3"/>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Summary!$D$263:$Q$263</c:f>
              <c:numCache>
                <c:formatCode>#,##0</c:formatCode>
                <c:ptCount val="14"/>
                <c:pt idx="0">
                  <c:v>1059.5714285714287</c:v>
                </c:pt>
                <c:pt idx="1">
                  <c:v>1794.8571428571429</c:v>
                </c:pt>
                <c:pt idx="2">
                  <c:v>2503.8571428571427</c:v>
                </c:pt>
                <c:pt idx="3">
                  <c:v>3634.1428571428573</c:v>
                </c:pt>
                <c:pt idx="4">
                  <c:v>4257.7142857142853</c:v>
                </c:pt>
                <c:pt idx="5">
                  <c:v>5151.2857142857147</c:v>
                </c:pt>
                <c:pt idx="6">
                  <c:v>4692.8571428571431</c:v>
                </c:pt>
                <c:pt idx="7">
                  <c:v>3657</c:v>
                </c:pt>
                <c:pt idx="8">
                  <c:v>0</c:v>
                </c:pt>
                <c:pt idx="9">
                  <c:v>0</c:v>
                </c:pt>
                <c:pt idx="10">
                  <c:v>0</c:v>
                </c:pt>
                <c:pt idx="11">
                  <c:v>0</c:v>
                </c:pt>
                <c:pt idx="12">
                  <c:v>0</c:v>
                </c:pt>
                <c:pt idx="13">
                  <c:v>0</c:v>
                </c:pt>
              </c:numCache>
            </c:numRef>
          </c:val>
          <c:extLst>
            <c:ext xmlns:c16="http://schemas.microsoft.com/office/drawing/2014/chart" uri="{C3380CC4-5D6E-409C-BE32-E72D297353CC}">
              <c16:uniqueId val="{00000000-FB5F-431B-A789-8F2BD0025582}"/>
            </c:ext>
          </c:extLst>
        </c:ser>
        <c:dLbls>
          <c:showLegendKey val="0"/>
          <c:showVal val="0"/>
          <c:showCatName val="0"/>
          <c:showSerName val="0"/>
          <c:showPercent val="0"/>
          <c:showBubbleSize val="0"/>
        </c:dLbls>
        <c:gapWidth val="50"/>
        <c:axId val="562204672"/>
        <c:axId val="562207744"/>
      </c:barChart>
      <c:lineChart>
        <c:grouping val="standard"/>
        <c:varyColors val="0"/>
        <c:ser>
          <c:idx val="0"/>
          <c:order val="1"/>
          <c:tx>
            <c:strRef>
              <c:f>Summary!$C$261</c:f>
              <c:strCache>
                <c:ptCount val="1"/>
                <c:pt idx="0">
                  <c:v>23/24</c:v>
                </c:pt>
              </c:strCache>
            </c:strRef>
          </c:tx>
          <c:spPr>
            <a:ln w="25400">
              <a:solidFill>
                <a:srgbClr val="F79131"/>
              </a:solidFill>
              <a:prstDash val="solid"/>
            </a:ln>
          </c:spPr>
          <c:marker>
            <c:symbol val="none"/>
          </c:marker>
          <c:val>
            <c:numRef>
              <c:f>Summary!$D$261:$Q$261</c:f>
              <c:numCache>
                <c:formatCode>#,##0</c:formatCode>
                <c:ptCount val="14"/>
                <c:pt idx="0">
                  <c:v>234.42857142857142</c:v>
                </c:pt>
                <c:pt idx="1">
                  <c:v>384.28571428571428</c:v>
                </c:pt>
                <c:pt idx="2">
                  <c:v>618.28571428571433</c:v>
                </c:pt>
                <c:pt idx="3">
                  <c:v>893.57142857142856</c:v>
                </c:pt>
                <c:pt idx="4">
                  <c:v>1231.5714285714287</c:v>
                </c:pt>
                <c:pt idx="5">
                  <c:v>1441.1428571428571</c:v>
                </c:pt>
                <c:pt idx="6">
                  <c:v>1335.2857142857142</c:v>
                </c:pt>
                <c:pt idx="7">
                  <c:v>1517</c:v>
                </c:pt>
                <c:pt idx="8">
                  <c:v>2141.5714285714284</c:v>
                </c:pt>
                <c:pt idx="9">
                  <c:v>2371.4285714285716</c:v>
                </c:pt>
                <c:pt idx="10">
                  <c:v>2292</c:v>
                </c:pt>
                <c:pt idx="11">
                  <c:v>2096.1428571428573</c:v>
                </c:pt>
                <c:pt idx="12">
                  <c:v>1740.1428571428571</c:v>
                </c:pt>
                <c:pt idx="13">
                  <c:v>1256.2857142857142</c:v>
                </c:pt>
              </c:numCache>
            </c:numRef>
          </c:val>
          <c:smooth val="0"/>
          <c:extLst>
            <c:ext xmlns:c16="http://schemas.microsoft.com/office/drawing/2014/chart" uri="{C3380CC4-5D6E-409C-BE32-E72D297353CC}">
              <c16:uniqueId val="{00000002-863B-4EB3-83EC-9E027499C59E}"/>
            </c:ext>
          </c:extLst>
        </c:ser>
        <c:ser>
          <c:idx val="2"/>
          <c:order val="2"/>
          <c:tx>
            <c:v>22/23</c:v>
          </c:tx>
          <c:spPr>
            <a:ln>
              <a:solidFill>
                <a:srgbClr val="C00848"/>
              </a:solidFill>
              <a:prstDash val="sysDash"/>
            </a:ln>
          </c:spPr>
          <c:marker>
            <c:symbol val="none"/>
          </c:marker>
          <c:val>
            <c:numRef>
              <c:f>Summary!$D$260:$Q$260</c:f>
              <c:numCache>
                <c:formatCode>0</c:formatCode>
                <c:ptCount val="14"/>
                <c:pt idx="0">
                  <c:v>712.28571428571433</c:v>
                </c:pt>
                <c:pt idx="1">
                  <c:v>1161.5714285714287</c:v>
                </c:pt>
                <c:pt idx="2">
                  <c:v>1939</c:v>
                </c:pt>
                <c:pt idx="3">
                  <c:v>3479</c:v>
                </c:pt>
                <c:pt idx="4">
                  <c:v>5105.2857142857147</c:v>
                </c:pt>
                <c:pt idx="5">
                  <c:v>4913.5714285714284</c:v>
                </c:pt>
                <c:pt idx="6">
                  <c:v>3225.8571428571427</c:v>
                </c:pt>
                <c:pt idx="7">
                  <c:v>1892.8571428571429</c:v>
                </c:pt>
                <c:pt idx="8">
                  <c:v>1203.2857142857142</c:v>
                </c:pt>
                <c:pt idx="9">
                  <c:v>895.42857142857144</c:v>
                </c:pt>
                <c:pt idx="10">
                  <c:v>687.42857142857144</c:v>
                </c:pt>
                <c:pt idx="11">
                  <c:v>603</c:v>
                </c:pt>
                <c:pt idx="12">
                  <c:v>486.71428571428572</c:v>
                </c:pt>
                <c:pt idx="13" formatCode="#,##0">
                  <c:v>398</c:v>
                </c:pt>
              </c:numCache>
            </c:numRef>
          </c:val>
          <c:smooth val="0"/>
          <c:extLst>
            <c:ext xmlns:c16="http://schemas.microsoft.com/office/drawing/2014/chart" uri="{C3380CC4-5D6E-409C-BE32-E72D297353CC}">
              <c16:uniqueId val="{00000000-57DC-4AA3-9168-8A9CE6962FBC}"/>
            </c:ext>
          </c:extLst>
        </c:ser>
        <c:dLbls>
          <c:showLegendKey val="0"/>
          <c:showVal val="0"/>
          <c:showCatName val="0"/>
          <c:showSerName val="0"/>
          <c:showPercent val="0"/>
          <c:showBubbleSize val="0"/>
        </c:dLbls>
        <c:marker val="1"/>
        <c:smooth val="0"/>
        <c:axId val="562204672"/>
        <c:axId val="562207744"/>
      </c:lineChart>
      <c:catAx>
        <c:axId val="56220467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2207744"/>
        <c:crosses val="autoZero"/>
        <c:auto val="1"/>
        <c:lblAlgn val="ctr"/>
        <c:lblOffset val="100"/>
        <c:noMultiLvlLbl val="0"/>
      </c:catAx>
      <c:valAx>
        <c:axId val="562207744"/>
        <c:scaling>
          <c:orientation val="minMax"/>
          <c:min val="0"/>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562204672"/>
        <c:crosses val="autoZero"/>
        <c:crossBetween val="between"/>
      </c:valAx>
    </c:plotArea>
    <c:legend>
      <c:legendPos val="r"/>
      <c:layout>
        <c:manualLayout>
          <c:xMode val="edge"/>
          <c:yMode val="edge"/>
          <c:x val="0.62538337324234738"/>
          <c:y val="9.553811081287656E-3"/>
          <c:w val="0.37461662675765256"/>
          <c:h val="0.17772255439447454"/>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71388888888889"/>
          <c:y val="6.2453703703703713E-2"/>
          <c:w val="0.8813563888888889"/>
          <c:h val="0.74377762365196576"/>
        </c:manualLayout>
      </c:layout>
      <c:barChart>
        <c:barDir val="col"/>
        <c:grouping val="clustered"/>
        <c:varyColors val="0"/>
        <c:ser>
          <c:idx val="1"/>
          <c:order val="0"/>
          <c:tx>
            <c:strRef>
              <c:f>Summary!$C$275</c:f>
              <c:strCache>
                <c:ptCount val="1"/>
                <c:pt idx="0">
                  <c:v>24/25</c:v>
                </c:pt>
              </c:strCache>
            </c:strRef>
          </c:tx>
          <c:spPr>
            <a:solidFill>
              <a:srgbClr val="2C72B3"/>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Summary!$D$275:$Q$275</c:f>
              <c:numCache>
                <c:formatCode>#,##0</c:formatCode>
                <c:ptCount val="14"/>
                <c:pt idx="0">
                  <c:v>38.571428571428569</c:v>
                </c:pt>
                <c:pt idx="1">
                  <c:v>65.714285714285708</c:v>
                </c:pt>
                <c:pt idx="2">
                  <c:v>125</c:v>
                </c:pt>
                <c:pt idx="3">
                  <c:v>183.57142857142858</c:v>
                </c:pt>
                <c:pt idx="4">
                  <c:v>211.28571428571428</c:v>
                </c:pt>
                <c:pt idx="5">
                  <c:v>256.28571428571428</c:v>
                </c:pt>
                <c:pt idx="6">
                  <c:v>236.28571428571428</c:v>
                </c:pt>
                <c:pt idx="7">
                  <c:v>175.85714285714286</c:v>
                </c:pt>
                <c:pt idx="8">
                  <c:v>0</c:v>
                </c:pt>
                <c:pt idx="9">
                  <c:v>0</c:v>
                </c:pt>
                <c:pt idx="10">
                  <c:v>0</c:v>
                </c:pt>
                <c:pt idx="11">
                  <c:v>0</c:v>
                </c:pt>
                <c:pt idx="12">
                  <c:v>0</c:v>
                </c:pt>
                <c:pt idx="13">
                  <c:v>0</c:v>
                </c:pt>
              </c:numCache>
            </c:numRef>
          </c:val>
          <c:extLst>
            <c:ext xmlns:c16="http://schemas.microsoft.com/office/drawing/2014/chart" uri="{C3380CC4-5D6E-409C-BE32-E72D297353CC}">
              <c16:uniqueId val="{00000000-A423-47C9-AD10-05C779B71733}"/>
            </c:ext>
          </c:extLst>
        </c:ser>
        <c:dLbls>
          <c:showLegendKey val="0"/>
          <c:showVal val="0"/>
          <c:showCatName val="0"/>
          <c:showSerName val="0"/>
          <c:showPercent val="0"/>
          <c:showBubbleSize val="0"/>
        </c:dLbls>
        <c:gapWidth val="50"/>
        <c:axId val="562204672"/>
        <c:axId val="562207744"/>
      </c:barChart>
      <c:lineChart>
        <c:grouping val="standard"/>
        <c:varyColors val="0"/>
        <c:ser>
          <c:idx val="0"/>
          <c:order val="1"/>
          <c:tx>
            <c:strRef>
              <c:f>Summary!$C$273</c:f>
              <c:strCache>
                <c:ptCount val="1"/>
                <c:pt idx="0">
                  <c:v>23/24</c:v>
                </c:pt>
              </c:strCache>
            </c:strRef>
          </c:tx>
          <c:spPr>
            <a:ln w="25400">
              <a:solidFill>
                <a:srgbClr val="F79131"/>
              </a:solidFill>
              <a:prstDash val="solid"/>
            </a:ln>
          </c:spPr>
          <c:marker>
            <c:symbol val="none"/>
          </c:marker>
          <c:val>
            <c:numRef>
              <c:f>Summary!$D$273:$Q$273</c:f>
              <c:numCache>
                <c:formatCode>#,##0</c:formatCode>
                <c:ptCount val="14"/>
                <c:pt idx="0">
                  <c:v>9</c:v>
                </c:pt>
                <c:pt idx="1">
                  <c:v>17.714285714285715</c:v>
                </c:pt>
                <c:pt idx="2">
                  <c:v>29.714285714285715</c:v>
                </c:pt>
                <c:pt idx="3">
                  <c:v>48.142857142857146</c:v>
                </c:pt>
                <c:pt idx="4">
                  <c:v>80.571428571428569</c:v>
                </c:pt>
                <c:pt idx="5">
                  <c:v>107.14285714285714</c:v>
                </c:pt>
                <c:pt idx="6">
                  <c:v>80.714285714285708</c:v>
                </c:pt>
                <c:pt idx="7">
                  <c:v>65.285714285714292</c:v>
                </c:pt>
                <c:pt idx="8">
                  <c:v>84.142857142857139</c:v>
                </c:pt>
                <c:pt idx="9">
                  <c:v>106.42857142857143</c:v>
                </c:pt>
                <c:pt idx="10">
                  <c:v>98</c:v>
                </c:pt>
                <c:pt idx="11">
                  <c:v>111.71428571428571</c:v>
                </c:pt>
                <c:pt idx="12">
                  <c:v>97</c:v>
                </c:pt>
                <c:pt idx="13">
                  <c:v>77</c:v>
                </c:pt>
              </c:numCache>
            </c:numRef>
          </c:val>
          <c:smooth val="0"/>
          <c:extLst>
            <c:ext xmlns:c16="http://schemas.microsoft.com/office/drawing/2014/chart" uri="{C3380CC4-5D6E-409C-BE32-E72D297353CC}">
              <c16:uniqueId val="{00000000-1A61-47DE-A85A-BA904C386601}"/>
            </c:ext>
          </c:extLst>
        </c:ser>
        <c:ser>
          <c:idx val="2"/>
          <c:order val="2"/>
          <c:tx>
            <c:v>22/23</c:v>
          </c:tx>
          <c:spPr>
            <a:ln>
              <a:solidFill>
                <a:srgbClr val="C00848"/>
              </a:solidFill>
              <a:prstDash val="sysDash"/>
            </a:ln>
          </c:spPr>
          <c:marker>
            <c:symbol val="none"/>
          </c:marker>
          <c:val>
            <c:numRef>
              <c:f>Summary!$D$272:$Q$272</c:f>
              <c:numCache>
                <c:formatCode>0</c:formatCode>
                <c:ptCount val="14"/>
                <c:pt idx="0">
                  <c:v>59.714285714285715</c:v>
                </c:pt>
                <c:pt idx="1">
                  <c:v>86.571428571428569</c:v>
                </c:pt>
                <c:pt idx="2">
                  <c:v>148.85714285714286</c:v>
                </c:pt>
                <c:pt idx="3">
                  <c:v>267.14285714285717</c:v>
                </c:pt>
                <c:pt idx="4">
                  <c:v>335.71428571428572</c:v>
                </c:pt>
                <c:pt idx="5">
                  <c:v>348.57142857142856</c:v>
                </c:pt>
                <c:pt idx="6">
                  <c:v>220.71428571428572</c:v>
                </c:pt>
                <c:pt idx="7">
                  <c:v>141.28571428571428</c:v>
                </c:pt>
                <c:pt idx="8">
                  <c:v>87.285714285714292</c:v>
                </c:pt>
                <c:pt idx="9">
                  <c:v>66.285714285714292</c:v>
                </c:pt>
                <c:pt idx="10">
                  <c:v>50.285714285714285</c:v>
                </c:pt>
                <c:pt idx="11">
                  <c:v>35</c:v>
                </c:pt>
                <c:pt idx="12">
                  <c:v>31.285714285714285</c:v>
                </c:pt>
                <c:pt idx="13">
                  <c:v>31.857142857142858</c:v>
                </c:pt>
              </c:numCache>
            </c:numRef>
          </c:val>
          <c:smooth val="0"/>
          <c:extLst>
            <c:ext xmlns:c16="http://schemas.microsoft.com/office/drawing/2014/chart" uri="{C3380CC4-5D6E-409C-BE32-E72D297353CC}">
              <c16:uniqueId val="{00000000-9DB8-48B4-A821-5F31B69427B9}"/>
            </c:ext>
          </c:extLst>
        </c:ser>
        <c:dLbls>
          <c:showLegendKey val="0"/>
          <c:showVal val="0"/>
          <c:showCatName val="0"/>
          <c:showSerName val="0"/>
          <c:showPercent val="0"/>
          <c:showBubbleSize val="0"/>
        </c:dLbls>
        <c:marker val="1"/>
        <c:smooth val="0"/>
        <c:axId val="562204672"/>
        <c:axId val="562207744"/>
      </c:lineChart>
      <c:catAx>
        <c:axId val="56220467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2207744"/>
        <c:crosses val="autoZero"/>
        <c:auto val="1"/>
        <c:lblAlgn val="ctr"/>
        <c:lblOffset val="100"/>
        <c:noMultiLvlLbl val="0"/>
      </c:catAx>
      <c:valAx>
        <c:axId val="562207744"/>
        <c:scaling>
          <c:orientation val="minMax"/>
          <c:min val="0"/>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562204672"/>
        <c:crosses val="autoZero"/>
        <c:crossBetween val="between"/>
      </c:valAx>
    </c:plotArea>
    <c:legend>
      <c:legendPos val="r"/>
      <c:layout>
        <c:manualLayout>
          <c:xMode val="edge"/>
          <c:yMode val="edge"/>
          <c:x val="0.63565609098014941"/>
          <c:y val="9.553811081287656E-3"/>
          <c:w val="0.36434390901985059"/>
          <c:h val="0.15901050470490696"/>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a:lstStyle/>
          <a:p>
            <a:pPr algn="l">
              <a:defRPr sz="900"/>
            </a:pPr>
            <a:r>
              <a:rPr lang="en-GB" sz="900" b="1" baseline="0">
                <a:latin typeface="+mn-lt"/>
              </a:rPr>
              <a:t>% remaining in hospital </a:t>
            </a:r>
          </a:p>
        </c:rich>
      </c:tx>
      <c:layout>
        <c:manualLayout>
          <c:xMode val="edge"/>
          <c:yMode val="edge"/>
          <c:x val="0.12219789818479597"/>
          <c:y val="4.2463075722614138E-2"/>
        </c:manualLayout>
      </c:layout>
      <c:overlay val="1"/>
    </c:title>
    <c:autoTitleDeleted val="0"/>
    <c:plotArea>
      <c:layout>
        <c:manualLayout>
          <c:layoutTarget val="inner"/>
          <c:xMode val="edge"/>
          <c:yMode val="edge"/>
          <c:x val="0.10372927287362491"/>
          <c:y val="8.4642085539047535E-2"/>
          <c:w val="0.90911089238845144"/>
          <c:h val="0.74377762365196576"/>
        </c:manualLayout>
      </c:layout>
      <c:barChart>
        <c:barDir val="col"/>
        <c:grouping val="clustered"/>
        <c:varyColors val="0"/>
        <c:ser>
          <c:idx val="1"/>
          <c:order val="0"/>
          <c:tx>
            <c:strRef>
              <c:f>Summary!$C$199</c:f>
              <c:strCache>
                <c:ptCount val="1"/>
                <c:pt idx="0">
                  <c:v>24/25</c:v>
                </c:pt>
              </c:strCache>
            </c:strRef>
          </c:tx>
          <c:spPr>
            <a:solidFill>
              <a:srgbClr val="2C72B3"/>
            </a:solidFill>
            <a:ln w="19050"/>
          </c:spPr>
          <c:invertIfNegative val="0"/>
          <c:cat>
            <c:numRef>
              <c:f>Summary!$D$5:$P$5</c:f>
              <c:numCache>
                <c:formatCode>General</c:formatCode>
                <c:ptCount val="13"/>
                <c:pt idx="0">
                  <c:v>1</c:v>
                </c:pt>
                <c:pt idx="1">
                  <c:v>2</c:v>
                </c:pt>
                <c:pt idx="2">
                  <c:v>3</c:v>
                </c:pt>
                <c:pt idx="3">
                  <c:v>4</c:v>
                </c:pt>
                <c:pt idx="4">
                  <c:v>5</c:v>
                </c:pt>
                <c:pt idx="5">
                  <c:v>6</c:v>
                </c:pt>
                <c:pt idx="6">
                  <c:v>7</c:v>
                </c:pt>
                <c:pt idx="7">
                  <c:v>8</c:v>
                </c:pt>
                <c:pt idx="8">
                  <c:v>9</c:v>
                </c:pt>
                <c:pt idx="9">
                  <c:v>10</c:v>
                </c:pt>
                <c:pt idx="10">
                  <c:v>11</c:v>
                </c:pt>
                <c:pt idx="11">
                  <c:v>12</c:v>
                </c:pt>
                <c:pt idx="12">
                  <c:v>13</c:v>
                </c:pt>
              </c:numCache>
            </c:numRef>
          </c:cat>
          <c:val>
            <c:numRef>
              <c:f>Summary!$D$335:$Q$335</c:f>
              <c:numCache>
                <c:formatCode>0.0%</c:formatCode>
                <c:ptCount val="14"/>
                <c:pt idx="0">
                  <c:v>0.54901870843026113</c:v>
                </c:pt>
                <c:pt idx="1">
                  <c:v>0.55071475882114629</c:v>
                </c:pt>
                <c:pt idx="2">
                  <c:v>0.55669386714267499</c:v>
                </c:pt>
                <c:pt idx="3">
                  <c:v>0.5352576876118903</c:v>
                </c:pt>
                <c:pt idx="4">
                  <c:v>0.56987357176661479</c:v>
                </c:pt>
                <c:pt idx="5">
                  <c:v>0.5897900871904338</c:v>
                </c:pt>
                <c:pt idx="6">
                  <c:v>0.58080823498525547</c:v>
                </c:pt>
                <c:pt idx="7">
                  <c:v>0.58585198796173643</c:v>
                </c:pt>
                <c:pt idx="8">
                  <c:v>0</c:v>
                </c:pt>
                <c:pt idx="9">
                  <c:v>0</c:v>
                </c:pt>
                <c:pt idx="10">
                  <c:v>0</c:v>
                </c:pt>
                <c:pt idx="11">
                  <c:v>0</c:v>
                </c:pt>
                <c:pt idx="12">
                  <c:v>0</c:v>
                </c:pt>
                <c:pt idx="13">
                  <c:v>0</c:v>
                </c:pt>
              </c:numCache>
            </c:numRef>
          </c:val>
          <c:extLst>
            <c:ext xmlns:c16="http://schemas.microsoft.com/office/drawing/2014/chart" uri="{C3380CC4-5D6E-409C-BE32-E72D297353CC}">
              <c16:uniqueId val="{00000000-2C38-4089-BB34-4137E2B19D69}"/>
            </c:ext>
          </c:extLst>
        </c:ser>
        <c:dLbls>
          <c:showLegendKey val="0"/>
          <c:showVal val="0"/>
          <c:showCatName val="0"/>
          <c:showSerName val="0"/>
          <c:showPercent val="0"/>
          <c:showBubbleSize val="0"/>
        </c:dLbls>
        <c:gapWidth val="50"/>
        <c:axId val="561923968"/>
        <c:axId val="561932160"/>
      </c:barChart>
      <c:lineChart>
        <c:grouping val="standard"/>
        <c:varyColors val="0"/>
        <c:ser>
          <c:idx val="0"/>
          <c:order val="1"/>
          <c:tx>
            <c:strRef>
              <c:f>Summary!$C$333</c:f>
              <c:strCache>
                <c:ptCount val="1"/>
                <c:pt idx="0">
                  <c:v>23/24</c:v>
                </c:pt>
              </c:strCache>
            </c:strRef>
          </c:tx>
          <c:spPr>
            <a:ln w="25400">
              <a:solidFill>
                <a:srgbClr val="F79131"/>
              </a:solidFill>
              <a:prstDash val="solid"/>
            </a:ln>
          </c:spPr>
          <c:marker>
            <c:symbol val="none"/>
          </c:marker>
          <c:val>
            <c:numRef>
              <c:f>Summary!$D$333:$Q$333</c:f>
              <c:numCache>
                <c:formatCode>0.0%</c:formatCode>
                <c:ptCount val="14"/>
                <c:pt idx="0">
                  <c:v>0.54954965934990063</c:v>
                </c:pt>
                <c:pt idx="1">
                  <c:v>0.55699298765310712</c:v>
                </c:pt>
                <c:pt idx="2">
                  <c:v>0.55128141667388531</c:v>
                </c:pt>
                <c:pt idx="3">
                  <c:v>0.49627816170318262</c:v>
                </c:pt>
                <c:pt idx="4">
                  <c:v>0.58757239805768446</c:v>
                </c:pt>
                <c:pt idx="5">
                  <c:v>0.57289620788638762</c:v>
                </c:pt>
                <c:pt idx="6">
                  <c:v>0.57673066930894068</c:v>
                </c:pt>
                <c:pt idx="7">
                  <c:v>0.57735003913637173</c:v>
                </c:pt>
                <c:pt idx="8">
                  <c:v>0.56093313329214833</c:v>
                </c:pt>
                <c:pt idx="9">
                  <c:v>0.55694352236858968</c:v>
                </c:pt>
                <c:pt idx="10">
                  <c:v>0.56067332701046768</c:v>
                </c:pt>
                <c:pt idx="11">
                  <c:v>0.55755627009646302</c:v>
                </c:pt>
                <c:pt idx="12">
                  <c:v>0.54771077065099683</c:v>
                </c:pt>
                <c:pt idx="13">
                  <c:v>0.559507090651575</c:v>
                </c:pt>
              </c:numCache>
            </c:numRef>
          </c:val>
          <c:smooth val="0"/>
          <c:extLst>
            <c:ext xmlns:c16="http://schemas.microsoft.com/office/drawing/2014/chart" uri="{C3380CC4-5D6E-409C-BE32-E72D297353CC}">
              <c16:uniqueId val="{00000000-D5D4-461C-BAC7-C7E88E2D6DE6}"/>
            </c:ext>
          </c:extLst>
        </c:ser>
        <c:ser>
          <c:idx val="2"/>
          <c:order val="2"/>
          <c:tx>
            <c:v>22/23</c:v>
          </c:tx>
          <c:spPr>
            <a:ln>
              <a:solidFill>
                <a:srgbClr val="C00848"/>
              </a:solidFill>
              <a:prstDash val="sysDash"/>
            </a:ln>
          </c:spPr>
          <c:marker>
            <c:symbol val="none"/>
          </c:marker>
          <c:val>
            <c:numRef>
              <c:f>Summary!$D$332:$Q$332</c:f>
              <c:numCache>
                <c:formatCode>0.0%</c:formatCode>
                <c:ptCount val="14"/>
                <c:pt idx="0">
                  <c:v>0.59142314990512335</c:v>
                </c:pt>
                <c:pt idx="1">
                  <c:v>0.59281211237707954</c:v>
                </c:pt>
                <c:pt idx="2">
                  <c:v>0.60150314619288703</c:v>
                </c:pt>
                <c:pt idx="3">
                  <c:v>0.56343475527273423</c:v>
                </c:pt>
                <c:pt idx="4">
                  <c:v>0.63092490430083314</c:v>
                </c:pt>
                <c:pt idx="5">
                  <c:v>0.62244343319428641</c:v>
                </c:pt>
                <c:pt idx="6">
                  <c:v>0.59294016825791496</c:v>
                </c:pt>
                <c:pt idx="7">
                  <c:v>0.59026094307487653</c:v>
                </c:pt>
                <c:pt idx="8">
                  <c:v>0.59458375856538848</c:v>
                </c:pt>
                <c:pt idx="9">
                  <c:v>0.58789098885249835</c:v>
                </c:pt>
                <c:pt idx="10">
                  <c:v>0.58303200088857066</c:v>
                </c:pt>
                <c:pt idx="11">
                  <c:v>0.58918945498577069</c:v>
                </c:pt>
                <c:pt idx="12">
                  <c:v>0.58448464879074025</c:v>
                </c:pt>
                <c:pt idx="13">
                  <c:v>0.58119487019080385</c:v>
                </c:pt>
              </c:numCache>
            </c:numRef>
          </c:val>
          <c:smooth val="0"/>
          <c:extLst>
            <c:ext xmlns:c16="http://schemas.microsoft.com/office/drawing/2014/chart" uri="{C3380CC4-5D6E-409C-BE32-E72D297353CC}">
              <c16:uniqueId val="{00000000-D217-4AEB-A78F-F7F56E75A939}"/>
            </c:ext>
          </c:extLst>
        </c:ser>
        <c:dLbls>
          <c:showLegendKey val="0"/>
          <c:showVal val="0"/>
          <c:showCatName val="0"/>
          <c:showSerName val="0"/>
          <c:showPercent val="0"/>
          <c:showBubbleSize val="0"/>
        </c:dLbls>
        <c:marker val="1"/>
        <c:smooth val="0"/>
        <c:axId val="561923968"/>
        <c:axId val="561932160"/>
      </c:lineChart>
      <c:catAx>
        <c:axId val="561923968"/>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1932160"/>
        <c:crosses val="autoZero"/>
        <c:auto val="1"/>
        <c:lblAlgn val="ctr"/>
        <c:lblOffset val="100"/>
        <c:noMultiLvlLbl val="0"/>
      </c:catAx>
      <c:valAx>
        <c:axId val="561932160"/>
        <c:scaling>
          <c:orientation val="minMax"/>
          <c:max val="1"/>
          <c:min val="0.4"/>
        </c:scaling>
        <c:delete val="0"/>
        <c:axPos val="l"/>
        <c:numFmt formatCode="0%" sourceLinked="0"/>
        <c:majorTickMark val="out"/>
        <c:minorTickMark val="none"/>
        <c:tickLblPos val="nextTo"/>
        <c:spPr>
          <a:ln w="50800">
            <a:solidFill>
              <a:srgbClr val="CED8DD"/>
            </a:solidFill>
          </a:ln>
        </c:spPr>
        <c:txPr>
          <a:bodyPr/>
          <a:lstStyle/>
          <a:p>
            <a:pPr>
              <a:defRPr sz="800" b="1"/>
            </a:pPr>
            <a:endParaRPr lang="en-US"/>
          </a:p>
        </c:txPr>
        <c:crossAx val="561923968"/>
        <c:crosses val="autoZero"/>
        <c:crossBetween val="between"/>
        <c:majorUnit val="0.1"/>
      </c:valAx>
    </c:plotArea>
    <c:legend>
      <c:legendPos val="r"/>
      <c:layout>
        <c:manualLayout>
          <c:xMode val="edge"/>
          <c:yMode val="edge"/>
          <c:x val="0.46497736517872068"/>
          <c:y val="1.2430878201715572E-2"/>
          <c:w val="0.53502263482127932"/>
          <c:h val="0.1369488188976378"/>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820635745532029"/>
          <c:y val="0.15277637293514473"/>
          <c:w val="0.88157557228762107"/>
          <c:h val="0.65345517533489705"/>
        </c:manualLayout>
      </c:layout>
      <c:barChart>
        <c:barDir val="col"/>
        <c:grouping val="clustered"/>
        <c:varyColors val="0"/>
        <c:ser>
          <c:idx val="1"/>
          <c:order val="0"/>
          <c:tx>
            <c:strRef>
              <c:f>Summary!$C$348</c:f>
              <c:strCache>
                <c:ptCount val="1"/>
                <c:pt idx="0">
                  <c:v>24/25</c:v>
                </c:pt>
              </c:strCache>
            </c:strRef>
          </c:tx>
          <c:spPr>
            <a:solidFill>
              <a:srgbClr val="2C72B3"/>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Summary!$D$348:$Q$348</c:f>
              <c:numCache>
                <c:formatCode>#,##0</c:formatCode>
                <c:ptCount val="14"/>
                <c:pt idx="0">
                  <c:v>21800.714285714286</c:v>
                </c:pt>
                <c:pt idx="1">
                  <c:v>22215.285714285714</c:v>
                </c:pt>
                <c:pt idx="2">
                  <c:v>22408.571428571428</c:v>
                </c:pt>
                <c:pt idx="3">
                  <c:v>22582.714285714286</c:v>
                </c:pt>
                <c:pt idx="4">
                  <c:v>19017</c:v>
                </c:pt>
                <c:pt idx="5">
                  <c:v>21349</c:v>
                </c:pt>
                <c:pt idx="6">
                  <c:v>23398.428571428572</c:v>
                </c:pt>
                <c:pt idx="7">
                  <c:v>23401.571428571428</c:v>
                </c:pt>
                <c:pt idx="8">
                  <c:v>0</c:v>
                </c:pt>
                <c:pt idx="9">
                  <c:v>0</c:v>
                </c:pt>
                <c:pt idx="10">
                  <c:v>0</c:v>
                </c:pt>
                <c:pt idx="11">
                  <c:v>0</c:v>
                </c:pt>
                <c:pt idx="12">
                  <c:v>0</c:v>
                </c:pt>
                <c:pt idx="13">
                  <c:v>0</c:v>
                </c:pt>
              </c:numCache>
            </c:numRef>
          </c:val>
          <c:extLst>
            <c:ext xmlns:c16="http://schemas.microsoft.com/office/drawing/2014/chart" uri="{C3380CC4-5D6E-409C-BE32-E72D297353CC}">
              <c16:uniqueId val="{00000000-D190-4D0F-BE0B-211C7EB4F8ED}"/>
            </c:ext>
          </c:extLst>
        </c:ser>
        <c:dLbls>
          <c:showLegendKey val="0"/>
          <c:showVal val="0"/>
          <c:showCatName val="0"/>
          <c:showSerName val="0"/>
          <c:showPercent val="0"/>
          <c:showBubbleSize val="0"/>
        </c:dLbls>
        <c:gapWidth val="50"/>
        <c:axId val="562204672"/>
        <c:axId val="562207744"/>
      </c:barChart>
      <c:lineChart>
        <c:grouping val="standard"/>
        <c:varyColors val="0"/>
        <c:ser>
          <c:idx val="0"/>
          <c:order val="1"/>
          <c:tx>
            <c:strRef>
              <c:f>Summary!$C$346</c:f>
              <c:strCache>
                <c:ptCount val="1"/>
                <c:pt idx="0">
                  <c:v>23/24</c:v>
                </c:pt>
              </c:strCache>
            </c:strRef>
          </c:tx>
          <c:spPr>
            <a:ln w="25400">
              <a:solidFill>
                <a:srgbClr val="F79131"/>
              </a:solidFill>
              <a:prstDash val="solid"/>
            </a:ln>
          </c:spPr>
          <c:marker>
            <c:symbol val="none"/>
          </c:marker>
          <c:val>
            <c:numRef>
              <c:f>Summary!$D$346:$Q$346</c:f>
              <c:numCache>
                <c:formatCode>#,##0</c:formatCode>
                <c:ptCount val="14"/>
                <c:pt idx="0">
                  <c:v>23442.571428571428</c:v>
                </c:pt>
                <c:pt idx="1">
                  <c:v>23244.714285714286</c:v>
                </c:pt>
                <c:pt idx="2">
                  <c:v>23088.285714285714</c:v>
                </c:pt>
                <c:pt idx="3">
                  <c:v>23049.285714285714</c:v>
                </c:pt>
                <c:pt idx="4">
                  <c:v>19534.857142857141</c:v>
                </c:pt>
                <c:pt idx="5">
                  <c:v>21748.142857142859</c:v>
                </c:pt>
                <c:pt idx="6">
                  <c:v>23644.857142857141</c:v>
                </c:pt>
                <c:pt idx="7">
                  <c:v>25004.142857142859</c:v>
                </c:pt>
                <c:pt idx="8">
                  <c:v>24280.714285714286</c:v>
                </c:pt>
                <c:pt idx="9">
                  <c:v>24530.571428571428</c:v>
                </c:pt>
                <c:pt idx="10">
                  <c:v>24551.857142857141</c:v>
                </c:pt>
                <c:pt idx="11">
                  <c:v>24435.714285714286</c:v>
                </c:pt>
                <c:pt idx="12">
                  <c:v>24141</c:v>
                </c:pt>
                <c:pt idx="13">
                  <c:v>23904.714285714286</c:v>
                </c:pt>
              </c:numCache>
            </c:numRef>
          </c:val>
          <c:smooth val="0"/>
          <c:extLst>
            <c:ext xmlns:c16="http://schemas.microsoft.com/office/drawing/2014/chart" uri="{C3380CC4-5D6E-409C-BE32-E72D297353CC}">
              <c16:uniqueId val="{00000000-A0C6-441D-B100-9286A5F1CD71}"/>
            </c:ext>
          </c:extLst>
        </c:ser>
        <c:ser>
          <c:idx val="2"/>
          <c:order val="2"/>
          <c:tx>
            <c:v>22/23</c:v>
          </c:tx>
          <c:spPr>
            <a:ln>
              <a:solidFill>
                <a:srgbClr val="C00848"/>
              </a:solidFill>
              <a:prstDash val="sysDash"/>
            </a:ln>
          </c:spPr>
          <c:marker>
            <c:symbol val="none"/>
          </c:marker>
          <c:val>
            <c:numRef>
              <c:f>Summary!$D$345:$Q$345</c:f>
              <c:numCache>
                <c:formatCode>#,##0</c:formatCode>
                <c:ptCount val="14"/>
                <c:pt idx="0">
                  <c:v>22585.714285714286</c:v>
                </c:pt>
                <c:pt idx="1">
                  <c:v>22343.142857142859</c:v>
                </c:pt>
                <c:pt idx="2">
                  <c:v>22771.285714285714</c:v>
                </c:pt>
                <c:pt idx="3">
                  <c:v>22494.428571428572</c:v>
                </c:pt>
                <c:pt idx="4">
                  <c:v>20301.714285714286</c:v>
                </c:pt>
                <c:pt idx="5">
                  <c:v>22602.857142857141</c:v>
                </c:pt>
                <c:pt idx="6">
                  <c:v>23671.142857142859</c:v>
                </c:pt>
                <c:pt idx="7">
                  <c:v>22982.571428571428</c:v>
                </c:pt>
                <c:pt idx="8">
                  <c:v>23516.571428571428</c:v>
                </c:pt>
                <c:pt idx="9">
                  <c:v>23772.142857142859</c:v>
                </c:pt>
                <c:pt idx="10">
                  <c:v>23151.142857142859</c:v>
                </c:pt>
                <c:pt idx="11">
                  <c:v>23241.857142857141</c:v>
                </c:pt>
                <c:pt idx="12">
                  <c:v>23585.857142857141</c:v>
                </c:pt>
                <c:pt idx="13">
                  <c:v>22835.714285714286</c:v>
                </c:pt>
              </c:numCache>
            </c:numRef>
          </c:val>
          <c:smooth val="0"/>
          <c:extLst>
            <c:ext xmlns:c16="http://schemas.microsoft.com/office/drawing/2014/chart" uri="{C3380CC4-5D6E-409C-BE32-E72D297353CC}">
              <c16:uniqueId val="{00000000-77BF-4BFB-9C76-A41E2EC72A14}"/>
            </c:ext>
          </c:extLst>
        </c:ser>
        <c:dLbls>
          <c:showLegendKey val="0"/>
          <c:showVal val="0"/>
          <c:showCatName val="0"/>
          <c:showSerName val="0"/>
          <c:showPercent val="0"/>
          <c:showBubbleSize val="0"/>
        </c:dLbls>
        <c:marker val="1"/>
        <c:smooth val="0"/>
        <c:axId val="562204672"/>
        <c:axId val="562207744"/>
      </c:lineChart>
      <c:catAx>
        <c:axId val="56220467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2207744"/>
        <c:crosses val="autoZero"/>
        <c:auto val="1"/>
        <c:lblAlgn val="ctr"/>
        <c:lblOffset val="100"/>
        <c:noMultiLvlLbl val="0"/>
      </c:catAx>
      <c:valAx>
        <c:axId val="562207744"/>
        <c:scaling>
          <c:orientation val="minMax"/>
          <c:max val="25000"/>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562204672"/>
        <c:crosses val="autoZero"/>
        <c:crossBetween val="between"/>
      </c:valAx>
    </c:plotArea>
    <c:legend>
      <c:legendPos val="r"/>
      <c:layout>
        <c:manualLayout>
          <c:xMode val="edge"/>
          <c:yMode val="edge"/>
          <c:x val="0.48041197929053225"/>
          <c:y val="9.553811081287656E-3"/>
          <c:w val="0.51958802070946775"/>
          <c:h val="0.14376742443878293"/>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71388888888889"/>
          <c:y val="6.2453703703703713E-2"/>
          <c:w val="0.8813563888888889"/>
          <c:h val="0.74377762365196576"/>
        </c:manualLayout>
      </c:layout>
      <c:barChart>
        <c:barDir val="col"/>
        <c:grouping val="clustered"/>
        <c:varyColors val="0"/>
        <c:ser>
          <c:idx val="1"/>
          <c:order val="0"/>
          <c:tx>
            <c:strRef>
              <c:f>Summary!$C$361</c:f>
              <c:strCache>
                <c:ptCount val="1"/>
                <c:pt idx="0">
                  <c:v>24/25</c:v>
                </c:pt>
              </c:strCache>
            </c:strRef>
          </c:tx>
          <c:spPr>
            <a:solidFill>
              <a:srgbClr val="2C72B3"/>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Summary!$D$361:$Q$361</c:f>
              <c:numCache>
                <c:formatCode>#,##0</c:formatCode>
                <c:ptCount val="14"/>
                <c:pt idx="0">
                  <c:v>11969</c:v>
                </c:pt>
                <c:pt idx="1">
                  <c:v>12234.285714285714</c:v>
                </c:pt>
                <c:pt idx="2">
                  <c:v>12474.714285714286</c:v>
                </c:pt>
                <c:pt idx="3">
                  <c:v>12087.571428571429</c:v>
                </c:pt>
                <c:pt idx="4">
                  <c:v>10837.285714285714</c:v>
                </c:pt>
                <c:pt idx="5">
                  <c:v>12591.428571428571</c:v>
                </c:pt>
                <c:pt idx="6">
                  <c:v>13590</c:v>
                </c:pt>
                <c:pt idx="7">
                  <c:v>13709.857142857143</c:v>
                </c:pt>
                <c:pt idx="8">
                  <c:v>0</c:v>
                </c:pt>
                <c:pt idx="9">
                  <c:v>0</c:v>
                </c:pt>
                <c:pt idx="10">
                  <c:v>0</c:v>
                </c:pt>
                <c:pt idx="11">
                  <c:v>0</c:v>
                </c:pt>
                <c:pt idx="12">
                  <c:v>0</c:v>
                </c:pt>
                <c:pt idx="13">
                  <c:v>0</c:v>
                </c:pt>
              </c:numCache>
            </c:numRef>
          </c:val>
          <c:extLst>
            <c:ext xmlns:c16="http://schemas.microsoft.com/office/drawing/2014/chart" uri="{C3380CC4-5D6E-409C-BE32-E72D297353CC}">
              <c16:uniqueId val="{00000000-A421-4C65-98E5-765D271FD449}"/>
            </c:ext>
          </c:extLst>
        </c:ser>
        <c:dLbls>
          <c:showLegendKey val="0"/>
          <c:showVal val="0"/>
          <c:showCatName val="0"/>
          <c:showSerName val="0"/>
          <c:showPercent val="0"/>
          <c:showBubbleSize val="0"/>
        </c:dLbls>
        <c:gapWidth val="50"/>
        <c:axId val="562204672"/>
        <c:axId val="562207744"/>
      </c:barChart>
      <c:lineChart>
        <c:grouping val="standard"/>
        <c:varyColors val="0"/>
        <c:ser>
          <c:idx val="0"/>
          <c:order val="1"/>
          <c:tx>
            <c:strRef>
              <c:f>Summary!$C$359</c:f>
              <c:strCache>
                <c:ptCount val="1"/>
                <c:pt idx="0">
                  <c:v>23/24</c:v>
                </c:pt>
              </c:strCache>
            </c:strRef>
          </c:tx>
          <c:spPr>
            <a:ln w="25400">
              <a:solidFill>
                <a:srgbClr val="F79131"/>
              </a:solidFill>
              <a:prstDash val="solid"/>
            </a:ln>
          </c:spPr>
          <c:marker>
            <c:symbol val="none"/>
          </c:marker>
          <c:val>
            <c:numRef>
              <c:f>Summary!$D$359:$Q$359</c:f>
              <c:numCache>
                <c:formatCode>#,##0</c:formatCode>
                <c:ptCount val="14"/>
                <c:pt idx="0">
                  <c:v>12882.857142857143</c:v>
                </c:pt>
                <c:pt idx="1">
                  <c:v>12947.142857142857</c:v>
                </c:pt>
                <c:pt idx="2">
                  <c:v>12728.142857142857</c:v>
                </c:pt>
                <c:pt idx="3">
                  <c:v>11438.857142857143</c:v>
                </c:pt>
                <c:pt idx="4">
                  <c:v>11478.142857142857</c:v>
                </c:pt>
                <c:pt idx="5">
                  <c:v>12459.428571428571</c:v>
                </c:pt>
                <c:pt idx="6">
                  <c:v>13636.714285714286</c:v>
                </c:pt>
                <c:pt idx="7">
                  <c:v>14436.142857142857</c:v>
                </c:pt>
                <c:pt idx="8">
                  <c:v>13619.857142857143</c:v>
                </c:pt>
                <c:pt idx="9">
                  <c:v>13662.142857142857</c:v>
                </c:pt>
                <c:pt idx="10">
                  <c:v>13765.571428571429</c:v>
                </c:pt>
                <c:pt idx="11">
                  <c:v>13624.285714285714</c:v>
                </c:pt>
                <c:pt idx="12">
                  <c:v>13222.285714285714</c:v>
                </c:pt>
                <c:pt idx="13">
                  <c:v>13374.857142857143</c:v>
                </c:pt>
              </c:numCache>
            </c:numRef>
          </c:val>
          <c:smooth val="0"/>
          <c:extLst>
            <c:ext xmlns:c16="http://schemas.microsoft.com/office/drawing/2014/chart" uri="{C3380CC4-5D6E-409C-BE32-E72D297353CC}">
              <c16:uniqueId val="{00000000-4B81-4E3C-8BD2-4D7A0C84D858}"/>
            </c:ext>
          </c:extLst>
        </c:ser>
        <c:ser>
          <c:idx val="2"/>
          <c:order val="2"/>
          <c:tx>
            <c:v>22/23</c:v>
          </c:tx>
          <c:spPr>
            <a:ln>
              <a:solidFill>
                <a:srgbClr val="C00848"/>
              </a:solidFill>
              <a:prstDash val="sysDash"/>
            </a:ln>
          </c:spPr>
          <c:marker>
            <c:symbol val="none"/>
          </c:marker>
          <c:val>
            <c:numRef>
              <c:f>Summary!$D$358:$Q$358</c:f>
              <c:numCache>
                <c:formatCode>#,##0</c:formatCode>
                <c:ptCount val="14"/>
                <c:pt idx="0">
                  <c:v>13357.714285714286</c:v>
                </c:pt>
                <c:pt idx="1">
                  <c:v>13245.285714285714</c:v>
                </c:pt>
                <c:pt idx="2">
                  <c:v>13697</c:v>
                </c:pt>
                <c:pt idx="3">
                  <c:v>12674.142857142857</c:v>
                </c:pt>
                <c:pt idx="4">
                  <c:v>12808.857142857143</c:v>
                </c:pt>
                <c:pt idx="5">
                  <c:v>14069</c:v>
                </c:pt>
                <c:pt idx="6">
                  <c:v>14035.571428571429</c:v>
                </c:pt>
                <c:pt idx="7">
                  <c:v>13565.714285714286</c:v>
                </c:pt>
                <c:pt idx="8">
                  <c:v>13982.571428571429</c:v>
                </c:pt>
                <c:pt idx="9">
                  <c:v>13975.428571428571</c:v>
                </c:pt>
                <c:pt idx="10">
                  <c:v>13497.857142857143</c:v>
                </c:pt>
                <c:pt idx="11">
                  <c:v>13693.857142857143</c:v>
                </c:pt>
                <c:pt idx="12">
                  <c:v>13785.571428571429</c:v>
                </c:pt>
                <c:pt idx="13">
                  <c:v>13272</c:v>
                </c:pt>
              </c:numCache>
            </c:numRef>
          </c:val>
          <c:smooth val="0"/>
          <c:extLst>
            <c:ext xmlns:c16="http://schemas.microsoft.com/office/drawing/2014/chart" uri="{C3380CC4-5D6E-409C-BE32-E72D297353CC}">
              <c16:uniqueId val="{00000000-A11D-4562-9E79-B1942EC9F400}"/>
            </c:ext>
          </c:extLst>
        </c:ser>
        <c:dLbls>
          <c:showLegendKey val="0"/>
          <c:showVal val="0"/>
          <c:showCatName val="0"/>
          <c:showSerName val="0"/>
          <c:showPercent val="0"/>
          <c:showBubbleSize val="0"/>
        </c:dLbls>
        <c:marker val="1"/>
        <c:smooth val="0"/>
        <c:axId val="562204672"/>
        <c:axId val="562207744"/>
      </c:lineChart>
      <c:catAx>
        <c:axId val="56220467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2207744"/>
        <c:crosses val="autoZero"/>
        <c:auto val="1"/>
        <c:lblAlgn val="ctr"/>
        <c:lblOffset val="100"/>
        <c:noMultiLvlLbl val="0"/>
      </c:catAx>
      <c:valAx>
        <c:axId val="562207744"/>
        <c:scaling>
          <c:orientation val="minMax"/>
          <c:max val="25000"/>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562204672"/>
        <c:crosses val="autoZero"/>
        <c:crossBetween val="between"/>
      </c:valAx>
    </c:plotArea>
    <c:legend>
      <c:legendPos val="r"/>
      <c:layout>
        <c:manualLayout>
          <c:xMode val="edge"/>
          <c:yMode val="edge"/>
          <c:x val="0.80583584679033748"/>
          <c:y val="1.4315715903905476E-2"/>
          <c:w val="0.18755985586547444"/>
          <c:h val="0.21591587487146868"/>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71388888888889"/>
          <c:y val="6.2453703703703713E-2"/>
          <c:w val="0.8813563888888889"/>
          <c:h val="0.74377762365196576"/>
        </c:manualLayout>
      </c:layout>
      <c:barChart>
        <c:barDir val="col"/>
        <c:grouping val="clustered"/>
        <c:varyColors val="0"/>
        <c:ser>
          <c:idx val="1"/>
          <c:order val="0"/>
          <c:tx>
            <c:strRef>
              <c:f>Summary!$C$376</c:f>
              <c:strCache>
                <c:ptCount val="1"/>
                <c:pt idx="0">
                  <c:v>23/24</c:v>
                </c:pt>
              </c:strCache>
            </c:strRef>
          </c:tx>
          <c:spPr>
            <a:solidFill>
              <a:srgbClr val="F0532D"/>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Summary!$D$376:$Q$376</c:f>
            </c:numRef>
          </c:val>
          <c:extLst>
            <c:ext xmlns:c16="http://schemas.microsoft.com/office/drawing/2014/chart" uri="{C3380CC4-5D6E-409C-BE32-E72D297353CC}">
              <c16:uniqueId val="{00000000-B433-4EBB-BF09-807B8EABD752}"/>
            </c:ext>
          </c:extLst>
        </c:ser>
        <c:dLbls>
          <c:showLegendKey val="0"/>
          <c:showVal val="0"/>
          <c:showCatName val="0"/>
          <c:showSerName val="0"/>
          <c:showPercent val="0"/>
          <c:showBubbleSize val="0"/>
        </c:dLbls>
        <c:gapWidth val="50"/>
        <c:axId val="562204672"/>
        <c:axId val="562207744"/>
      </c:barChart>
      <c:lineChart>
        <c:grouping val="standard"/>
        <c:varyColors val="0"/>
        <c:ser>
          <c:idx val="0"/>
          <c:order val="1"/>
          <c:tx>
            <c:strRef>
              <c:f>Summary!$C$374</c:f>
              <c:strCache>
                <c:ptCount val="1"/>
                <c:pt idx="0">
                  <c:v>22/23</c:v>
                </c:pt>
              </c:strCache>
            </c:strRef>
          </c:tx>
          <c:spPr>
            <a:ln w="25400">
              <a:solidFill>
                <a:srgbClr val="E1C037"/>
              </a:solidFill>
              <a:prstDash val="dash"/>
            </a:ln>
          </c:spPr>
          <c:marker>
            <c:symbol val="none"/>
          </c:marker>
          <c:val>
            <c:numRef>
              <c:f>Summary!$D$374:$Q$374</c:f>
            </c:numRef>
          </c:val>
          <c:smooth val="0"/>
          <c:extLst>
            <c:ext xmlns:c16="http://schemas.microsoft.com/office/drawing/2014/chart" uri="{C3380CC4-5D6E-409C-BE32-E72D297353CC}">
              <c16:uniqueId val="{00000001-B433-4EBB-BF09-807B8EABD752}"/>
            </c:ext>
          </c:extLst>
        </c:ser>
        <c:dLbls>
          <c:showLegendKey val="0"/>
          <c:showVal val="0"/>
          <c:showCatName val="0"/>
          <c:showSerName val="0"/>
          <c:showPercent val="0"/>
          <c:showBubbleSize val="0"/>
        </c:dLbls>
        <c:marker val="1"/>
        <c:smooth val="0"/>
        <c:axId val="562204672"/>
        <c:axId val="562207744"/>
      </c:lineChart>
      <c:catAx>
        <c:axId val="56220467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2207744"/>
        <c:crosses val="autoZero"/>
        <c:auto val="1"/>
        <c:lblAlgn val="ctr"/>
        <c:lblOffset val="100"/>
        <c:noMultiLvlLbl val="0"/>
      </c:catAx>
      <c:valAx>
        <c:axId val="562207744"/>
        <c:scaling>
          <c:orientation val="minMax"/>
          <c:max val="25000"/>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562204672"/>
        <c:crosses val="autoZero"/>
        <c:crossBetween val="between"/>
      </c:valAx>
    </c:plotArea>
    <c:legend>
      <c:legendPos val="r"/>
      <c:layout>
        <c:manualLayout>
          <c:xMode val="edge"/>
          <c:yMode val="edge"/>
          <c:x val="0.70414095566986457"/>
          <c:y val="9.553811081287656E-3"/>
          <c:w val="0.23121773154083319"/>
          <c:h val="0.1171693374682431"/>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71388888888889"/>
          <c:y val="6.2453703703703713E-2"/>
          <c:w val="0.8813563888888889"/>
          <c:h val="0.74377762365196576"/>
        </c:manualLayout>
      </c:layout>
      <c:barChart>
        <c:barDir val="col"/>
        <c:grouping val="clustered"/>
        <c:varyColors val="0"/>
        <c:ser>
          <c:idx val="1"/>
          <c:order val="0"/>
          <c:tx>
            <c:strRef>
              <c:f>Summary!$C$376</c:f>
              <c:strCache>
                <c:ptCount val="1"/>
                <c:pt idx="0">
                  <c:v>23/24</c:v>
                </c:pt>
              </c:strCache>
            </c:strRef>
          </c:tx>
          <c:spPr>
            <a:solidFill>
              <a:srgbClr val="F0532D"/>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Summary!$D$388:$Q$388</c:f>
            </c:numRef>
          </c:val>
          <c:extLst>
            <c:ext xmlns:c16="http://schemas.microsoft.com/office/drawing/2014/chart" uri="{C3380CC4-5D6E-409C-BE32-E72D297353CC}">
              <c16:uniqueId val="{00000000-6A7D-4FE2-8097-66DABEBCD875}"/>
            </c:ext>
          </c:extLst>
        </c:ser>
        <c:dLbls>
          <c:showLegendKey val="0"/>
          <c:showVal val="0"/>
          <c:showCatName val="0"/>
          <c:showSerName val="0"/>
          <c:showPercent val="0"/>
          <c:showBubbleSize val="0"/>
        </c:dLbls>
        <c:gapWidth val="50"/>
        <c:axId val="562204672"/>
        <c:axId val="562207744"/>
      </c:barChart>
      <c:lineChart>
        <c:grouping val="standard"/>
        <c:varyColors val="0"/>
        <c:dLbls>
          <c:showLegendKey val="0"/>
          <c:showVal val="0"/>
          <c:showCatName val="0"/>
          <c:showSerName val="0"/>
          <c:showPercent val="0"/>
          <c:showBubbleSize val="0"/>
        </c:dLbls>
        <c:marker val="1"/>
        <c:smooth val="0"/>
        <c:axId val="562204672"/>
        <c:axId val="562207744"/>
        <c:extLst>
          <c:ext xmlns:c15="http://schemas.microsoft.com/office/drawing/2012/chart" uri="{02D57815-91ED-43cb-92C2-25804820EDAC}">
            <c15:filteredLineSeries>
              <c15:ser>
                <c:idx val="0"/>
                <c:order val="1"/>
                <c:tx>
                  <c:strRef>
                    <c:extLst>
                      <c:ext uri="{02D57815-91ED-43cb-92C2-25804820EDAC}">
                        <c15:formulaRef>
                          <c15:sqref>Summary!$C$386</c15:sqref>
                        </c15:formulaRef>
                      </c:ext>
                    </c:extLst>
                    <c:strCache>
                      <c:ptCount val="1"/>
                      <c:pt idx="0">
                        <c:v>22/23</c:v>
                      </c:pt>
                    </c:strCache>
                  </c:strRef>
                </c:tx>
                <c:spPr>
                  <a:ln w="25400">
                    <a:solidFill>
                      <a:srgbClr val="E1C037"/>
                    </a:solidFill>
                    <a:prstDash val="dash"/>
                  </a:ln>
                </c:spPr>
                <c:marker>
                  <c:symbol val="none"/>
                </c:marker>
                <c:val>
                  <c:numRef>
                    <c:extLst>
                      <c:ext uri="{02D57815-91ED-43cb-92C2-25804820EDAC}">
                        <c15:formulaRef>
                          <c15:sqref>Summary!$D$386:$P$386</c15:sqref>
                        </c15:formulaRef>
                      </c:ext>
                    </c:extLst>
                  </c:numRef>
                </c:val>
                <c:smooth val="0"/>
                <c:extLst>
                  <c:ext xmlns:c16="http://schemas.microsoft.com/office/drawing/2014/chart" uri="{C3380CC4-5D6E-409C-BE32-E72D297353CC}">
                    <c16:uniqueId val="{00000001-6A7D-4FE2-8097-66DABEBCD875}"/>
                  </c:ext>
                </c:extLst>
              </c15:ser>
            </c15:filteredLineSeries>
          </c:ext>
        </c:extLst>
      </c:lineChart>
      <c:catAx>
        <c:axId val="56220467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2207744"/>
        <c:crosses val="autoZero"/>
        <c:auto val="1"/>
        <c:lblAlgn val="ctr"/>
        <c:lblOffset val="100"/>
        <c:noMultiLvlLbl val="0"/>
      </c:catAx>
      <c:valAx>
        <c:axId val="562207744"/>
        <c:scaling>
          <c:orientation val="minMax"/>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562204672"/>
        <c:crosses val="autoZero"/>
        <c:crossBetween val="between"/>
      </c:valAx>
    </c:plotArea>
    <c:legend>
      <c:legendPos val="r"/>
      <c:layout>
        <c:manualLayout>
          <c:xMode val="edge"/>
          <c:yMode val="edge"/>
          <c:x val="0.70414095566986457"/>
          <c:y val="9.553811081287656E-3"/>
          <c:w val="0.23121773154083319"/>
          <c:h val="0.1171693374682431"/>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2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820635745532031"/>
          <c:y val="4.7236225862858139E-2"/>
          <c:w val="0.8813563888888889"/>
          <c:h val="0.74377762365196576"/>
        </c:manualLayout>
      </c:layout>
      <c:barChart>
        <c:barDir val="col"/>
        <c:grouping val="clustered"/>
        <c:varyColors val="0"/>
        <c:ser>
          <c:idx val="1"/>
          <c:order val="0"/>
          <c:tx>
            <c:strRef>
              <c:f>Summary!$C$400</c:f>
              <c:strCache>
                <c:ptCount val="1"/>
                <c:pt idx="0">
                  <c:v>23/24</c:v>
                </c:pt>
              </c:strCache>
            </c:strRef>
          </c:tx>
          <c:spPr>
            <a:solidFill>
              <a:srgbClr val="F0532D"/>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Summary!$D$400:$Q$400</c:f>
            </c:numRef>
          </c:val>
          <c:extLst>
            <c:ext xmlns:c16="http://schemas.microsoft.com/office/drawing/2014/chart" uri="{C3380CC4-5D6E-409C-BE32-E72D297353CC}">
              <c16:uniqueId val="{00000000-ED2B-4857-BAD8-C32E6EE2814B}"/>
            </c:ext>
          </c:extLst>
        </c:ser>
        <c:dLbls>
          <c:showLegendKey val="0"/>
          <c:showVal val="0"/>
          <c:showCatName val="0"/>
          <c:showSerName val="0"/>
          <c:showPercent val="0"/>
          <c:showBubbleSize val="0"/>
        </c:dLbls>
        <c:gapWidth val="50"/>
        <c:axId val="562204672"/>
        <c:axId val="562207744"/>
      </c:barChart>
      <c:lineChart>
        <c:grouping val="standard"/>
        <c:varyColors val="0"/>
        <c:dLbls>
          <c:showLegendKey val="0"/>
          <c:showVal val="0"/>
          <c:showCatName val="0"/>
          <c:showSerName val="0"/>
          <c:showPercent val="0"/>
          <c:showBubbleSize val="0"/>
        </c:dLbls>
        <c:marker val="1"/>
        <c:smooth val="0"/>
        <c:axId val="562204672"/>
        <c:axId val="562207744"/>
        <c:extLst>
          <c:ext xmlns:c15="http://schemas.microsoft.com/office/drawing/2012/chart" uri="{02D57815-91ED-43cb-92C2-25804820EDAC}">
            <c15:filteredLineSeries>
              <c15:ser>
                <c:idx val="0"/>
                <c:order val="1"/>
                <c:tx>
                  <c:strRef>
                    <c:extLst>
                      <c:ext uri="{02D57815-91ED-43cb-92C2-25804820EDAC}">
                        <c15:formulaRef>
                          <c15:sqref>Summary!$C$398</c15:sqref>
                        </c15:formulaRef>
                      </c:ext>
                    </c:extLst>
                    <c:strCache>
                      <c:ptCount val="1"/>
                      <c:pt idx="0">
                        <c:v>22/23</c:v>
                      </c:pt>
                    </c:strCache>
                  </c:strRef>
                </c:tx>
                <c:spPr>
                  <a:ln w="25400">
                    <a:solidFill>
                      <a:srgbClr val="E1C037"/>
                    </a:solidFill>
                    <a:prstDash val="dash"/>
                  </a:ln>
                </c:spPr>
                <c:marker>
                  <c:symbol val="none"/>
                </c:marker>
                <c:val>
                  <c:numRef>
                    <c:extLst>
                      <c:ext uri="{02D57815-91ED-43cb-92C2-25804820EDAC}">
                        <c15:formulaRef>
                          <c15:sqref>Summary!$D$398:$P$398</c15:sqref>
                        </c15:formulaRef>
                      </c:ext>
                    </c:extLst>
                  </c:numRef>
                </c:val>
                <c:smooth val="0"/>
                <c:extLst>
                  <c:ext xmlns:c16="http://schemas.microsoft.com/office/drawing/2014/chart" uri="{C3380CC4-5D6E-409C-BE32-E72D297353CC}">
                    <c16:uniqueId val="{00000001-ED2B-4857-BAD8-C32E6EE2814B}"/>
                  </c:ext>
                </c:extLst>
              </c15:ser>
            </c15:filteredLineSeries>
          </c:ext>
        </c:extLst>
      </c:lineChart>
      <c:catAx>
        <c:axId val="56220467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2207744"/>
        <c:crosses val="autoZero"/>
        <c:auto val="1"/>
        <c:lblAlgn val="ctr"/>
        <c:lblOffset val="100"/>
        <c:noMultiLvlLbl val="0"/>
      </c:catAx>
      <c:valAx>
        <c:axId val="562207744"/>
        <c:scaling>
          <c:orientation val="minMax"/>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562204672"/>
        <c:crosses val="autoZero"/>
        <c:crossBetween val="between"/>
      </c:valAx>
    </c:plotArea>
    <c:legend>
      <c:legendPos val="r"/>
      <c:layout>
        <c:manualLayout>
          <c:xMode val="edge"/>
          <c:yMode val="edge"/>
          <c:x val="0.70414095566986457"/>
          <c:y val="9.553811081287656E-3"/>
          <c:w val="0.23121773154083319"/>
          <c:h val="0.1171693374682431"/>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2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6.8013724846894136E-2"/>
          <c:y val="6.2453703703703713E-2"/>
          <c:w val="0.90911089238845144"/>
          <c:h val="0.74377762365196576"/>
        </c:manualLayout>
      </c:layout>
      <c:barChart>
        <c:barDir val="col"/>
        <c:grouping val="clustered"/>
        <c:varyColors val="0"/>
        <c:ser>
          <c:idx val="1"/>
          <c:order val="0"/>
          <c:tx>
            <c:strRef>
              <c:f>Summary!$C$52</c:f>
              <c:strCache>
                <c:ptCount val="1"/>
                <c:pt idx="0">
                  <c:v>24/25</c:v>
                </c:pt>
              </c:strCache>
            </c:strRef>
          </c:tx>
          <c:spPr>
            <a:solidFill>
              <a:srgbClr val="2C72B3"/>
            </a:solidFill>
          </c:spPr>
          <c:invertIfNegative val="0"/>
          <c:val>
            <c:numRef>
              <c:f>Summary!$D$24:$Q$24</c:f>
              <c:numCache>
                <c:formatCode>#,##0</c:formatCode>
                <c:ptCount val="14"/>
                <c:pt idx="0">
                  <c:v>99217.142857142855</c:v>
                </c:pt>
                <c:pt idx="1">
                  <c:v>99271.857142857145</c:v>
                </c:pt>
                <c:pt idx="2">
                  <c:v>99588</c:v>
                </c:pt>
                <c:pt idx="3">
                  <c:v>99769.571428571435</c:v>
                </c:pt>
                <c:pt idx="4">
                  <c:v>98999.571428571435</c:v>
                </c:pt>
                <c:pt idx="5">
                  <c:v>99260.571428571435</c:v>
                </c:pt>
                <c:pt idx="6">
                  <c:v>100202.28571428571</c:v>
                </c:pt>
                <c:pt idx="7">
                  <c:v>99896.428571428565</c:v>
                </c:pt>
                <c:pt idx="8">
                  <c:v>0</c:v>
                </c:pt>
                <c:pt idx="9">
                  <c:v>0</c:v>
                </c:pt>
                <c:pt idx="10">
                  <c:v>0</c:v>
                </c:pt>
                <c:pt idx="11">
                  <c:v>0</c:v>
                </c:pt>
                <c:pt idx="12">
                  <c:v>0</c:v>
                </c:pt>
                <c:pt idx="13">
                  <c:v>0</c:v>
                </c:pt>
              </c:numCache>
            </c:numRef>
          </c:val>
          <c:extLst>
            <c:ext xmlns:c16="http://schemas.microsoft.com/office/drawing/2014/chart" uri="{C3380CC4-5D6E-409C-BE32-E72D297353CC}">
              <c16:uniqueId val="{00000000-C4E5-4C27-B463-332B80ADCEDA}"/>
            </c:ext>
          </c:extLst>
        </c:ser>
        <c:dLbls>
          <c:showLegendKey val="0"/>
          <c:showVal val="0"/>
          <c:showCatName val="0"/>
          <c:showSerName val="0"/>
          <c:showPercent val="0"/>
          <c:showBubbleSize val="0"/>
        </c:dLbls>
        <c:gapWidth val="50"/>
        <c:axId val="563149440"/>
        <c:axId val="563173632"/>
      </c:barChart>
      <c:lineChart>
        <c:grouping val="standard"/>
        <c:varyColors val="0"/>
        <c:ser>
          <c:idx val="0"/>
          <c:order val="2"/>
          <c:tx>
            <c:strRef>
              <c:f>Summary!$C$22</c:f>
              <c:strCache>
                <c:ptCount val="1"/>
                <c:pt idx="0">
                  <c:v>23/24</c:v>
                </c:pt>
              </c:strCache>
            </c:strRef>
          </c:tx>
          <c:spPr>
            <a:ln>
              <a:solidFill>
                <a:srgbClr val="F79131"/>
              </a:solidFill>
            </a:ln>
          </c:spPr>
          <c:marker>
            <c:spPr>
              <a:noFill/>
              <a:ln>
                <a:noFill/>
              </a:ln>
            </c:spPr>
          </c:marker>
          <c:val>
            <c:numRef>
              <c:f>Summary!$D$22:$Q$22</c:f>
              <c:numCache>
                <c:formatCode>#,##0</c:formatCode>
                <c:ptCount val="14"/>
                <c:pt idx="0">
                  <c:v>98118.428571428565</c:v>
                </c:pt>
                <c:pt idx="1">
                  <c:v>98291.428571428565</c:v>
                </c:pt>
                <c:pt idx="2">
                  <c:v>98014.571428571435</c:v>
                </c:pt>
                <c:pt idx="3">
                  <c:v>98114</c:v>
                </c:pt>
                <c:pt idx="4">
                  <c:v>97619</c:v>
                </c:pt>
                <c:pt idx="5">
                  <c:v>98702.71428571429</c:v>
                </c:pt>
                <c:pt idx="6">
                  <c:v>99458.857142857145</c:v>
                </c:pt>
                <c:pt idx="7">
                  <c:v>99750.428571428565</c:v>
                </c:pt>
                <c:pt idx="8">
                  <c:v>99863.71428571429</c:v>
                </c:pt>
                <c:pt idx="9">
                  <c:v>99876.28571428571</c:v>
                </c:pt>
                <c:pt idx="10">
                  <c:v>99886.71428571429</c:v>
                </c:pt>
                <c:pt idx="11">
                  <c:v>100018.28571428571</c:v>
                </c:pt>
                <c:pt idx="12">
                  <c:v>99921.142857142855</c:v>
                </c:pt>
                <c:pt idx="13">
                  <c:v>99810.428571428565</c:v>
                </c:pt>
              </c:numCache>
            </c:numRef>
          </c:val>
          <c:smooth val="0"/>
          <c:extLst>
            <c:ext xmlns:c16="http://schemas.microsoft.com/office/drawing/2014/chart" uri="{C3380CC4-5D6E-409C-BE32-E72D297353CC}">
              <c16:uniqueId val="{00000000-15EE-4117-979B-927C071110C9}"/>
            </c:ext>
          </c:extLst>
        </c:ser>
        <c:dLbls>
          <c:showLegendKey val="0"/>
          <c:showVal val="0"/>
          <c:showCatName val="0"/>
          <c:showSerName val="0"/>
          <c:showPercent val="0"/>
          <c:showBubbleSize val="0"/>
        </c:dLbls>
        <c:marker val="1"/>
        <c:smooth val="0"/>
        <c:axId val="563149440"/>
        <c:axId val="563173632"/>
        <c:extLst>
          <c:ext xmlns:c15="http://schemas.microsoft.com/office/drawing/2012/chart" uri="{02D57815-91ED-43cb-92C2-25804820EDAC}">
            <c15:filteredLineSeries>
              <c15:ser>
                <c:idx val="2"/>
                <c:order val="1"/>
                <c:tx>
                  <c:v>20/21</c:v>
                </c:tx>
                <c:spPr>
                  <a:ln w="25400">
                    <a:solidFill>
                      <a:srgbClr val="00A89C"/>
                    </a:solidFill>
                    <a:prstDash val="sysDot"/>
                  </a:ln>
                </c:spPr>
                <c:marker>
                  <c:symbol val="none"/>
                </c:marker>
                <c:val>
                  <c:numRef>
                    <c:extLst>
                      <c:ext uri="{02D57815-91ED-43cb-92C2-25804820EDAC}">
                        <c15:formulaRef>
                          <c15:sqref>Summary!$D$49:$P$49</c15:sqref>
                        </c15:formulaRef>
                      </c:ext>
                    </c:extLst>
                    <c:numCache>
                      <c:formatCode>#,##0</c:formatCode>
                      <c:ptCount val="13"/>
                      <c:pt idx="0">
                        <c:v>99508</c:v>
                      </c:pt>
                      <c:pt idx="1">
                        <c:v>99673.71428571429</c:v>
                      </c:pt>
                      <c:pt idx="2">
                        <c:v>100100.85714285714</c:v>
                      </c:pt>
                      <c:pt idx="3">
                        <c:v>99939.857142857145</c:v>
                      </c:pt>
                      <c:pt idx="4">
                        <c:v>100270.57142857143</c:v>
                      </c:pt>
                      <c:pt idx="5">
                        <c:v>102134.28571428571</c:v>
                      </c:pt>
                      <c:pt idx="6">
                        <c:v>102229.71428571429</c:v>
                      </c:pt>
                      <c:pt idx="7">
                        <c:v>101472.85714285714</c:v>
                      </c:pt>
                      <c:pt idx="8">
                        <c:v>101048.14285714286</c:v>
                      </c:pt>
                      <c:pt idx="9">
                        <c:v>101375.14285714286</c:v>
                      </c:pt>
                      <c:pt idx="10">
                        <c:v>100855.42857142857</c:v>
                      </c:pt>
                      <c:pt idx="11">
                        <c:v>101067.28571428571</c:v>
                      </c:pt>
                      <c:pt idx="12">
                        <c:v>101067.57142857143</c:v>
                      </c:pt>
                    </c:numCache>
                  </c:numRef>
                </c:val>
                <c:smooth val="0"/>
                <c:extLst>
                  <c:ext xmlns:c16="http://schemas.microsoft.com/office/drawing/2014/chart" uri="{C3380CC4-5D6E-409C-BE32-E72D297353CC}">
                    <c16:uniqueId val="{00000002-C4E5-4C27-B463-332B80ADCEDA}"/>
                  </c:ext>
                </c:extLst>
              </c15:ser>
            </c15:filteredLineSeries>
          </c:ext>
        </c:extLst>
      </c:lineChart>
      <c:catAx>
        <c:axId val="563149440"/>
        <c:scaling>
          <c:orientation val="minMax"/>
        </c:scaling>
        <c:delete val="0"/>
        <c:axPos val="b"/>
        <c:title>
          <c:tx>
            <c:rich>
              <a:bodyPr/>
              <a:lstStyle/>
              <a:p>
                <a:pPr>
                  <a:defRPr/>
                </a:pPr>
                <a:r>
                  <a:rPr lang="en-US"/>
                  <a:t>Week</a:t>
                </a:r>
              </a:p>
            </c:rich>
          </c:tx>
          <c:overlay val="0"/>
        </c:title>
        <c:numFmt formatCode="@" sourceLinked="1"/>
        <c:majorTickMark val="out"/>
        <c:minorTickMark val="none"/>
        <c:tickLblPos val="nextTo"/>
        <c:spPr>
          <a:ln w="3175">
            <a:solidFill>
              <a:srgbClr val="9DA6AB"/>
            </a:solidFill>
          </a:ln>
        </c:spPr>
        <c:txPr>
          <a:bodyPr/>
          <a:lstStyle/>
          <a:p>
            <a:pPr>
              <a:defRPr sz="800" b="1"/>
            </a:pPr>
            <a:endParaRPr lang="en-US"/>
          </a:p>
        </c:txPr>
        <c:crossAx val="563173632"/>
        <c:crosses val="autoZero"/>
        <c:auto val="1"/>
        <c:lblAlgn val="ctr"/>
        <c:lblOffset val="100"/>
        <c:noMultiLvlLbl val="0"/>
      </c:catAx>
      <c:valAx>
        <c:axId val="563173632"/>
        <c:scaling>
          <c:orientation val="minMax"/>
        </c:scaling>
        <c:delete val="0"/>
        <c:axPos val="l"/>
        <c:numFmt formatCode="#,##0" sourceLinked="0"/>
        <c:majorTickMark val="out"/>
        <c:minorTickMark val="none"/>
        <c:tickLblPos val="nextTo"/>
        <c:spPr>
          <a:ln w="50800">
            <a:solidFill>
              <a:srgbClr val="CED8DD"/>
            </a:solidFill>
          </a:ln>
        </c:spPr>
        <c:txPr>
          <a:bodyPr/>
          <a:lstStyle/>
          <a:p>
            <a:pPr>
              <a:defRPr sz="800" b="1"/>
            </a:pPr>
            <a:endParaRPr lang="en-US"/>
          </a:p>
        </c:txPr>
        <c:crossAx val="563149440"/>
        <c:crosses val="autoZero"/>
        <c:crossBetween val="between"/>
      </c:valAx>
    </c:plotArea>
    <c:legend>
      <c:legendPos val="r"/>
      <c:layout>
        <c:manualLayout>
          <c:xMode val="edge"/>
          <c:yMode val="edge"/>
          <c:x val="0.58835417225650655"/>
          <c:y val="8.4447018067852209E-3"/>
          <c:w val="0.40832921921116178"/>
          <c:h val="0.10984885041999162"/>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2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6.8013724846894136E-2"/>
          <c:y val="6.2453703703703713E-2"/>
          <c:w val="0.90911089238845144"/>
          <c:h val="0.74377762365196576"/>
        </c:manualLayout>
      </c:layout>
      <c:barChart>
        <c:barDir val="col"/>
        <c:grouping val="clustered"/>
        <c:varyColors val="0"/>
        <c:ser>
          <c:idx val="1"/>
          <c:order val="0"/>
          <c:tx>
            <c:strRef>
              <c:f>Summary!$C$38</c:f>
              <c:strCache>
                <c:ptCount val="1"/>
                <c:pt idx="0">
                  <c:v>24/25</c:v>
                </c:pt>
              </c:strCache>
            </c:strRef>
          </c:tx>
          <c:spPr>
            <a:solidFill>
              <a:srgbClr val="2C72B3"/>
            </a:solidFill>
          </c:spPr>
          <c:invertIfNegative val="0"/>
          <c:val>
            <c:numRef>
              <c:f>Summary!$D$38:$Q$38</c:f>
              <c:numCache>
                <c:formatCode>#,##0</c:formatCode>
                <c:ptCount val="14"/>
                <c:pt idx="0">
                  <c:v>2852.8571428571427</c:v>
                </c:pt>
                <c:pt idx="1">
                  <c:v>2907.5714285714284</c:v>
                </c:pt>
                <c:pt idx="2">
                  <c:v>2876</c:v>
                </c:pt>
                <c:pt idx="3">
                  <c:v>2834.2857142857142</c:v>
                </c:pt>
                <c:pt idx="4">
                  <c:v>2309.2857142857142</c:v>
                </c:pt>
                <c:pt idx="5">
                  <c:v>3285.2857142857142</c:v>
                </c:pt>
                <c:pt idx="6">
                  <c:v>3644.7142857142858</c:v>
                </c:pt>
                <c:pt idx="7">
                  <c:v>3361.4285714285716</c:v>
                </c:pt>
                <c:pt idx="8">
                  <c:v>0</c:v>
                </c:pt>
                <c:pt idx="9">
                  <c:v>0</c:v>
                </c:pt>
                <c:pt idx="10">
                  <c:v>0</c:v>
                </c:pt>
                <c:pt idx="11">
                  <c:v>0</c:v>
                </c:pt>
                <c:pt idx="12">
                  <c:v>0</c:v>
                </c:pt>
                <c:pt idx="13">
                  <c:v>0</c:v>
                </c:pt>
              </c:numCache>
            </c:numRef>
          </c:val>
          <c:extLst>
            <c:ext xmlns:c16="http://schemas.microsoft.com/office/drawing/2014/chart" uri="{C3380CC4-5D6E-409C-BE32-E72D297353CC}">
              <c16:uniqueId val="{00000000-CCA1-4BC1-8129-9119E40FC769}"/>
            </c:ext>
          </c:extLst>
        </c:ser>
        <c:dLbls>
          <c:showLegendKey val="0"/>
          <c:showVal val="0"/>
          <c:showCatName val="0"/>
          <c:showSerName val="0"/>
          <c:showPercent val="0"/>
          <c:showBubbleSize val="0"/>
        </c:dLbls>
        <c:gapWidth val="50"/>
        <c:axId val="563149440"/>
        <c:axId val="563173632"/>
      </c:barChart>
      <c:lineChart>
        <c:grouping val="standard"/>
        <c:varyColors val="0"/>
        <c:ser>
          <c:idx val="0"/>
          <c:order val="2"/>
          <c:tx>
            <c:strRef>
              <c:f>Summary!$C$36</c:f>
              <c:strCache>
                <c:ptCount val="1"/>
                <c:pt idx="0">
                  <c:v>23/24</c:v>
                </c:pt>
              </c:strCache>
            </c:strRef>
          </c:tx>
          <c:spPr>
            <a:ln>
              <a:solidFill>
                <a:srgbClr val="F79131"/>
              </a:solidFill>
            </a:ln>
          </c:spPr>
          <c:marker>
            <c:spPr>
              <a:noFill/>
              <a:ln>
                <a:noFill/>
              </a:ln>
            </c:spPr>
          </c:marker>
          <c:val>
            <c:numRef>
              <c:f>Summary!$D$36:$Q$36</c:f>
              <c:numCache>
                <c:formatCode>#,##0</c:formatCode>
                <c:ptCount val="14"/>
                <c:pt idx="0">
                  <c:v>2785</c:v>
                </c:pt>
                <c:pt idx="1">
                  <c:v>2968.1428571428573</c:v>
                </c:pt>
                <c:pt idx="2">
                  <c:v>3184.8571428571427</c:v>
                </c:pt>
                <c:pt idx="3">
                  <c:v>2625.8571428571427</c:v>
                </c:pt>
                <c:pt idx="4">
                  <c:v>2389</c:v>
                </c:pt>
                <c:pt idx="5">
                  <c:v>3522.8571428571427</c:v>
                </c:pt>
                <c:pt idx="6">
                  <c:v>3325</c:v>
                </c:pt>
                <c:pt idx="7">
                  <c:v>3526.8571428571427</c:v>
                </c:pt>
                <c:pt idx="8">
                  <c:v>3824.4285714285716</c:v>
                </c:pt>
                <c:pt idx="9">
                  <c:v>3707.7142857142858</c:v>
                </c:pt>
                <c:pt idx="10">
                  <c:v>3670.5714285714284</c:v>
                </c:pt>
                <c:pt idx="11">
                  <c:v>3578.5714285714284</c:v>
                </c:pt>
                <c:pt idx="12">
                  <c:v>3351.8571428571427</c:v>
                </c:pt>
                <c:pt idx="13">
                  <c:v>3083.1428571428573</c:v>
                </c:pt>
              </c:numCache>
            </c:numRef>
          </c:val>
          <c:smooth val="0"/>
          <c:extLst>
            <c:ext xmlns:c16="http://schemas.microsoft.com/office/drawing/2014/chart" uri="{C3380CC4-5D6E-409C-BE32-E72D297353CC}">
              <c16:uniqueId val="{00000000-E5E3-4B20-93FA-C5665163FC0A}"/>
            </c:ext>
          </c:extLst>
        </c:ser>
        <c:dLbls>
          <c:showLegendKey val="0"/>
          <c:showVal val="0"/>
          <c:showCatName val="0"/>
          <c:showSerName val="0"/>
          <c:showPercent val="0"/>
          <c:showBubbleSize val="0"/>
        </c:dLbls>
        <c:marker val="1"/>
        <c:smooth val="0"/>
        <c:axId val="563149440"/>
        <c:axId val="563173632"/>
        <c:extLst>
          <c:ext xmlns:c15="http://schemas.microsoft.com/office/drawing/2012/chart" uri="{02D57815-91ED-43cb-92C2-25804820EDAC}">
            <c15:filteredLineSeries>
              <c15:ser>
                <c:idx val="2"/>
                <c:order val="1"/>
                <c:tx>
                  <c:v>20/21</c:v>
                </c:tx>
                <c:spPr>
                  <a:ln w="25400">
                    <a:solidFill>
                      <a:srgbClr val="00A89C"/>
                    </a:solidFill>
                    <a:prstDash val="sysDot"/>
                  </a:ln>
                </c:spPr>
                <c:marker>
                  <c:symbol val="none"/>
                </c:marker>
                <c:val>
                  <c:numRef>
                    <c:extLst>
                      <c:ext uri="{02D57815-91ED-43cb-92C2-25804820EDAC}">
                        <c15:formulaRef>
                          <c15:sqref>Summary!$D$49:$P$49</c15:sqref>
                        </c15:formulaRef>
                      </c:ext>
                    </c:extLst>
                    <c:numCache>
                      <c:formatCode>#,##0</c:formatCode>
                      <c:ptCount val="13"/>
                      <c:pt idx="0">
                        <c:v>99508</c:v>
                      </c:pt>
                      <c:pt idx="1">
                        <c:v>99673.71428571429</c:v>
                      </c:pt>
                      <c:pt idx="2">
                        <c:v>100100.85714285714</c:v>
                      </c:pt>
                      <c:pt idx="3">
                        <c:v>99939.857142857145</c:v>
                      </c:pt>
                      <c:pt idx="4">
                        <c:v>100270.57142857143</c:v>
                      </c:pt>
                      <c:pt idx="5">
                        <c:v>102134.28571428571</c:v>
                      </c:pt>
                      <c:pt idx="6">
                        <c:v>102229.71428571429</c:v>
                      </c:pt>
                      <c:pt idx="7">
                        <c:v>101472.85714285714</c:v>
                      </c:pt>
                      <c:pt idx="8">
                        <c:v>101048.14285714286</c:v>
                      </c:pt>
                      <c:pt idx="9">
                        <c:v>101375.14285714286</c:v>
                      </c:pt>
                      <c:pt idx="10">
                        <c:v>100855.42857142857</c:v>
                      </c:pt>
                      <c:pt idx="11">
                        <c:v>101067.28571428571</c:v>
                      </c:pt>
                      <c:pt idx="12">
                        <c:v>101067.57142857143</c:v>
                      </c:pt>
                    </c:numCache>
                  </c:numRef>
                </c:val>
                <c:smooth val="0"/>
                <c:extLst>
                  <c:ext xmlns:c16="http://schemas.microsoft.com/office/drawing/2014/chart" uri="{C3380CC4-5D6E-409C-BE32-E72D297353CC}">
                    <c16:uniqueId val="{00000003-CCA1-4BC1-8129-9119E40FC769}"/>
                  </c:ext>
                </c:extLst>
              </c15:ser>
            </c15:filteredLineSeries>
          </c:ext>
        </c:extLst>
      </c:lineChart>
      <c:catAx>
        <c:axId val="563149440"/>
        <c:scaling>
          <c:orientation val="minMax"/>
        </c:scaling>
        <c:delete val="0"/>
        <c:axPos val="b"/>
        <c:title>
          <c:tx>
            <c:rich>
              <a:bodyPr/>
              <a:lstStyle/>
              <a:p>
                <a:pPr>
                  <a:defRPr/>
                </a:pPr>
                <a:r>
                  <a:rPr lang="en-US"/>
                  <a:t>Week</a:t>
                </a:r>
              </a:p>
            </c:rich>
          </c:tx>
          <c:overlay val="0"/>
        </c:title>
        <c:numFmt formatCode="@" sourceLinked="1"/>
        <c:majorTickMark val="out"/>
        <c:minorTickMark val="none"/>
        <c:tickLblPos val="nextTo"/>
        <c:spPr>
          <a:ln w="3175">
            <a:solidFill>
              <a:srgbClr val="9DA6AB"/>
            </a:solidFill>
          </a:ln>
        </c:spPr>
        <c:txPr>
          <a:bodyPr/>
          <a:lstStyle/>
          <a:p>
            <a:pPr>
              <a:defRPr sz="800" b="1"/>
            </a:pPr>
            <a:endParaRPr lang="en-US"/>
          </a:p>
        </c:txPr>
        <c:crossAx val="563173632"/>
        <c:crosses val="autoZero"/>
        <c:auto val="1"/>
        <c:lblAlgn val="ctr"/>
        <c:lblOffset val="100"/>
        <c:noMultiLvlLbl val="0"/>
      </c:catAx>
      <c:valAx>
        <c:axId val="563173632"/>
        <c:scaling>
          <c:orientation val="minMax"/>
        </c:scaling>
        <c:delete val="0"/>
        <c:axPos val="l"/>
        <c:numFmt formatCode="#,##0" sourceLinked="0"/>
        <c:majorTickMark val="out"/>
        <c:minorTickMark val="none"/>
        <c:tickLblPos val="nextTo"/>
        <c:spPr>
          <a:ln w="50800">
            <a:solidFill>
              <a:srgbClr val="CED8DD"/>
            </a:solidFill>
          </a:ln>
        </c:spPr>
        <c:txPr>
          <a:bodyPr/>
          <a:lstStyle/>
          <a:p>
            <a:pPr>
              <a:defRPr sz="800" b="1"/>
            </a:pPr>
            <a:endParaRPr lang="en-US"/>
          </a:p>
        </c:txPr>
        <c:crossAx val="563149440"/>
        <c:crosses val="autoZero"/>
        <c:crossBetween val="between"/>
      </c:valAx>
    </c:plotArea>
    <c:legend>
      <c:legendPos val="r"/>
      <c:layout>
        <c:manualLayout>
          <c:xMode val="edge"/>
          <c:yMode val="edge"/>
          <c:x val="0.63265253555138179"/>
          <c:y val="3.0688765964507702E-3"/>
          <c:w val="0.36062328950898848"/>
          <c:h val="8.296972436831937E-2"/>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2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6.8013724846894136E-2"/>
          <c:y val="6.2453703703703713E-2"/>
          <c:w val="0.90911089238845144"/>
          <c:h val="0.74377762365196576"/>
        </c:manualLayout>
      </c:layout>
      <c:barChart>
        <c:barDir val="col"/>
        <c:grouping val="clustered"/>
        <c:varyColors val="0"/>
        <c:ser>
          <c:idx val="1"/>
          <c:order val="1"/>
          <c:tx>
            <c:strRef>
              <c:f>Summary!$C$8</c:f>
              <c:strCache>
                <c:ptCount val="1"/>
                <c:pt idx="0">
                  <c:v>24/25</c:v>
                </c:pt>
              </c:strCache>
            </c:strRef>
          </c:tx>
          <c:spPr>
            <a:ln w="19050"/>
          </c:spPr>
          <c:invertIfNegative val="0"/>
          <c:val>
            <c:numRef>
              <c:f>Summary!$D$8:$R$8</c:f>
              <c:numCache>
                <c:formatCode>General</c:formatCode>
                <c:ptCount val="15"/>
                <c:pt idx="0">
                  <c:v>25</c:v>
                </c:pt>
                <c:pt idx="1">
                  <c:v>37</c:v>
                </c:pt>
                <c:pt idx="2">
                  <c:v>35</c:v>
                </c:pt>
                <c:pt idx="3">
                  <c:v>34</c:v>
                </c:pt>
                <c:pt idx="4">
                  <c:v>47</c:v>
                </c:pt>
                <c:pt idx="5">
                  <c:v>48</c:v>
                </c:pt>
                <c:pt idx="6">
                  <c:v>45</c:v>
                </c:pt>
                <c:pt idx="7">
                  <c:v>29</c:v>
                </c:pt>
                <c:pt idx="8">
                  <c:v>0</c:v>
                </c:pt>
                <c:pt idx="9">
                  <c:v>0</c:v>
                </c:pt>
                <c:pt idx="10">
                  <c:v>0</c:v>
                </c:pt>
                <c:pt idx="11">
                  <c:v>0</c:v>
                </c:pt>
                <c:pt idx="12">
                  <c:v>0</c:v>
                </c:pt>
                <c:pt idx="13">
                  <c:v>0</c:v>
                </c:pt>
              </c:numCache>
            </c:numRef>
          </c:val>
          <c:extLst>
            <c:ext xmlns:c16="http://schemas.microsoft.com/office/drawing/2014/chart" uri="{C3380CC4-5D6E-409C-BE32-E72D297353CC}">
              <c16:uniqueId val="{00000000-3648-4786-9335-5B8102D4B545}"/>
            </c:ext>
          </c:extLst>
        </c:ser>
        <c:dLbls>
          <c:showLegendKey val="0"/>
          <c:showVal val="0"/>
          <c:showCatName val="0"/>
          <c:showSerName val="0"/>
          <c:showPercent val="0"/>
          <c:showBubbleSize val="0"/>
        </c:dLbls>
        <c:gapWidth val="50"/>
        <c:axId val="566597120"/>
        <c:axId val="566603136"/>
      </c:barChart>
      <c:lineChart>
        <c:grouping val="standard"/>
        <c:varyColors val="0"/>
        <c:ser>
          <c:idx val="0"/>
          <c:order val="0"/>
          <c:tx>
            <c:strRef>
              <c:f>Summary!$C$6</c:f>
              <c:strCache>
                <c:ptCount val="1"/>
                <c:pt idx="0">
                  <c:v>23/24</c:v>
                </c:pt>
              </c:strCache>
            </c:strRef>
          </c:tx>
          <c:spPr>
            <a:ln w="28575">
              <a:solidFill>
                <a:srgbClr val="F0532D"/>
              </a:solidFill>
              <a:prstDash val="sysDot"/>
            </a:ln>
          </c:spPr>
          <c:marker>
            <c:symbol val="none"/>
          </c:marker>
          <c:val>
            <c:numRef>
              <c:f>Summary!$D$6:$P$6</c:f>
              <c:numCache>
                <c:formatCode>General</c:formatCode>
                <c:ptCount val="13"/>
                <c:pt idx="0">
                  <c:v>22</c:v>
                </c:pt>
                <c:pt idx="1">
                  <c:v>20</c:v>
                </c:pt>
                <c:pt idx="2">
                  <c:v>12</c:v>
                </c:pt>
                <c:pt idx="3">
                  <c:v>13</c:v>
                </c:pt>
                <c:pt idx="4">
                  <c:v>20</c:v>
                </c:pt>
                <c:pt idx="5">
                  <c:v>28</c:v>
                </c:pt>
                <c:pt idx="6">
                  <c:v>24</c:v>
                </c:pt>
                <c:pt idx="7">
                  <c:v>28</c:v>
                </c:pt>
                <c:pt idx="8">
                  <c:v>28</c:v>
                </c:pt>
                <c:pt idx="9">
                  <c:v>31</c:v>
                </c:pt>
                <c:pt idx="10">
                  <c:v>22</c:v>
                </c:pt>
                <c:pt idx="11">
                  <c:v>25</c:v>
                </c:pt>
                <c:pt idx="12">
                  <c:v>28</c:v>
                </c:pt>
              </c:numCache>
            </c:numRef>
          </c:val>
          <c:smooth val="0"/>
          <c:extLst>
            <c:ext xmlns:c16="http://schemas.microsoft.com/office/drawing/2014/chart" uri="{C3380CC4-5D6E-409C-BE32-E72D297353CC}">
              <c16:uniqueId val="{00000001-3648-4786-9335-5B8102D4B545}"/>
            </c:ext>
          </c:extLst>
        </c:ser>
        <c:dLbls>
          <c:showLegendKey val="0"/>
          <c:showVal val="0"/>
          <c:showCatName val="0"/>
          <c:showSerName val="0"/>
          <c:showPercent val="0"/>
          <c:showBubbleSize val="0"/>
        </c:dLbls>
        <c:marker val="1"/>
        <c:smooth val="0"/>
        <c:axId val="566597120"/>
        <c:axId val="566603136"/>
      </c:lineChart>
      <c:catAx>
        <c:axId val="566597120"/>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15875">
            <a:solidFill>
              <a:schemeClr val="bg2"/>
            </a:solidFill>
          </a:ln>
        </c:spPr>
        <c:txPr>
          <a:bodyPr/>
          <a:lstStyle/>
          <a:p>
            <a:pPr>
              <a:defRPr sz="800" b="1"/>
            </a:pPr>
            <a:endParaRPr lang="en-US"/>
          </a:p>
        </c:txPr>
        <c:crossAx val="566603136"/>
        <c:crosses val="autoZero"/>
        <c:auto val="1"/>
        <c:lblAlgn val="ctr"/>
        <c:lblOffset val="100"/>
        <c:noMultiLvlLbl val="0"/>
      </c:catAx>
      <c:valAx>
        <c:axId val="566603136"/>
        <c:scaling>
          <c:orientation val="minMax"/>
        </c:scaling>
        <c:delete val="0"/>
        <c:axPos val="l"/>
        <c:numFmt formatCode="General" sourceLinked="1"/>
        <c:majorTickMark val="out"/>
        <c:minorTickMark val="none"/>
        <c:tickLblPos val="nextTo"/>
        <c:spPr>
          <a:ln w="25400"/>
        </c:spPr>
        <c:txPr>
          <a:bodyPr/>
          <a:lstStyle/>
          <a:p>
            <a:pPr>
              <a:defRPr sz="800" b="1"/>
            </a:pPr>
            <a:endParaRPr lang="en-US"/>
          </a:p>
        </c:txPr>
        <c:crossAx val="566597120"/>
        <c:crosses val="autoZero"/>
        <c:crossBetween val="between"/>
      </c:valAx>
    </c:plotArea>
    <c:legend>
      <c:legendPos val="r"/>
      <c:layout>
        <c:manualLayout>
          <c:xMode val="edge"/>
          <c:yMode val="edge"/>
          <c:x val="0.79763861548556436"/>
          <c:y val="2.9495027910243613E-2"/>
          <c:w val="0.18853202919947507"/>
          <c:h val="0.21525636760193709"/>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chart" Target="../charts/chart8.xml"/><Relationship Id="rId13" Type="http://schemas.openxmlformats.org/officeDocument/2006/relationships/chart" Target="../charts/chart13.xml"/><Relationship Id="rId18" Type="http://schemas.openxmlformats.org/officeDocument/2006/relationships/chart" Target="../charts/chart18.xml"/><Relationship Id="rId26" Type="http://schemas.openxmlformats.org/officeDocument/2006/relationships/chart" Target="../charts/chart26.xml"/><Relationship Id="rId3" Type="http://schemas.openxmlformats.org/officeDocument/2006/relationships/chart" Target="../charts/chart3.xml"/><Relationship Id="rId21" Type="http://schemas.openxmlformats.org/officeDocument/2006/relationships/chart" Target="../charts/chart21.xml"/><Relationship Id="rId7" Type="http://schemas.openxmlformats.org/officeDocument/2006/relationships/chart" Target="../charts/chart7.xml"/><Relationship Id="rId12" Type="http://schemas.openxmlformats.org/officeDocument/2006/relationships/chart" Target="../charts/chart12.xml"/><Relationship Id="rId17" Type="http://schemas.openxmlformats.org/officeDocument/2006/relationships/chart" Target="../charts/chart17.xml"/><Relationship Id="rId25" Type="http://schemas.openxmlformats.org/officeDocument/2006/relationships/chart" Target="../charts/chart25.xml"/><Relationship Id="rId2" Type="http://schemas.openxmlformats.org/officeDocument/2006/relationships/chart" Target="../charts/chart2.xml"/><Relationship Id="rId16" Type="http://schemas.openxmlformats.org/officeDocument/2006/relationships/chart" Target="../charts/chart16.xml"/><Relationship Id="rId20" Type="http://schemas.openxmlformats.org/officeDocument/2006/relationships/chart" Target="../charts/chart20.xml"/><Relationship Id="rId1" Type="http://schemas.openxmlformats.org/officeDocument/2006/relationships/chart" Target="../charts/chart1.xml"/><Relationship Id="rId6" Type="http://schemas.openxmlformats.org/officeDocument/2006/relationships/chart" Target="../charts/chart6.xml"/><Relationship Id="rId11" Type="http://schemas.openxmlformats.org/officeDocument/2006/relationships/chart" Target="../charts/chart11.xml"/><Relationship Id="rId24" Type="http://schemas.openxmlformats.org/officeDocument/2006/relationships/chart" Target="../charts/chart24.xml"/><Relationship Id="rId5" Type="http://schemas.openxmlformats.org/officeDocument/2006/relationships/chart" Target="../charts/chart5.xml"/><Relationship Id="rId15" Type="http://schemas.openxmlformats.org/officeDocument/2006/relationships/chart" Target="../charts/chart15.xml"/><Relationship Id="rId23" Type="http://schemas.openxmlformats.org/officeDocument/2006/relationships/chart" Target="../charts/chart23.xml"/><Relationship Id="rId10" Type="http://schemas.openxmlformats.org/officeDocument/2006/relationships/chart" Target="../charts/chart10.xml"/><Relationship Id="rId19" Type="http://schemas.openxmlformats.org/officeDocument/2006/relationships/chart" Target="../charts/chart19.xml"/><Relationship Id="rId4" Type="http://schemas.openxmlformats.org/officeDocument/2006/relationships/chart" Target="../charts/chart4.xml"/><Relationship Id="rId9" Type="http://schemas.openxmlformats.org/officeDocument/2006/relationships/chart" Target="../charts/chart9.xml"/><Relationship Id="rId14" Type="http://schemas.openxmlformats.org/officeDocument/2006/relationships/chart" Target="../charts/chart14.xml"/><Relationship Id="rId22" Type="http://schemas.openxmlformats.org/officeDocument/2006/relationships/chart" Target="../charts/chart22.xml"/><Relationship Id="rId27" Type="http://schemas.openxmlformats.org/officeDocument/2006/relationships/chart" Target="../charts/chart27.xml"/></Relationships>
</file>

<file path=xl/drawings/_rels/drawing24.xml.rels><?xml version="1.0" encoding="UTF-8" standalone="yes"?>
<Relationships xmlns="http://schemas.openxmlformats.org/package/2006/relationships"><Relationship Id="rId1" Type="http://schemas.openxmlformats.org/officeDocument/2006/relationships/chart" Target="../charts/chart28.xml"/></Relationships>
</file>

<file path=xl/drawings/drawing1.xml><?xml version="1.0" encoding="utf-8"?>
<xdr:wsDr xmlns:xdr="http://schemas.openxmlformats.org/drawingml/2006/spreadsheetDrawing" xmlns:a="http://schemas.openxmlformats.org/drawingml/2006/main">
  <xdr:twoCellAnchor>
    <xdr:from>
      <xdr:col>19</xdr:col>
      <xdr:colOff>52009</xdr:colOff>
      <xdr:row>4</xdr:row>
      <xdr:rowOff>35831</xdr:rowOff>
    </xdr:from>
    <xdr:to>
      <xdr:col>25</xdr:col>
      <xdr:colOff>24594</xdr:colOff>
      <xdr:row>18</xdr:row>
      <xdr:rowOff>121331</xdr:rowOff>
    </xdr:to>
    <xdr:graphicFrame macro="">
      <xdr:nvGraphicFramePr>
        <xdr:cNvPr id="2" name="Chart 1">
          <a:extLst>
            <a:ext uri="{FF2B5EF4-FFF2-40B4-BE49-F238E27FC236}">
              <a16:creationId xmlns:a16="http://schemas.microsoft.com/office/drawing/2014/main" id="{00000000-0008-0000-00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19</xdr:col>
      <xdr:colOff>28575</xdr:colOff>
      <xdr:row>63</xdr:row>
      <xdr:rowOff>104774</xdr:rowOff>
    </xdr:from>
    <xdr:to>
      <xdr:col>24</xdr:col>
      <xdr:colOff>580575</xdr:colOff>
      <xdr:row>77</xdr:row>
      <xdr:rowOff>95024</xdr:rowOff>
    </xdr:to>
    <xdr:graphicFrame macro="">
      <xdr:nvGraphicFramePr>
        <xdr:cNvPr id="3" name="Chart 2">
          <a:extLst>
            <a:ext uri="{FF2B5EF4-FFF2-40B4-BE49-F238E27FC236}">
              <a16:creationId xmlns:a16="http://schemas.microsoft.com/office/drawing/2014/main" id="{00000000-0008-0000-00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xdr:col>
      <xdr:colOff>36740</xdr:colOff>
      <xdr:row>62</xdr:row>
      <xdr:rowOff>66223</xdr:rowOff>
    </xdr:from>
    <xdr:to>
      <xdr:col>30</xdr:col>
      <xdr:colOff>36740</xdr:colOff>
      <xdr:row>62</xdr:row>
      <xdr:rowOff>66223</xdr:rowOff>
    </xdr:to>
    <xdr:cxnSp macro="">
      <xdr:nvCxnSpPr>
        <xdr:cNvPr id="5" name="Straight Connector 4">
          <a:extLst>
            <a:ext uri="{FF2B5EF4-FFF2-40B4-BE49-F238E27FC236}">
              <a16:creationId xmlns:a16="http://schemas.microsoft.com/office/drawing/2014/main" id="{00000000-0008-0000-0000-000005000000}"/>
            </a:ext>
          </a:extLst>
        </xdr:cNvPr>
        <xdr:cNvCxnSpPr/>
      </xdr:nvCxnSpPr>
      <xdr:spPr>
        <a:xfrm>
          <a:off x="154669" y="6933294"/>
          <a:ext cx="18496642"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9525</xdr:colOff>
      <xdr:row>79</xdr:row>
      <xdr:rowOff>190500</xdr:rowOff>
    </xdr:from>
    <xdr:to>
      <xdr:col>30</xdr:col>
      <xdr:colOff>9525</xdr:colOff>
      <xdr:row>79</xdr:row>
      <xdr:rowOff>190500</xdr:rowOff>
    </xdr:to>
    <xdr:cxnSp macro="">
      <xdr:nvCxnSpPr>
        <xdr:cNvPr id="6" name="Straight Connector 5">
          <a:extLst>
            <a:ext uri="{FF2B5EF4-FFF2-40B4-BE49-F238E27FC236}">
              <a16:creationId xmlns:a16="http://schemas.microsoft.com/office/drawing/2014/main" id="{00000000-0008-0000-0000-000006000000}"/>
            </a:ext>
          </a:extLst>
        </xdr:cNvPr>
        <xdr:cNvCxnSpPr/>
      </xdr:nvCxnSpPr>
      <xdr:spPr>
        <a:xfrm>
          <a:off x="123825" y="2476500"/>
          <a:ext cx="13573125"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18</xdr:col>
      <xdr:colOff>104775</xdr:colOff>
      <xdr:row>79</xdr:row>
      <xdr:rowOff>352425</xdr:rowOff>
    </xdr:from>
    <xdr:to>
      <xdr:col>25</xdr:col>
      <xdr:colOff>95250</xdr:colOff>
      <xdr:row>90</xdr:row>
      <xdr:rowOff>180975</xdr:rowOff>
    </xdr:to>
    <xdr:graphicFrame macro="">
      <xdr:nvGraphicFramePr>
        <xdr:cNvPr id="8" name="Chart 7">
          <a:extLst>
            <a:ext uri="{FF2B5EF4-FFF2-40B4-BE49-F238E27FC236}">
              <a16:creationId xmlns:a16="http://schemas.microsoft.com/office/drawing/2014/main" id="{00000000-0008-0000-0000-00000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18</xdr:col>
      <xdr:colOff>113242</xdr:colOff>
      <xdr:row>103</xdr:row>
      <xdr:rowOff>10584</xdr:rowOff>
    </xdr:from>
    <xdr:to>
      <xdr:col>26</xdr:col>
      <xdr:colOff>84667</xdr:colOff>
      <xdr:row>114</xdr:row>
      <xdr:rowOff>186269</xdr:rowOff>
    </xdr:to>
    <xdr:graphicFrame macro="">
      <xdr:nvGraphicFramePr>
        <xdr:cNvPr id="10" name="Chart 9">
          <a:extLst>
            <a:ext uri="{FF2B5EF4-FFF2-40B4-BE49-F238E27FC236}">
              <a16:creationId xmlns:a16="http://schemas.microsoft.com/office/drawing/2014/main" id="{00000000-0008-0000-0000-00000A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xdr:col>
      <xdr:colOff>9525</xdr:colOff>
      <xdr:row>114</xdr:row>
      <xdr:rowOff>190500</xdr:rowOff>
    </xdr:from>
    <xdr:to>
      <xdr:col>30</xdr:col>
      <xdr:colOff>9525</xdr:colOff>
      <xdr:row>114</xdr:row>
      <xdr:rowOff>190500</xdr:rowOff>
    </xdr:to>
    <xdr:cxnSp macro="">
      <xdr:nvCxnSpPr>
        <xdr:cNvPr id="7" name="Straight Connector 6">
          <a:extLst>
            <a:ext uri="{FF2B5EF4-FFF2-40B4-BE49-F238E27FC236}">
              <a16:creationId xmlns:a16="http://schemas.microsoft.com/office/drawing/2014/main" id="{00000000-0008-0000-0000-000007000000}"/>
            </a:ext>
          </a:extLst>
        </xdr:cNvPr>
        <xdr:cNvCxnSpPr/>
      </xdr:nvCxnSpPr>
      <xdr:spPr>
        <a:xfrm>
          <a:off x="123825" y="4953000"/>
          <a:ext cx="13954125"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18</xdr:col>
      <xdr:colOff>133350</xdr:colOff>
      <xdr:row>115</xdr:row>
      <xdr:rowOff>180975</xdr:rowOff>
    </xdr:from>
    <xdr:to>
      <xdr:col>24</xdr:col>
      <xdr:colOff>494850</xdr:colOff>
      <xdr:row>129</xdr:row>
      <xdr:rowOff>171225</xdr:rowOff>
    </xdr:to>
    <xdr:graphicFrame macro="">
      <xdr:nvGraphicFramePr>
        <xdr:cNvPr id="11" name="Chart 10">
          <a:extLst>
            <a:ext uri="{FF2B5EF4-FFF2-40B4-BE49-F238E27FC236}">
              <a16:creationId xmlns:a16="http://schemas.microsoft.com/office/drawing/2014/main" id="{00000000-0008-0000-0000-00000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19</xdr:col>
      <xdr:colOff>28575</xdr:colOff>
      <xdr:row>132</xdr:row>
      <xdr:rowOff>0</xdr:rowOff>
    </xdr:from>
    <xdr:to>
      <xdr:col>24</xdr:col>
      <xdr:colOff>580575</xdr:colOff>
      <xdr:row>145</xdr:row>
      <xdr:rowOff>180750</xdr:rowOff>
    </xdr:to>
    <xdr:graphicFrame macro="">
      <xdr:nvGraphicFramePr>
        <xdr:cNvPr id="12" name="Chart 11">
          <a:extLst>
            <a:ext uri="{FF2B5EF4-FFF2-40B4-BE49-F238E27FC236}">
              <a16:creationId xmlns:a16="http://schemas.microsoft.com/office/drawing/2014/main" id="{00000000-0008-0000-0000-00000C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1</xdr:col>
      <xdr:colOff>9525</xdr:colOff>
      <xdr:row>146</xdr:row>
      <xdr:rowOff>190500</xdr:rowOff>
    </xdr:from>
    <xdr:to>
      <xdr:col>30</xdr:col>
      <xdr:colOff>9525</xdr:colOff>
      <xdr:row>146</xdr:row>
      <xdr:rowOff>190500</xdr:rowOff>
    </xdr:to>
    <xdr:cxnSp macro="">
      <xdr:nvCxnSpPr>
        <xdr:cNvPr id="13" name="Straight Connector 12">
          <a:extLst>
            <a:ext uri="{FF2B5EF4-FFF2-40B4-BE49-F238E27FC236}">
              <a16:creationId xmlns:a16="http://schemas.microsoft.com/office/drawing/2014/main" id="{00000000-0008-0000-0000-00000D000000}"/>
            </a:ext>
          </a:extLst>
        </xdr:cNvPr>
        <xdr:cNvCxnSpPr/>
      </xdr:nvCxnSpPr>
      <xdr:spPr>
        <a:xfrm>
          <a:off x="123825" y="7715250"/>
          <a:ext cx="14611350"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18</xdr:col>
      <xdr:colOff>180975</xdr:colOff>
      <xdr:row>147</xdr:row>
      <xdr:rowOff>19050</xdr:rowOff>
    </xdr:from>
    <xdr:to>
      <xdr:col>24</xdr:col>
      <xdr:colOff>542475</xdr:colOff>
      <xdr:row>160</xdr:row>
      <xdr:rowOff>104550</xdr:rowOff>
    </xdr:to>
    <xdr:graphicFrame macro="">
      <xdr:nvGraphicFramePr>
        <xdr:cNvPr id="14" name="Chart 13">
          <a:extLst>
            <a:ext uri="{FF2B5EF4-FFF2-40B4-BE49-F238E27FC236}">
              <a16:creationId xmlns:a16="http://schemas.microsoft.com/office/drawing/2014/main" id="{00000000-0008-0000-0000-00000E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0</xdr:col>
      <xdr:colOff>112486</xdr:colOff>
      <xdr:row>170</xdr:row>
      <xdr:rowOff>220889</xdr:rowOff>
    </xdr:from>
    <xdr:to>
      <xdr:col>29</xdr:col>
      <xdr:colOff>602343</xdr:colOff>
      <xdr:row>170</xdr:row>
      <xdr:rowOff>220889</xdr:rowOff>
    </xdr:to>
    <xdr:cxnSp macro="">
      <xdr:nvCxnSpPr>
        <xdr:cNvPr id="15" name="Straight Connector 14">
          <a:extLst>
            <a:ext uri="{FF2B5EF4-FFF2-40B4-BE49-F238E27FC236}">
              <a16:creationId xmlns:a16="http://schemas.microsoft.com/office/drawing/2014/main" id="{00000000-0008-0000-0000-00000F000000}"/>
            </a:ext>
          </a:extLst>
        </xdr:cNvPr>
        <xdr:cNvCxnSpPr/>
      </xdr:nvCxnSpPr>
      <xdr:spPr>
        <a:xfrm>
          <a:off x="112486" y="26763889"/>
          <a:ext cx="19313071"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454</xdr:colOff>
      <xdr:row>194</xdr:row>
      <xdr:rowOff>226786</xdr:rowOff>
    </xdr:from>
    <xdr:to>
      <xdr:col>30</xdr:col>
      <xdr:colOff>454</xdr:colOff>
      <xdr:row>194</xdr:row>
      <xdr:rowOff>226786</xdr:rowOff>
    </xdr:to>
    <xdr:cxnSp macro="">
      <xdr:nvCxnSpPr>
        <xdr:cNvPr id="16" name="Straight Connector 15">
          <a:extLst>
            <a:ext uri="{FF2B5EF4-FFF2-40B4-BE49-F238E27FC236}">
              <a16:creationId xmlns:a16="http://schemas.microsoft.com/office/drawing/2014/main" id="{00000000-0008-0000-0000-000010000000}"/>
            </a:ext>
          </a:extLst>
        </xdr:cNvPr>
        <xdr:cNvCxnSpPr/>
      </xdr:nvCxnSpPr>
      <xdr:spPr>
        <a:xfrm>
          <a:off x="118383" y="30461857"/>
          <a:ext cx="18496642"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27668</xdr:colOff>
      <xdr:row>218</xdr:row>
      <xdr:rowOff>299357</xdr:rowOff>
    </xdr:from>
    <xdr:to>
      <xdr:col>29</xdr:col>
      <xdr:colOff>517525</xdr:colOff>
      <xdr:row>218</xdr:row>
      <xdr:rowOff>299357</xdr:rowOff>
    </xdr:to>
    <xdr:cxnSp macro="">
      <xdr:nvCxnSpPr>
        <xdr:cNvPr id="17" name="Straight Connector 16">
          <a:extLst>
            <a:ext uri="{FF2B5EF4-FFF2-40B4-BE49-F238E27FC236}">
              <a16:creationId xmlns:a16="http://schemas.microsoft.com/office/drawing/2014/main" id="{00000000-0008-0000-0000-000011000000}"/>
            </a:ext>
          </a:extLst>
        </xdr:cNvPr>
        <xdr:cNvCxnSpPr/>
      </xdr:nvCxnSpPr>
      <xdr:spPr>
        <a:xfrm>
          <a:off x="27668" y="35968214"/>
          <a:ext cx="19313071"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19</xdr:col>
      <xdr:colOff>28575</xdr:colOff>
      <xdr:row>170</xdr:row>
      <xdr:rowOff>295275</xdr:rowOff>
    </xdr:from>
    <xdr:to>
      <xdr:col>24</xdr:col>
      <xdr:colOff>580575</xdr:colOff>
      <xdr:row>183</xdr:row>
      <xdr:rowOff>190275</xdr:rowOff>
    </xdr:to>
    <xdr:graphicFrame macro="">
      <xdr:nvGraphicFramePr>
        <xdr:cNvPr id="18" name="Chart 17">
          <a:extLst>
            <a:ext uri="{FF2B5EF4-FFF2-40B4-BE49-F238E27FC236}">
              <a16:creationId xmlns:a16="http://schemas.microsoft.com/office/drawing/2014/main" id="{00000000-0008-0000-0000-00001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19</xdr:col>
      <xdr:colOff>2018</xdr:colOff>
      <xdr:row>196</xdr:row>
      <xdr:rowOff>25853</xdr:rowOff>
    </xdr:from>
    <xdr:to>
      <xdr:col>24</xdr:col>
      <xdr:colOff>570144</xdr:colOff>
      <xdr:row>210</xdr:row>
      <xdr:rowOff>133046</xdr:rowOff>
    </xdr:to>
    <xdr:graphicFrame macro="">
      <xdr:nvGraphicFramePr>
        <xdr:cNvPr id="19" name="Chart 18">
          <a:extLst>
            <a:ext uri="{FF2B5EF4-FFF2-40B4-BE49-F238E27FC236}">
              <a16:creationId xmlns:a16="http://schemas.microsoft.com/office/drawing/2014/main" id="{00000000-0008-0000-0000-00001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18</xdr:col>
      <xdr:colOff>142875</xdr:colOff>
      <xdr:row>218</xdr:row>
      <xdr:rowOff>333375</xdr:rowOff>
    </xdr:from>
    <xdr:to>
      <xdr:col>24</xdr:col>
      <xdr:colOff>561975</xdr:colOff>
      <xdr:row>231</xdr:row>
      <xdr:rowOff>142875</xdr:rowOff>
    </xdr:to>
    <xdr:graphicFrame macro="">
      <xdr:nvGraphicFramePr>
        <xdr:cNvPr id="20" name="Chart 19">
          <a:extLst>
            <a:ext uri="{FF2B5EF4-FFF2-40B4-BE49-F238E27FC236}">
              <a16:creationId xmlns:a16="http://schemas.microsoft.com/office/drawing/2014/main" id="{00000000-0008-0000-0000-00001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19</xdr:col>
      <xdr:colOff>28575</xdr:colOff>
      <xdr:row>244</xdr:row>
      <xdr:rowOff>114300</xdr:rowOff>
    </xdr:from>
    <xdr:to>
      <xdr:col>24</xdr:col>
      <xdr:colOff>571500</xdr:colOff>
      <xdr:row>258</xdr:row>
      <xdr:rowOff>9524</xdr:rowOff>
    </xdr:to>
    <xdr:graphicFrame macro="">
      <xdr:nvGraphicFramePr>
        <xdr:cNvPr id="21" name="Chart 20">
          <a:extLst>
            <a:ext uri="{FF2B5EF4-FFF2-40B4-BE49-F238E27FC236}">
              <a16:creationId xmlns:a16="http://schemas.microsoft.com/office/drawing/2014/main" id="{00000000-0008-0000-0000-00001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twoCellAnchor>
    <xdr:from>
      <xdr:col>1</xdr:col>
      <xdr:colOff>9525</xdr:colOff>
      <xdr:row>19</xdr:row>
      <xdr:rowOff>190500</xdr:rowOff>
    </xdr:from>
    <xdr:to>
      <xdr:col>30</xdr:col>
      <xdr:colOff>9525</xdr:colOff>
      <xdr:row>19</xdr:row>
      <xdr:rowOff>190500</xdr:rowOff>
    </xdr:to>
    <xdr:cxnSp macro="">
      <xdr:nvCxnSpPr>
        <xdr:cNvPr id="24" name="Straight Connector 23">
          <a:extLst>
            <a:ext uri="{FF2B5EF4-FFF2-40B4-BE49-F238E27FC236}">
              <a16:creationId xmlns:a16="http://schemas.microsoft.com/office/drawing/2014/main" id="{00000000-0008-0000-0000-000018000000}"/>
            </a:ext>
          </a:extLst>
        </xdr:cNvPr>
        <xdr:cNvCxnSpPr/>
      </xdr:nvCxnSpPr>
      <xdr:spPr>
        <a:xfrm>
          <a:off x="123825" y="6400800"/>
          <a:ext cx="15792450"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18</xdr:col>
      <xdr:colOff>180975</xdr:colOff>
      <xdr:row>48</xdr:row>
      <xdr:rowOff>66675</xdr:rowOff>
    </xdr:from>
    <xdr:to>
      <xdr:col>24</xdr:col>
      <xdr:colOff>542475</xdr:colOff>
      <xdr:row>61</xdr:row>
      <xdr:rowOff>152175</xdr:rowOff>
    </xdr:to>
    <xdr:graphicFrame macro="">
      <xdr:nvGraphicFramePr>
        <xdr:cNvPr id="29" name="Chart 28">
          <a:extLst>
            <a:ext uri="{FF2B5EF4-FFF2-40B4-BE49-F238E27FC236}">
              <a16:creationId xmlns:a16="http://schemas.microsoft.com/office/drawing/2014/main" id="{00000000-0008-0000-0000-00001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2"/>
        </a:graphicData>
      </a:graphic>
    </xdr:graphicFrame>
    <xdr:clientData/>
  </xdr:twoCellAnchor>
  <xdr:twoCellAnchor>
    <xdr:from>
      <xdr:col>18</xdr:col>
      <xdr:colOff>68793</xdr:colOff>
      <xdr:row>92</xdr:row>
      <xdr:rowOff>21165</xdr:rowOff>
    </xdr:from>
    <xdr:to>
      <xdr:col>26</xdr:col>
      <xdr:colOff>2</xdr:colOff>
      <xdr:row>103</xdr:row>
      <xdr:rowOff>186266</xdr:rowOff>
    </xdr:to>
    <xdr:graphicFrame macro="">
      <xdr:nvGraphicFramePr>
        <xdr:cNvPr id="25" name="Chart 24">
          <a:extLst>
            <a:ext uri="{FF2B5EF4-FFF2-40B4-BE49-F238E27FC236}">
              <a16:creationId xmlns:a16="http://schemas.microsoft.com/office/drawing/2014/main" id="{00000000-0008-0000-0000-00001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3"/>
        </a:graphicData>
      </a:graphic>
    </xdr:graphicFrame>
    <xdr:clientData/>
  </xdr:twoCellAnchor>
  <xdr:twoCellAnchor>
    <xdr:from>
      <xdr:col>19</xdr:col>
      <xdr:colOff>21167</xdr:colOff>
      <xdr:row>232</xdr:row>
      <xdr:rowOff>74083</xdr:rowOff>
    </xdr:from>
    <xdr:to>
      <xdr:col>24</xdr:col>
      <xdr:colOff>426509</xdr:colOff>
      <xdr:row>243</xdr:row>
      <xdr:rowOff>170391</xdr:rowOff>
    </xdr:to>
    <xdr:graphicFrame macro="">
      <xdr:nvGraphicFramePr>
        <xdr:cNvPr id="26" name="Chart 25">
          <a:extLst>
            <a:ext uri="{FF2B5EF4-FFF2-40B4-BE49-F238E27FC236}">
              <a16:creationId xmlns:a16="http://schemas.microsoft.com/office/drawing/2014/main" id="{00000000-0008-0000-0000-00001A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4"/>
        </a:graphicData>
      </a:graphic>
    </xdr:graphicFrame>
    <xdr:clientData/>
  </xdr:twoCellAnchor>
  <xdr:twoCellAnchor>
    <xdr:from>
      <xdr:col>1</xdr:col>
      <xdr:colOff>0</xdr:colOff>
      <xdr:row>258</xdr:row>
      <xdr:rowOff>30390</xdr:rowOff>
    </xdr:from>
    <xdr:to>
      <xdr:col>30</xdr:col>
      <xdr:colOff>0</xdr:colOff>
      <xdr:row>258</xdr:row>
      <xdr:rowOff>30390</xdr:rowOff>
    </xdr:to>
    <xdr:cxnSp macro="">
      <xdr:nvCxnSpPr>
        <xdr:cNvPr id="27" name="Straight Connector 26">
          <a:extLst>
            <a:ext uri="{FF2B5EF4-FFF2-40B4-BE49-F238E27FC236}">
              <a16:creationId xmlns:a16="http://schemas.microsoft.com/office/drawing/2014/main" id="{E7A4E17F-A6B7-46E8-8E3C-0D13ABAC1858}"/>
            </a:ext>
          </a:extLst>
        </xdr:cNvPr>
        <xdr:cNvCxnSpPr/>
      </xdr:nvCxnSpPr>
      <xdr:spPr>
        <a:xfrm>
          <a:off x="117929" y="43110604"/>
          <a:ext cx="19313071"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19</xdr:col>
      <xdr:colOff>90715</xdr:colOff>
      <xdr:row>315</xdr:row>
      <xdr:rowOff>54429</xdr:rowOff>
    </xdr:from>
    <xdr:to>
      <xdr:col>25</xdr:col>
      <xdr:colOff>25855</xdr:colOff>
      <xdr:row>326</xdr:row>
      <xdr:rowOff>149225</xdr:rowOff>
    </xdr:to>
    <xdr:graphicFrame macro="">
      <xdr:nvGraphicFramePr>
        <xdr:cNvPr id="28" name="Chart 27">
          <a:extLst>
            <a:ext uri="{FF2B5EF4-FFF2-40B4-BE49-F238E27FC236}">
              <a16:creationId xmlns:a16="http://schemas.microsoft.com/office/drawing/2014/main" id="{C77341F8-0A51-400E-85B1-9E721195A51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5"/>
        </a:graphicData>
      </a:graphic>
    </xdr:graphicFrame>
    <xdr:clientData/>
  </xdr:twoCellAnchor>
  <xdr:twoCellAnchor>
    <xdr:from>
      <xdr:col>0</xdr:col>
      <xdr:colOff>108858</xdr:colOff>
      <xdr:row>284</xdr:row>
      <xdr:rowOff>27215</xdr:rowOff>
    </xdr:from>
    <xdr:to>
      <xdr:col>29</xdr:col>
      <xdr:colOff>598714</xdr:colOff>
      <xdr:row>284</xdr:row>
      <xdr:rowOff>27215</xdr:rowOff>
    </xdr:to>
    <xdr:cxnSp macro="">
      <xdr:nvCxnSpPr>
        <xdr:cNvPr id="30" name="Straight Connector 29">
          <a:extLst>
            <a:ext uri="{FF2B5EF4-FFF2-40B4-BE49-F238E27FC236}">
              <a16:creationId xmlns:a16="http://schemas.microsoft.com/office/drawing/2014/main" id="{BDDCB661-AEBC-4653-9D4D-B6314808FDF1}"/>
            </a:ext>
          </a:extLst>
        </xdr:cNvPr>
        <xdr:cNvCxnSpPr/>
      </xdr:nvCxnSpPr>
      <xdr:spPr>
        <a:xfrm>
          <a:off x="108858" y="46663429"/>
          <a:ext cx="18496642"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81644</xdr:colOff>
      <xdr:row>310</xdr:row>
      <xdr:rowOff>27211</xdr:rowOff>
    </xdr:from>
    <xdr:to>
      <xdr:col>29</xdr:col>
      <xdr:colOff>571500</xdr:colOff>
      <xdr:row>310</xdr:row>
      <xdr:rowOff>27211</xdr:rowOff>
    </xdr:to>
    <xdr:cxnSp macro="">
      <xdr:nvCxnSpPr>
        <xdr:cNvPr id="32" name="Straight Connector 31">
          <a:extLst>
            <a:ext uri="{FF2B5EF4-FFF2-40B4-BE49-F238E27FC236}">
              <a16:creationId xmlns:a16="http://schemas.microsoft.com/office/drawing/2014/main" id="{422F3DFE-566F-4C91-9432-45AC4179A9E8}"/>
            </a:ext>
          </a:extLst>
        </xdr:cNvPr>
        <xdr:cNvCxnSpPr/>
      </xdr:nvCxnSpPr>
      <xdr:spPr>
        <a:xfrm>
          <a:off x="81644" y="55562497"/>
          <a:ext cx="20528642"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18</xdr:col>
      <xdr:colOff>199570</xdr:colOff>
      <xdr:row>284</xdr:row>
      <xdr:rowOff>72573</xdr:rowOff>
    </xdr:from>
    <xdr:to>
      <xdr:col>24</xdr:col>
      <xdr:colOff>542924</xdr:colOff>
      <xdr:row>296</xdr:row>
      <xdr:rowOff>167369</xdr:rowOff>
    </xdr:to>
    <xdr:graphicFrame macro="">
      <xdr:nvGraphicFramePr>
        <xdr:cNvPr id="33" name="Chart 32">
          <a:extLst>
            <a:ext uri="{FF2B5EF4-FFF2-40B4-BE49-F238E27FC236}">
              <a16:creationId xmlns:a16="http://schemas.microsoft.com/office/drawing/2014/main" id="{D7384F76-929B-44B1-B908-3B568BC4F1A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6"/>
        </a:graphicData>
      </a:graphic>
    </xdr:graphicFrame>
    <xdr:clientData/>
  </xdr:twoCellAnchor>
  <xdr:twoCellAnchor>
    <xdr:from>
      <xdr:col>19</xdr:col>
      <xdr:colOff>36285</xdr:colOff>
      <xdr:row>297</xdr:row>
      <xdr:rowOff>99785</xdr:rowOff>
    </xdr:from>
    <xdr:to>
      <xdr:col>24</xdr:col>
      <xdr:colOff>579210</xdr:colOff>
      <xdr:row>309</xdr:row>
      <xdr:rowOff>176438</xdr:rowOff>
    </xdr:to>
    <xdr:graphicFrame macro="">
      <xdr:nvGraphicFramePr>
        <xdr:cNvPr id="34" name="Chart 33">
          <a:extLst>
            <a:ext uri="{FF2B5EF4-FFF2-40B4-BE49-F238E27FC236}">
              <a16:creationId xmlns:a16="http://schemas.microsoft.com/office/drawing/2014/main" id="{17860556-6063-4AB2-BA62-09956106D28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7"/>
        </a:graphicData>
      </a:graphic>
    </xdr:graphicFrame>
    <xdr:clientData/>
  </xdr:twoCellAnchor>
  <xdr:twoCellAnchor>
    <xdr:from>
      <xdr:col>19</xdr:col>
      <xdr:colOff>18143</xdr:colOff>
      <xdr:row>258</xdr:row>
      <xdr:rowOff>90714</xdr:rowOff>
    </xdr:from>
    <xdr:to>
      <xdr:col>24</xdr:col>
      <xdr:colOff>561068</xdr:colOff>
      <xdr:row>271</xdr:row>
      <xdr:rowOff>4081</xdr:rowOff>
    </xdr:to>
    <xdr:graphicFrame macro="">
      <xdr:nvGraphicFramePr>
        <xdr:cNvPr id="35" name="Chart 34">
          <a:extLst>
            <a:ext uri="{FF2B5EF4-FFF2-40B4-BE49-F238E27FC236}">
              <a16:creationId xmlns:a16="http://schemas.microsoft.com/office/drawing/2014/main" id="{2DF15C9C-6FA4-4F90-8A87-592307C6445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8"/>
        </a:graphicData>
      </a:graphic>
    </xdr:graphicFrame>
    <xdr:clientData/>
  </xdr:twoCellAnchor>
  <xdr:twoCellAnchor>
    <xdr:from>
      <xdr:col>19</xdr:col>
      <xdr:colOff>0</xdr:colOff>
      <xdr:row>271</xdr:row>
      <xdr:rowOff>0</xdr:rowOff>
    </xdr:from>
    <xdr:to>
      <xdr:col>24</xdr:col>
      <xdr:colOff>542925</xdr:colOff>
      <xdr:row>283</xdr:row>
      <xdr:rowOff>94796</xdr:rowOff>
    </xdr:to>
    <xdr:graphicFrame macro="">
      <xdr:nvGraphicFramePr>
        <xdr:cNvPr id="36" name="Chart 35">
          <a:extLst>
            <a:ext uri="{FF2B5EF4-FFF2-40B4-BE49-F238E27FC236}">
              <a16:creationId xmlns:a16="http://schemas.microsoft.com/office/drawing/2014/main" id="{82C42056-91C4-4F2E-AC76-D43695FCDD9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9"/>
        </a:graphicData>
      </a:graphic>
    </xdr:graphicFrame>
    <xdr:clientData/>
  </xdr:twoCellAnchor>
  <xdr:twoCellAnchor>
    <xdr:from>
      <xdr:col>19</xdr:col>
      <xdr:colOff>81644</xdr:colOff>
      <xdr:row>310</xdr:row>
      <xdr:rowOff>117929</xdr:rowOff>
    </xdr:from>
    <xdr:to>
      <xdr:col>24</xdr:col>
      <xdr:colOff>522769</xdr:colOff>
      <xdr:row>341</xdr:row>
      <xdr:rowOff>172358</xdr:rowOff>
    </xdr:to>
    <xdr:graphicFrame macro="">
      <xdr:nvGraphicFramePr>
        <xdr:cNvPr id="37" name="Chart 36">
          <a:extLst>
            <a:ext uri="{FF2B5EF4-FFF2-40B4-BE49-F238E27FC236}">
              <a16:creationId xmlns:a16="http://schemas.microsoft.com/office/drawing/2014/main" id="{0124B78A-F4E5-4CEC-9BFC-F05E78C39C2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0"/>
        </a:graphicData>
      </a:graphic>
    </xdr:graphicFrame>
    <xdr:clientData/>
  </xdr:twoCellAnchor>
  <xdr:twoCellAnchor>
    <xdr:from>
      <xdr:col>18</xdr:col>
      <xdr:colOff>154214</xdr:colOff>
      <xdr:row>343</xdr:row>
      <xdr:rowOff>0</xdr:rowOff>
    </xdr:from>
    <xdr:to>
      <xdr:col>24</xdr:col>
      <xdr:colOff>535213</xdr:colOff>
      <xdr:row>356</xdr:row>
      <xdr:rowOff>54428</xdr:rowOff>
    </xdr:to>
    <xdr:graphicFrame macro="">
      <xdr:nvGraphicFramePr>
        <xdr:cNvPr id="39" name="Chart 38">
          <a:extLst>
            <a:ext uri="{FF2B5EF4-FFF2-40B4-BE49-F238E27FC236}">
              <a16:creationId xmlns:a16="http://schemas.microsoft.com/office/drawing/2014/main" id="{920D90DC-2670-4CC3-8AEE-DB9C2FF7672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1"/>
        </a:graphicData>
      </a:graphic>
    </xdr:graphicFrame>
    <xdr:clientData/>
  </xdr:twoCellAnchor>
  <xdr:twoCellAnchor>
    <xdr:from>
      <xdr:col>19</xdr:col>
      <xdr:colOff>0</xdr:colOff>
      <xdr:row>357</xdr:row>
      <xdr:rowOff>0</xdr:rowOff>
    </xdr:from>
    <xdr:to>
      <xdr:col>24</xdr:col>
      <xdr:colOff>580571</xdr:colOff>
      <xdr:row>370</xdr:row>
      <xdr:rowOff>54428</xdr:rowOff>
    </xdr:to>
    <xdr:graphicFrame macro="">
      <xdr:nvGraphicFramePr>
        <xdr:cNvPr id="38" name="Chart 37">
          <a:extLst>
            <a:ext uri="{FF2B5EF4-FFF2-40B4-BE49-F238E27FC236}">
              <a16:creationId xmlns:a16="http://schemas.microsoft.com/office/drawing/2014/main" id="{8F32BF3A-4ADD-4AEC-AC73-317886BF25B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2"/>
        </a:graphicData>
      </a:graphic>
    </xdr:graphicFrame>
    <xdr:clientData/>
  </xdr:twoCellAnchor>
  <xdr:twoCellAnchor>
    <xdr:from>
      <xdr:col>0</xdr:col>
      <xdr:colOff>112033</xdr:colOff>
      <xdr:row>370</xdr:row>
      <xdr:rowOff>21770</xdr:rowOff>
    </xdr:from>
    <xdr:to>
      <xdr:col>29</xdr:col>
      <xdr:colOff>605065</xdr:colOff>
      <xdr:row>370</xdr:row>
      <xdr:rowOff>21770</xdr:rowOff>
    </xdr:to>
    <xdr:cxnSp macro="">
      <xdr:nvCxnSpPr>
        <xdr:cNvPr id="4" name="Straight Connector 3">
          <a:extLst>
            <a:ext uri="{FF2B5EF4-FFF2-40B4-BE49-F238E27FC236}">
              <a16:creationId xmlns:a16="http://schemas.microsoft.com/office/drawing/2014/main" id="{FDF4ACFD-CB2F-485D-9251-D09DF8968CD8}"/>
            </a:ext>
          </a:extLst>
        </xdr:cNvPr>
        <xdr:cNvCxnSpPr/>
      </xdr:nvCxnSpPr>
      <xdr:spPr>
        <a:xfrm>
          <a:off x="112033" y="60745913"/>
          <a:ext cx="19316246"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19</xdr:col>
      <xdr:colOff>72572</xdr:colOff>
      <xdr:row>371</xdr:row>
      <xdr:rowOff>36286</xdr:rowOff>
    </xdr:from>
    <xdr:to>
      <xdr:col>24</xdr:col>
      <xdr:colOff>589641</xdr:colOff>
      <xdr:row>383</xdr:row>
      <xdr:rowOff>272142</xdr:rowOff>
    </xdr:to>
    <xdr:graphicFrame macro="">
      <xdr:nvGraphicFramePr>
        <xdr:cNvPr id="9" name="Chart 8">
          <a:extLst>
            <a:ext uri="{FF2B5EF4-FFF2-40B4-BE49-F238E27FC236}">
              <a16:creationId xmlns:a16="http://schemas.microsoft.com/office/drawing/2014/main" id="{5278670E-D634-40EE-8426-E08F63785D8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3"/>
        </a:graphicData>
      </a:graphic>
    </xdr:graphicFrame>
    <xdr:clientData/>
  </xdr:twoCellAnchor>
  <xdr:twoCellAnchor>
    <xdr:from>
      <xdr:col>19</xdr:col>
      <xdr:colOff>181429</xdr:colOff>
      <xdr:row>383</xdr:row>
      <xdr:rowOff>317500</xdr:rowOff>
    </xdr:from>
    <xdr:to>
      <xdr:col>25</xdr:col>
      <xdr:colOff>154213</xdr:colOff>
      <xdr:row>395</xdr:row>
      <xdr:rowOff>508001</xdr:rowOff>
    </xdr:to>
    <xdr:graphicFrame macro="">
      <xdr:nvGraphicFramePr>
        <xdr:cNvPr id="22" name="Chart 21">
          <a:extLst>
            <a:ext uri="{FF2B5EF4-FFF2-40B4-BE49-F238E27FC236}">
              <a16:creationId xmlns:a16="http://schemas.microsoft.com/office/drawing/2014/main" id="{90CF083D-21DB-4677-820C-DDEC9B9A464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4"/>
        </a:graphicData>
      </a:graphic>
    </xdr:graphicFrame>
    <xdr:clientData/>
  </xdr:twoCellAnchor>
  <xdr:twoCellAnchor>
    <xdr:from>
      <xdr:col>19</xdr:col>
      <xdr:colOff>181429</xdr:colOff>
      <xdr:row>397</xdr:row>
      <xdr:rowOff>36285</xdr:rowOff>
    </xdr:from>
    <xdr:to>
      <xdr:col>25</xdr:col>
      <xdr:colOff>154213</xdr:colOff>
      <xdr:row>411</xdr:row>
      <xdr:rowOff>-1</xdr:rowOff>
    </xdr:to>
    <xdr:graphicFrame macro="">
      <xdr:nvGraphicFramePr>
        <xdr:cNvPr id="23" name="Chart 22">
          <a:extLst>
            <a:ext uri="{FF2B5EF4-FFF2-40B4-BE49-F238E27FC236}">
              <a16:creationId xmlns:a16="http://schemas.microsoft.com/office/drawing/2014/main" id="{2C4CEEC0-3B92-4A2F-BEA0-AB8802FBD64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5"/>
        </a:graphicData>
      </a:graphic>
    </xdr:graphicFrame>
    <xdr:clientData/>
  </xdr:twoCellAnchor>
  <xdr:twoCellAnchor>
    <xdr:from>
      <xdr:col>19</xdr:col>
      <xdr:colOff>27215</xdr:colOff>
      <xdr:row>19</xdr:row>
      <xdr:rowOff>299357</xdr:rowOff>
    </xdr:from>
    <xdr:to>
      <xdr:col>24</xdr:col>
      <xdr:colOff>588286</xdr:colOff>
      <xdr:row>33</xdr:row>
      <xdr:rowOff>76428</xdr:rowOff>
    </xdr:to>
    <xdr:graphicFrame macro="">
      <xdr:nvGraphicFramePr>
        <xdr:cNvPr id="31" name="Chart 30">
          <a:extLst>
            <a:ext uri="{FF2B5EF4-FFF2-40B4-BE49-F238E27FC236}">
              <a16:creationId xmlns:a16="http://schemas.microsoft.com/office/drawing/2014/main" id="{CD4369A8-D05C-4D5E-A6AE-4876E384491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6"/>
        </a:graphicData>
      </a:graphic>
    </xdr:graphicFrame>
    <xdr:clientData/>
  </xdr:twoCellAnchor>
  <xdr:twoCellAnchor>
    <xdr:from>
      <xdr:col>19</xdr:col>
      <xdr:colOff>108857</xdr:colOff>
      <xdr:row>33</xdr:row>
      <xdr:rowOff>90714</xdr:rowOff>
    </xdr:from>
    <xdr:to>
      <xdr:col>25</xdr:col>
      <xdr:colOff>62142</xdr:colOff>
      <xdr:row>48</xdr:row>
      <xdr:rowOff>12927</xdr:rowOff>
    </xdr:to>
    <xdr:graphicFrame macro="">
      <xdr:nvGraphicFramePr>
        <xdr:cNvPr id="40" name="Chart 39">
          <a:extLst>
            <a:ext uri="{FF2B5EF4-FFF2-40B4-BE49-F238E27FC236}">
              <a16:creationId xmlns:a16="http://schemas.microsoft.com/office/drawing/2014/main" id="{C41A0E7D-73F3-4F05-9F26-FB21E1E8052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7"/>
        </a:graphicData>
      </a:graphic>
    </xdr:graphicFrame>
    <xdr:clientData/>
  </xdr:twoCellAnchor>
</xdr:wsDr>
</file>

<file path=xl/drawings/drawing2.xml><?xml version="1.0" encoding="utf-8"?>
<c:userShapes xmlns:c="http://schemas.openxmlformats.org/drawingml/2006/chart">
  <cdr:relSizeAnchor xmlns:cdr="http://schemas.openxmlformats.org/drawingml/2006/chartDrawing">
    <cdr:from>
      <cdr:x>0.10583</cdr:x>
      <cdr:y>0</cdr:y>
    </cdr:from>
    <cdr:to>
      <cdr:x>0.30163</cdr:x>
      <cdr:y>0.18548</cdr:y>
    </cdr:to>
    <cdr:sp macro="" textlink="">
      <cdr:nvSpPr>
        <cdr:cNvPr id="2" name="TextBox 1"/>
        <cdr:cNvSpPr txBox="1"/>
      </cdr:nvSpPr>
      <cdr:spPr>
        <a:xfrm xmlns:a="http://schemas.openxmlformats.org/drawingml/2006/main">
          <a:off x="381001" y="0"/>
          <a:ext cx="704850" cy="21907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a:latin typeface="+mn-lt"/>
            </a:rPr>
            <a:t>Over 7 days</a:t>
          </a:r>
        </a:p>
      </cdr:txBody>
    </cdr:sp>
  </cdr:relSizeAnchor>
</c:userShapes>
</file>

<file path=xl/drawings/drawing3.xml><?xml version="1.0" encoding="utf-8"?>
<c:userShapes xmlns:c="http://schemas.openxmlformats.org/drawingml/2006/chart">
  <cdr:relSizeAnchor xmlns:cdr="http://schemas.openxmlformats.org/drawingml/2006/chartDrawing">
    <cdr:from>
      <cdr:x>0.11113</cdr:x>
      <cdr:y>0.07612</cdr:y>
    </cdr:from>
    <cdr:to>
      <cdr:x>0.32808</cdr:x>
      <cdr:y>0.21035</cdr:y>
    </cdr:to>
    <cdr:sp macro="" textlink="">
      <cdr:nvSpPr>
        <cdr:cNvPr id="2" name="TextBox 1"/>
        <cdr:cNvSpPr txBox="1"/>
      </cdr:nvSpPr>
      <cdr:spPr>
        <a:xfrm xmlns:a="http://schemas.openxmlformats.org/drawingml/2006/main">
          <a:off x="444928" y="143882"/>
          <a:ext cx="868598" cy="253720"/>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n-GB" sz="800" b="1"/>
            <a:t>Over 21 days</a:t>
          </a:r>
        </a:p>
      </cdr:txBody>
    </cdr:sp>
  </cdr:relSizeAnchor>
</c:userShapes>
</file>

<file path=xl/drawings/drawing4.xml><?xml version="1.0" encoding="utf-8"?>
<c:userShapes xmlns:c="http://schemas.openxmlformats.org/drawingml/2006/chart">
  <cdr:relSizeAnchor xmlns:cdr="http://schemas.openxmlformats.org/drawingml/2006/chartDrawing">
    <cdr:from>
      <cdr:x>0.10142</cdr:x>
      <cdr:y>0.02552</cdr:y>
    </cdr:from>
    <cdr:to>
      <cdr:x>0.36662</cdr:x>
      <cdr:y>0.15206</cdr:y>
    </cdr:to>
    <cdr:sp macro="" textlink="">
      <cdr:nvSpPr>
        <cdr:cNvPr id="2" name="TextBox 1"/>
        <cdr:cNvSpPr txBox="1"/>
      </cdr:nvSpPr>
      <cdr:spPr>
        <a:xfrm xmlns:a="http://schemas.openxmlformats.org/drawingml/2006/main">
          <a:off x="365125" y="50800"/>
          <a:ext cx="954699" cy="251873"/>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GB" sz="800" b="1"/>
            <a:t>Beds</a:t>
          </a:r>
          <a:r>
            <a:rPr lang="en-GB" sz="800" b="1" baseline="0"/>
            <a:t> closed</a:t>
          </a:r>
          <a:endParaRPr lang="en-GB" sz="800" b="1"/>
        </a:p>
      </cdr:txBody>
    </cdr:sp>
  </cdr:relSizeAnchor>
</c:userShapes>
</file>

<file path=xl/drawings/drawing5.xml><?xml version="1.0" encoding="utf-8"?>
<c:userShapes xmlns:c="http://schemas.openxmlformats.org/drawingml/2006/chart">
  <cdr:relSizeAnchor xmlns:cdr="http://schemas.openxmlformats.org/drawingml/2006/chartDrawing">
    <cdr:from>
      <cdr:x>0.0829</cdr:x>
      <cdr:y>0.03031</cdr:y>
    </cdr:from>
    <cdr:to>
      <cdr:x>0.46831</cdr:x>
      <cdr:y>0.15791</cdr:y>
    </cdr:to>
    <cdr:sp macro="" textlink="">
      <cdr:nvSpPr>
        <cdr:cNvPr id="2" name="TextBox 1"/>
        <cdr:cNvSpPr txBox="1"/>
      </cdr:nvSpPr>
      <cdr:spPr>
        <a:xfrm xmlns:a="http://schemas.openxmlformats.org/drawingml/2006/main">
          <a:off x="298449" y="60325"/>
          <a:ext cx="1387475" cy="254000"/>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GB" sz="800" b="1"/>
            <a:t>Beds</a:t>
          </a:r>
          <a:r>
            <a:rPr lang="en-GB" sz="800" b="1" baseline="0"/>
            <a:t> closed unoccupied</a:t>
          </a:r>
          <a:endParaRPr lang="en-GB" sz="800" b="1"/>
        </a:p>
      </cdr:txBody>
    </cdr:sp>
  </cdr:relSizeAnchor>
</c:userShapes>
</file>

<file path=xl/drawings/drawing6.xml><?xml version="1.0" encoding="utf-8"?>
<c:userShapes xmlns:c="http://schemas.openxmlformats.org/drawingml/2006/chart">
  <cdr:relSizeAnchor xmlns:cdr="http://schemas.openxmlformats.org/drawingml/2006/chartDrawing">
    <cdr:from>
      <cdr:x>0.11906</cdr:x>
      <cdr:y>0.02117</cdr:y>
    </cdr:from>
    <cdr:to>
      <cdr:x>0.39952</cdr:x>
      <cdr:y>0.13229</cdr:y>
    </cdr:to>
    <cdr:sp macro="" textlink="">
      <cdr:nvSpPr>
        <cdr:cNvPr id="2" name="TextBox 1"/>
        <cdr:cNvSpPr txBox="1"/>
      </cdr:nvSpPr>
      <cdr:spPr>
        <a:xfrm xmlns:a="http://schemas.openxmlformats.org/drawingml/2006/main">
          <a:off x="428626" y="38100"/>
          <a:ext cx="1009650" cy="20002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a:t>Ambulance arrivals</a:t>
          </a:r>
        </a:p>
      </cdr:txBody>
    </cdr:sp>
  </cdr:relSizeAnchor>
</c:userShapes>
</file>

<file path=xl/drawings/drawing7.xml><?xml version="1.0" encoding="utf-8"?>
<c:userShapes xmlns:c="http://schemas.openxmlformats.org/drawingml/2006/chart">
  <cdr:relSizeAnchor xmlns:cdr="http://schemas.openxmlformats.org/drawingml/2006/chartDrawing">
    <cdr:from>
      <cdr:x>0.11378</cdr:x>
      <cdr:y>0.03175</cdr:y>
    </cdr:from>
    <cdr:to>
      <cdr:x>0.41805</cdr:x>
      <cdr:y>0.16404</cdr:y>
    </cdr:to>
    <cdr:sp macro="" textlink="">
      <cdr:nvSpPr>
        <cdr:cNvPr id="2" name="TextBox 1"/>
        <cdr:cNvSpPr txBox="1"/>
      </cdr:nvSpPr>
      <cdr:spPr>
        <a:xfrm xmlns:a="http://schemas.openxmlformats.org/drawingml/2006/main">
          <a:off x="409590" y="57153"/>
          <a:ext cx="1095372" cy="238122"/>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a:t>% delays &gt;60 mins</a:t>
          </a:r>
        </a:p>
      </cdr:txBody>
    </cdr:sp>
  </cdr:relSizeAnchor>
</c:userShapes>
</file>

<file path=xl/drawings/drawing8.xml><?xml version="1.0" encoding="utf-8"?>
<c:userShapes xmlns:c="http://schemas.openxmlformats.org/drawingml/2006/chart">
  <cdr:relSizeAnchor xmlns:cdr="http://schemas.openxmlformats.org/drawingml/2006/chartDrawing">
    <cdr:from>
      <cdr:x>0.11906</cdr:x>
      <cdr:y>0.01588</cdr:y>
    </cdr:from>
    <cdr:to>
      <cdr:x>0.36248</cdr:x>
      <cdr:y>0.12171</cdr:y>
    </cdr:to>
    <cdr:sp macro="" textlink="">
      <cdr:nvSpPr>
        <cdr:cNvPr id="2" name="TextBox 1"/>
        <cdr:cNvSpPr txBox="1"/>
      </cdr:nvSpPr>
      <cdr:spPr>
        <a:xfrm xmlns:a="http://schemas.openxmlformats.org/drawingml/2006/main">
          <a:off x="428626" y="28576"/>
          <a:ext cx="876300" cy="190500"/>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n-GB" sz="800" b="1"/>
            <a:t>Total beds</a:t>
          </a:r>
        </a:p>
      </cdr:txBody>
    </cdr:sp>
  </cdr:relSizeAnchor>
</c:userShapes>
</file>

<file path=xl/drawings/drawing9.xml><?xml version="1.0" encoding="utf-8"?>
<c:userShapes xmlns:c="http://schemas.openxmlformats.org/drawingml/2006/chart">
  <cdr:relSizeAnchor xmlns:cdr="http://schemas.openxmlformats.org/drawingml/2006/chartDrawing">
    <cdr:from>
      <cdr:x>0.11113</cdr:x>
      <cdr:y>0.02013</cdr:y>
    </cdr:from>
    <cdr:to>
      <cdr:x>0.32808</cdr:x>
      <cdr:y>0.15436</cdr:y>
    </cdr:to>
    <cdr:sp macro="" textlink="">
      <cdr:nvSpPr>
        <cdr:cNvPr id="2" name="TextBox 1"/>
        <cdr:cNvSpPr txBox="1"/>
      </cdr:nvSpPr>
      <cdr:spPr>
        <a:xfrm xmlns:a="http://schemas.openxmlformats.org/drawingml/2006/main">
          <a:off x="400051" y="28576"/>
          <a:ext cx="781050" cy="190500"/>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n-GB" sz="800" b="1"/>
            <a:t>Over 14</a:t>
          </a:r>
          <a:r>
            <a:rPr lang="en-GB" sz="800" b="1" baseline="0"/>
            <a:t> days</a:t>
          </a:r>
          <a:endParaRPr lang="en-GB" sz="800" b="1"/>
        </a:p>
      </cdr:txBody>
    </cdr:sp>
  </cdr:relSizeAnchor>
</c:userShapes>
</file>

<file path=xl/drawings/drawing10.xml><?xml version="1.0" encoding="utf-8"?>
<c:userShapes xmlns:c="http://schemas.openxmlformats.org/drawingml/2006/chart">
  <cdr:relSizeAnchor xmlns:cdr="http://schemas.openxmlformats.org/drawingml/2006/chartDrawing">
    <cdr:from>
      <cdr:x>0.11378</cdr:x>
      <cdr:y>0.03175</cdr:y>
    </cdr:from>
    <cdr:to>
      <cdr:x>0.41805</cdr:x>
      <cdr:y>0.16404</cdr:y>
    </cdr:to>
    <cdr:sp macro="" textlink="">
      <cdr:nvSpPr>
        <cdr:cNvPr id="2" name="TextBox 1"/>
        <cdr:cNvSpPr txBox="1"/>
      </cdr:nvSpPr>
      <cdr:spPr>
        <a:xfrm xmlns:a="http://schemas.openxmlformats.org/drawingml/2006/main">
          <a:off x="409590" y="57153"/>
          <a:ext cx="1095372" cy="238122"/>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a:t>% delays &gt;30 mins</a:t>
          </a:r>
        </a:p>
      </cdr:txBody>
    </cdr:sp>
  </cdr:relSizeAnchor>
</c:userShapes>
</file>

<file path=xl/drawings/drawing11.xml><?xml version="1.0" encoding="utf-8"?>
<c:userShapes xmlns:c="http://schemas.openxmlformats.org/drawingml/2006/chart">
  <cdr:relSizeAnchor xmlns:cdr="http://schemas.openxmlformats.org/drawingml/2006/chartDrawing">
    <cdr:from>
      <cdr:x>0.11378</cdr:x>
      <cdr:y>0.03175</cdr:y>
    </cdr:from>
    <cdr:to>
      <cdr:x>0.63348</cdr:x>
      <cdr:y>0.11716</cdr:y>
    </cdr:to>
    <cdr:sp macro="" textlink="">
      <cdr:nvSpPr>
        <cdr:cNvPr id="2" name="TextBox 1"/>
        <cdr:cNvSpPr txBox="1"/>
      </cdr:nvSpPr>
      <cdr:spPr>
        <a:xfrm xmlns:a="http://schemas.openxmlformats.org/drawingml/2006/main">
          <a:off x="421993" y="66374"/>
          <a:ext cx="1927507" cy="178553"/>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a:t>Beds</a:t>
          </a:r>
          <a:r>
            <a:rPr lang="en-GB" sz="800" b="1" baseline="0"/>
            <a:t> occupied by COVID-19 patients</a:t>
          </a:r>
          <a:endParaRPr lang="en-GB" sz="800" b="1"/>
        </a:p>
      </cdr:txBody>
    </cdr:sp>
  </cdr:relSizeAnchor>
</c:userShapes>
</file>

<file path=xl/drawings/drawing12.xml><?xml version="1.0" encoding="utf-8"?>
<c:userShapes xmlns:c="http://schemas.openxmlformats.org/drawingml/2006/chart">
  <cdr:relSizeAnchor xmlns:cdr="http://schemas.openxmlformats.org/drawingml/2006/chartDrawing">
    <cdr:from>
      <cdr:x>0.11378</cdr:x>
      <cdr:y>0.03175</cdr:y>
    </cdr:from>
    <cdr:to>
      <cdr:x>0.63348</cdr:x>
      <cdr:y>0.11716</cdr:y>
    </cdr:to>
    <cdr:sp macro="" textlink="">
      <cdr:nvSpPr>
        <cdr:cNvPr id="2" name="TextBox 1"/>
        <cdr:cNvSpPr txBox="1"/>
      </cdr:nvSpPr>
      <cdr:spPr>
        <a:xfrm xmlns:a="http://schemas.openxmlformats.org/drawingml/2006/main">
          <a:off x="421993" y="66374"/>
          <a:ext cx="1927507" cy="178553"/>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a:t>Paediatric</a:t>
          </a:r>
          <a:r>
            <a:rPr lang="en-GB" sz="800" b="1" baseline="0"/>
            <a:t> beds closed</a:t>
          </a:r>
          <a:endParaRPr lang="en-GB" sz="800" b="1"/>
        </a:p>
      </cdr:txBody>
    </cdr:sp>
  </cdr:relSizeAnchor>
</c:userShapes>
</file>

<file path=xl/drawings/drawing13.xml><?xml version="1.0" encoding="utf-8"?>
<c:userShapes xmlns:c="http://schemas.openxmlformats.org/drawingml/2006/chart">
  <cdr:relSizeAnchor xmlns:cdr="http://schemas.openxmlformats.org/drawingml/2006/chartDrawing">
    <cdr:from>
      <cdr:x>0.11378</cdr:x>
      <cdr:y>0.03175</cdr:y>
    </cdr:from>
    <cdr:to>
      <cdr:x>0.63348</cdr:x>
      <cdr:y>0.11716</cdr:y>
    </cdr:to>
    <cdr:sp macro="" textlink="">
      <cdr:nvSpPr>
        <cdr:cNvPr id="2" name="TextBox 1"/>
        <cdr:cNvSpPr txBox="1"/>
      </cdr:nvSpPr>
      <cdr:spPr>
        <a:xfrm xmlns:a="http://schemas.openxmlformats.org/drawingml/2006/main">
          <a:off x="421993" y="66374"/>
          <a:ext cx="1927507" cy="178553"/>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a:t>Paediatric beds closed unoccupied</a:t>
          </a:r>
        </a:p>
      </cdr:txBody>
    </cdr:sp>
  </cdr:relSizeAnchor>
</c:userShapes>
</file>

<file path=xl/drawings/drawing14.xml><?xml version="1.0" encoding="utf-8"?>
<c:userShapes xmlns:c="http://schemas.openxmlformats.org/drawingml/2006/chart">
  <cdr:relSizeAnchor xmlns:cdr="http://schemas.openxmlformats.org/drawingml/2006/chartDrawing">
    <cdr:from>
      <cdr:x>0.11378</cdr:x>
      <cdr:y>0.03175</cdr:y>
    </cdr:from>
    <cdr:to>
      <cdr:x>0.63348</cdr:x>
      <cdr:y>0.11716</cdr:y>
    </cdr:to>
    <cdr:sp macro="" textlink="">
      <cdr:nvSpPr>
        <cdr:cNvPr id="2" name="TextBox 1"/>
        <cdr:cNvSpPr txBox="1"/>
      </cdr:nvSpPr>
      <cdr:spPr>
        <a:xfrm xmlns:a="http://schemas.openxmlformats.org/drawingml/2006/main">
          <a:off x="421993" y="66374"/>
          <a:ext cx="1927507" cy="178553"/>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baseline="0"/>
            <a:t>G&amp;A beds occupied by flu patients</a:t>
          </a:r>
          <a:endParaRPr lang="en-GB" sz="800" b="1"/>
        </a:p>
      </cdr:txBody>
    </cdr:sp>
  </cdr:relSizeAnchor>
</c:userShapes>
</file>

<file path=xl/drawings/drawing15.xml><?xml version="1.0" encoding="utf-8"?>
<c:userShapes xmlns:c="http://schemas.openxmlformats.org/drawingml/2006/chart">
  <cdr:relSizeAnchor xmlns:cdr="http://schemas.openxmlformats.org/drawingml/2006/chartDrawing">
    <cdr:from>
      <cdr:x>0.11378</cdr:x>
      <cdr:y>0.03175</cdr:y>
    </cdr:from>
    <cdr:to>
      <cdr:x>0.72398</cdr:x>
      <cdr:y>0.12584</cdr:y>
    </cdr:to>
    <cdr:sp macro="" textlink="">
      <cdr:nvSpPr>
        <cdr:cNvPr id="2" name="TextBox 1"/>
        <cdr:cNvSpPr txBox="1"/>
      </cdr:nvSpPr>
      <cdr:spPr>
        <a:xfrm xmlns:a="http://schemas.openxmlformats.org/drawingml/2006/main">
          <a:off x="421993" y="66373"/>
          <a:ext cx="2263150" cy="196697"/>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baseline="0"/>
            <a:t>Critical care beds occupied by flu patients</a:t>
          </a:r>
          <a:endParaRPr lang="en-GB" sz="800" b="1"/>
        </a:p>
      </cdr:txBody>
    </cdr:sp>
  </cdr:relSizeAnchor>
</c:userShapes>
</file>

<file path=xl/drawings/drawing16.xml><?xml version="1.0" encoding="utf-8"?>
<c:userShapes xmlns:c="http://schemas.openxmlformats.org/drawingml/2006/chart">
  <cdr:relSizeAnchor xmlns:cdr="http://schemas.openxmlformats.org/drawingml/2006/chartDrawing">
    <cdr:from>
      <cdr:x>0</cdr:x>
      <cdr:y>0</cdr:y>
    </cdr:from>
    <cdr:to>
      <cdr:x>0.61998</cdr:x>
      <cdr:y>0.08679</cdr:y>
    </cdr:to>
    <cdr:sp macro="" textlink="">
      <cdr:nvSpPr>
        <cdr:cNvPr id="2" name="TextBox 1"/>
        <cdr:cNvSpPr txBox="1"/>
      </cdr:nvSpPr>
      <cdr:spPr>
        <a:xfrm xmlns:a="http://schemas.openxmlformats.org/drawingml/2006/main">
          <a:off x="0" y="0"/>
          <a:ext cx="2322754" cy="219659"/>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baseline="0"/>
            <a:t>Patients that no longer need to reside</a:t>
          </a:r>
        </a:p>
        <a:p xmlns:a="http://schemas.openxmlformats.org/drawingml/2006/main">
          <a:pPr algn="l"/>
          <a:endParaRPr lang="en-GB" sz="800" b="1"/>
        </a:p>
      </cdr:txBody>
    </cdr:sp>
  </cdr:relSizeAnchor>
</c:userShapes>
</file>

<file path=xl/drawings/drawing17.xml><?xml version="1.0" encoding="utf-8"?>
<c:userShapes xmlns:c="http://schemas.openxmlformats.org/drawingml/2006/chart">
  <cdr:relSizeAnchor xmlns:cdr="http://schemas.openxmlformats.org/drawingml/2006/chartDrawing">
    <cdr:from>
      <cdr:x>0.12833</cdr:x>
      <cdr:y>0.01124</cdr:y>
    </cdr:from>
    <cdr:to>
      <cdr:x>0.84261</cdr:x>
      <cdr:y>0.17228</cdr:y>
    </cdr:to>
    <cdr:sp macro="" textlink="">
      <cdr:nvSpPr>
        <cdr:cNvPr id="2" name="TextBox 1"/>
        <cdr:cNvSpPr txBox="1"/>
      </cdr:nvSpPr>
      <cdr:spPr>
        <a:xfrm xmlns:a="http://schemas.openxmlformats.org/drawingml/2006/main">
          <a:off x="480787" y="27213"/>
          <a:ext cx="2676070" cy="390073"/>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baseline="0"/>
            <a:t>Patients that no longer need to reside but remain in hospital</a:t>
          </a:r>
        </a:p>
        <a:p xmlns:a="http://schemas.openxmlformats.org/drawingml/2006/main">
          <a:pPr algn="l"/>
          <a:endParaRPr lang="en-GB" sz="800" b="1"/>
        </a:p>
      </cdr:txBody>
    </cdr:sp>
  </cdr:relSizeAnchor>
</c:userShapes>
</file>

<file path=xl/drawings/drawing18.xml><?xml version="1.0" encoding="utf-8"?>
<c:userShapes xmlns:c="http://schemas.openxmlformats.org/drawingml/2006/chart">
  <cdr:relSizeAnchor xmlns:cdr="http://schemas.openxmlformats.org/drawingml/2006/chartDrawing">
    <cdr:from>
      <cdr:x>0.20428</cdr:x>
      <cdr:y>0</cdr:y>
    </cdr:from>
    <cdr:to>
      <cdr:x>0.82426</cdr:x>
      <cdr:y>0.08679</cdr:y>
    </cdr:to>
    <cdr:sp macro="" textlink="">
      <cdr:nvSpPr>
        <cdr:cNvPr id="2" name="TextBox 1"/>
        <cdr:cNvSpPr txBox="1"/>
      </cdr:nvSpPr>
      <cdr:spPr>
        <a:xfrm xmlns:a="http://schemas.openxmlformats.org/drawingml/2006/main">
          <a:off x="757635" y="0"/>
          <a:ext cx="2299435" cy="181428"/>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baseline="0"/>
            <a:t>Covid-19 patients in hospital</a:t>
          </a:r>
        </a:p>
        <a:p xmlns:a="http://schemas.openxmlformats.org/drawingml/2006/main">
          <a:pPr algn="l"/>
          <a:endParaRPr lang="en-GB" sz="800" b="1"/>
        </a:p>
      </cdr:txBody>
    </cdr:sp>
  </cdr:relSizeAnchor>
</c:userShapes>
</file>

<file path=xl/drawings/drawing19.xml><?xml version="1.0" encoding="utf-8"?>
<c:userShapes xmlns:c="http://schemas.openxmlformats.org/drawingml/2006/chart">
  <cdr:relSizeAnchor xmlns:cdr="http://schemas.openxmlformats.org/drawingml/2006/chartDrawing">
    <cdr:from>
      <cdr:x>0.11953</cdr:x>
      <cdr:y>0</cdr:y>
    </cdr:from>
    <cdr:to>
      <cdr:x>0.73951</cdr:x>
      <cdr:y>0.08679</cdr:y>
    </cdr:to>
    <cdr:sp macro="" textlink="">
      <cdr:nvSpPr>
        <cdr:cNvPr id="2" name="TextBox 1"/>
        <cdr:cNvSpPr txBox="1"/>
      </cdr:nvSpPr>
      <cdr:spPr>
        <a:xfrm xmlns:a="http://schemas.openxmlformats.org/drawingml/2006/main">
          <a:off x="447835" y="0"/>
          <a:ext cx="2322754" cy="225170"/>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baseline="0"/>
            <a:t>Covid-19 patients in mechanical ventilation beds</a:t>
          </a:r>
        </a:p>
        <a:p xmlns:a="http://schemas.openxmlformats.org/drawingml/2006/main">
          <a:pPr algn="l"/>
          <a:endParaRPr lang="en-GB" sz="800" b="1"/>
        </a:p>
      </cdr:txBody>
    </cdr:sp>
  </cdr:relSizeAnchor>
</c:userShapes>
</file>

<file path=xl/drawings/drawing20.xml><?xml version="1.0" encoding="utf-8"?>
<c:userShapes xmlns:c="http://schemas.openxmlformats.org/drawingml/2006/chart">
  <cdr:relSizeAnchor xmlns:cdr="http://schemas.openxmlformats.org/drawingml/2006/chartDrawing">
    <cdr:from>
      <cdr:x>0.13648</cdr:x>
      <cdr:y>0</cdr:y>
    </cdr:from>
    <cdr:to>
      <cdr:x>0.75646</cdr:x>
      <cdr:y>0.08679</cdr:y>
    </cdr:to>
    <cdr:sp macro="" textlink="">
      <cdr:nvSpPr>
        <cdr:cNvPr id="2" name="TextBox 1"/>
        <cdr:cNvSpPr txBox="1"/>
      </cdr:nvSpPr>
      <cdr:spPr>
        <a:xfrm xmlns:a="http://schemas.openxmlformats.org/drawingml/2006/main">
          <a:off x="511335" y="0"/>
          <a:ext cx="2322754" cy="217297"/>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baseline="0"/>
            <a:t>Covid-19 patients admitted into hospital</a:t>
          </a:r>
        </a:p>
        <a:p xmlns:a="http://schemas.openxmlformats.org/drawingml/2006/main">
          <a:pPr algn="l"/>
          <a:endParaRPr lang="en-GB" sz="800" b="1"/>
        </a:p>
      </cdr:txBody>
    </cdr:sp>
  </cdr:relSizeAnchor>
</c:userShapes>
</file>

<file path=xl/drawings/drawing21.xml><?xml version="1.0" encoding="utf-8"?>
<c:userShapes xmlns:c="http://schemas.openxmlformats.org/drawingml/2006/chart">
  <cdr:relSizeAnchor xmlns:cdr="http://schemas.openxmlformats.org/drawingml/2006/chartDrawing">
    <cdr:from>
      <cdr:x>0.11906</cdr:x>
      <cdr:y>0.01588</cdr:y>
    </cdr:from>
    <cdr:to>
      <cdr:x>0.36248</cdr:x>
      <cdr:y>0.12171</cdr:y>
    </cdr:to>
    <cdr:sp macro="" textlink="">
      <cdr:nvSpPr>
        <cdr:cNvPr id="2" name="TextBox 1"/>
        <cdr:cNvSpPr txBox="1"/>
      </cdr:nvSpPr>
      <cdr:spPr>
        <a:xfrm xmlns:a="http://schemas.openxmlformats.org/drawingml/2006/main">
          <a:off x="428626" y="28576"/>
          <a:ext cx="876300" cy="190500"/>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n-GB" sz="800" b="1"/>
            <a:t>Core beds</a:t>
          </a:r>
        </a:p>
      </cdr:txBody>
    </cdr:sp>
  </cdr:relSizeAnchor>
</c:userShapes>
</file>

<file path=xl/drawings/drawing22.xml><?xml version="1.0" encoding="utf-8"?>
<c:userShapes xmlns:c="http://schemas.openxmlformats.org/drawingml/2006/chart">
  <cdr:relSizeAnchor xmlns:cdr="http://schemas.openxmlformats.org/drawingml/2006/chartDrawing">
    <cdr:from>
      <cdr:x>0.11906</cdr:x>
      <cdr:y>0.01588</cdr:y>
    </cdr:from>
    <cdr:to>
      <cdr:x>0.36248</cdr:x>
      <cdr:y>0.12171</cdr:y>
    </cdr:to>
    <cdr:sp macro="" textlink="">
      <cdr:nvSpPr>
        <cdr:cNvPr id="2" name="TextBox 1"/>
        <cdr:cNvSpPr txBox="1"/>
      </cdr:nvSpPr>
      <cdr:spPr>
        <a:xfrm xmlns:a="http://schemas.openxmlformats.org/drawingml/2006/main">
          <a:off x="428626" y="28576"/>
          <a:ext cx="876300" cy="190500"/>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n-GB" sz="800" b="1"/>
            <a:t>Escalation beds</a:t>
          </a:r>
        </a:p>
      </cdr:txBody>
    </cdr:sp>
  </cdr:relSizeAnchor>
</c:userShapes>
</file>

<file path=xl/drawings/drawing23.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4" name="Rectangle 3">
          <a:extLst>
            <a:ext uri="{FF2B5EF4-FFF2-40B4-BE49-F238E27FC236}">
              <a16:creationId xmlns:a16="http://schemas.microsoft.com/office/drawing/2014/main" id="{00000000-0008-0000-0400-000004000000}"/>
            </a:ext>
          </a:extLst>
        </xdr:cNvPr>
        <xdr:cNvSpPr/>
      </xdr:nvSpPr>
      <xdr:spPr>
        <a:xfrm>
          <a:off x="0" y="0"/>
          <a:ext cx="0" cy="0"/>
        </a:xfrm>
        <a:prstGeom prst="rect">
          <a:avLst/>
        </a:prstGeom>
        <a:solidFill>
          <a:schemeClr val="bg1">
            <a:shade val="50000"/>
            <a:alpha val="0"/>
          </a:schemeClr>
        </a:solidFill>
        <a:ln w="38100" cmpd="dbl">
          <a:solidFill>
            <a:schemeClr val="bg1">
              <a:shade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fPrintsWithSheet="0"/>
  </xdr:twoCellAnchor>
</xdr:wsDr>
</file>

<file path=xl/drawings/drawing24.xml><?xml version="1.0" encoding="utf-8"?>
<xdr:wsDr xmlns:xdr="http://schemas.openxmlformats.org/drawingml/2006/spreadsheetDrawing" xmlns:a="http://schemas.openxmlformats.org/drawingml/2006/main">
  <xdr:twoCellAnchor>
    <xdr:from>
      <xdr:col>1</xdr:col>
      <xdr:colOff>285750</xdr:colOff>
      <xdr:row>4</xdr:row>
      <xdr:rowOff>47625</xdr:rowOff>
    </xdr:from>
    <xdr:to>
      <xdr:col>9</xdr:col>
      <xdr:colOff>285750</xdr:colOff>
      <xdr:row>18</xdr:row>
      <xdr:rowOff>85725</xdr:rowOff>
    </xdr:to>
    <xdr:graphicFrame macro="">
      <xdr:nvGraphicFramePr>
        <xdr:cNvPr id="2" name="Chart 1">
          <a:extLst>
            <a:ext uri="{FF2B5EF4-FFF2-40B4-BE49-F238E27FC236}">
              <a16:creationId xmlns:a16="http://schemas.microsoft.com/office/drawing/2014/main" id="{00000000-0008-0000-0B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externalLinks/_rels/externalLink1.xml.rels><?xml version="1.0" encoding="UTF-8" standalone="yes"?>
<Relationships xmlns="http://schemas.openxmlformats.org/package/2006/relationships"><Relationship Id="rId2" Type="http://schemas.openxmlformats.org/officeDocument/2006/relationships/externalLinkPath" Target="file:///C:\Users\KehindeOladimeji\Downloads\Weekly-covid-admissions-and-beds-publication-230209.xlsx" TargetMode="External"/><Relationship Id="rId1" Type="http://schemas.openxmlformats.org/officeDocument/2006/relationships/externalLinkPath" Target="/Users/KehindeOladimeji/Downloads/Weekly-covid-admissions-and-beds-publication-230209.xlsx" TargetMode="External"/></Relationships>
</file>

<file path=xl/externalLinks/_rels/externalLink2.xml.rels><?xml version="1.0" encoding="UTF-8" standalone="yes"?>
<Relationships xmlns="http://schemas.openxmlformats.org/package/2006/relationships"><Relationship Id="rId2" Type="http://schemas.openxmlformats.org/officeDocument/2006/relationships/externalLinkPath" Target="file:///C:\Users\HannahLong\Downloads\Weekly-covid-admissions-and-beds-publication-230216.xlsx" TargetMode="External"/><Relationship Id="rId1" Type="http://schemas.openxmlformats.org/officeDocument/2006/relationships/externalLinkPath" Target="/Users/HannahLong/Downloads/Weekly-covid-admissions-and-beds-publication-23021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Summary"/>
      <sheetName val="Hosp ads &amp; diag"/>
      <sheetName val="Hosp ads from comm"/>
      <sheetName val="Hosp ads from comm with lag"/>
      <sheetName val="Care home ads and diags"/>
      <sheetName val="All beds COVID"/>
      <sheetName val="MV beds COVID"/>
      <sheetName val="Adult G&amp;A Beds Occupied COVID"/>
      <sheetName val="Adult G&amp;A Bed Occupied NonCOVID"/>
      <sheetName val="Adult G&amp;A Beds Unoccupied"/>
      <sheetName val="Adult CC Beds Occupied COVID"/>
      <sheetName val="Adult CC Bed Occupied NonCOVID"/>
      <sheetName val="Adult CC Beds Unoccupied"/>
    </sheetNames>
    <sheetDataSet>
      <sheetData sheetId="0"/>
      <sheetData sheetId="1">
        <row r="16">
          <cell r="DV16">
            <v>741</v>
          </cell>
          <cell r="DW16">
            <v>752</v>
          </cell>
          <cell r="DX16">
            <v>780</v>
          </cell>
          <cell r="DY16">
            <v>713</v>
          </cell>
          <cell r="DZ16">
            <v>573</v>
          </cell>
          <cell r="EA16">
            <v>668</v>
          </cell>
          <cell r="EB16">
            <v>747</v>
          </cell>
        </row>
        <row r="18">
          <cell r="DV18">
            <v>111</v>
          </cell>
          <cell r="DW18">
            <v>115</v>
          </cell>
          <cell r="DX18">
            <v>98</v>
          </cell>
          <cell r="DY18">
            <v>92</v>
          </cell>
          <cell r="DZ18">
            <v>67</v>
          </cell>
          <cell r="EA18">
            <v>116</v>
          </cell>
          <cell r="EB18">
            <v>140</v>
          </cell>
        </row>
        <row r="19">
          <cell r="DV19">
            <v>81</v>
          </cell>
          <cell r="DW19">
            <v>87</v>
          </cell>
          <cell r="DX19">
            <v>105</v>
          </cell>
          <cell r="DY19">
            <v>98</v>
          </cell>
          <cell r="DZ19">
            <v>72</v>
          </cell>
          <cell r="EA19">
            <v>74</v>
          </cell>
          <cell r="EB19">
            <v>79</v>
          </cell>
        </row>
        <row r="20">
          <cell r="DV20">
            <v>127</v>
          </cell>
          <cell r="DW20">
            <v>125</v>
          </cell>
          <cell r="DX20">
            <v>150</v>
          </cell>
          <cell r="DY20">
            <v>148</v>
          </cell>
          <cell r="DZ20">
            <v>115</v>
          </cell>
          <cell r="EA20">
            <v>104</v>
          </cell>
          <cell r="EB20">
            <v>114</v>
          </cell>
        </row>
        <row r="21">
          <cell r="DV21">
            <v>142</v>
          </cell>
          <cell r="DW21">
            <v>136</v>
          </cell>
          <cell r="DX21">
            <v>149</v>
          </cell>
          <cell r="DY21">
            <v>101</v>
          </cell>
          <cell r="DZ21">
            <v>103</v>
          </cell>
          <cell r="EA21">
            <v>119</v>
          </cell>
          <cell r="EB21">
            <v>127</v>
          </cell>
        </row>
        <row r="22">
          <cell r="DV22">
            <v>81</v>
          </cell>
          <cell r="DW22">
            <v>90</v>
          </cell>
          <cell r="DX22">
            <v>75</v>
          </cell>
          <cell r="DY22">
            <v>68</v>
          </cell>
          <cell r="DZ22">
            <v>73</v>
          </cell>
          <cell r="EA22">
            <v>58</v>
          </cell>
          <cell r="EB22">
            <v>78</v>
          </cell>
        </row>
        <row r="23">
          <cell r="DV23">
            <v>116</v>
          </cell>
          <cell r="DW23">
            <v>106</v>
          </cell>
          <cell r="DX23">
            <v>117</v>
          </cell>
          <cell r="DY23">
            <v>123</v>
          </cell>
          <cell r="DZ23">
            <v>77</v>
          </cell>
          <cell r="EA23">
            <v>106</v>
          </cell>
          <cell r="EB23">
            <v>113</v>
          </cell>
        </row>
        <row r="24">
          <cell r="DV24">
            <v>83</v>
          </cell>
          <cell r="DW24">
            <v>93</v>
          </cell>
          <cell r="DX24">
            <v>86</v>
          </cell>
          <cell r="DY24">
            <v>83</v>
          </cell>
          <cell r="DZ24">
            <v>66</v>
          </cell>
          <cell r="EA24">
            <v>91</v>
          </cell>
          <cell r="EB24">
            <v>96</v>
          </cell>
        </row>
      </sheetData>
      <sheetData sheetId="2"/>
      <sheetData sheetId="3"/>
      <sheetData sheetId="4"/>
      <sheetData sheetId="5">
        <row r="16">
          <cell r="DV16">
            <v>5959</v>
          </cell>
          <cell r="DW16">
            <v>6015</v>
          </cell>
          <cell r="DX16">
            <v>6055</v>
          </cell>
          <cell r="DY16">
            <v>6197</v>
          </cell>
          <cell r="DZ16">
            <v>6288</v>
          </cell>
          <cell r="EA16">
            <v>6203</v>
          </cell>
          <cell r="EB16">
            <v>6332</v>
          </cell>
        </row>
        <row r="18">
          <cell r="DV18">
            <v>657</v>
          </cell>
          <cell r="DW18">
            <v>687</v>
          </cell>
          <cell r="DX18">
            <v>699</v>
          </cell>
          <cell r="DY18">
            <v>744</v>
          </cell>
          <cell r="DZ18">
            <v>739</v>
          </cell>
          <cell r="EA18">
            <v>748</v>
          </cell>
          <cell r="EB18">
            <v>761</v>
          </cell>
        </row>
        <row r="19">
          <cell r="DV19">
            <v>947</v>
          </cell>
          <cell r="DW19">
            <v>922</v>
          </cell>
          <cell r="DX19">
            <v>948</v>
          </cell>
          <cell r="DY19">
            <v>972</v>
          </cell>
          <cell r="DZ19">
            <v>993</v>
          </cell>
          <cell r="EA19">
            <v>967</v>
          </cell>
          <cell r="EB19">
            <v>961</v>
          </cell>
        </row>
        <row r="20">
          <cell r="DV20">
            <v>1079</v>
          </cell>
          <cell r="DW20">
            <v>1060</v>
          </cell>
          <cell r="DX20">
            <v>1034</v>
          </cell>
          <cell r="DY20">
            <v>1056</v>
          </cell>
          <cell r="DZ20">
            <v>1090</v>
          </cell>
          <cell r="EA20">
            <v>1093</v>
          </cell>
          <cell r="EB20">
            <v>1128</v>
          </cell>
        </row>
        <row r="21">
          <cell r="DV21">
            <v>1084</v>
          </cell>
          <cell r="DW21">
            <v>1084</v>
          </cell>
          <cell r="DX21">
            <v>1087</v>
          </cell>
          <cell r="DY21">
            <v>1102</v>
          </cell>
          <cell r="DZ21">
            <v>1113</v>
          </cell>
          <cell r="EA21">
            <v>1069</v>
          </cell>
          <cell r="EB21">
            <v>1088</v>
          </cell>
        </row>
        <row r="22">
          <cell r="DV22">
            <v>902</v>
          </cell>
          <cell r="DW22">
            <v>914</v>
          </cell>
          <cell r="DX22">
            <v>894</v>
          </cell>
          <cell r="DY22">
            <v>903</v>
          </cell>
          <cell r="DZ22">
            <v>906</v>
          </cell>
          <cell r="EA22">
            <v>885</v>
          </cell>
          <cell r="EB22">
            <v>906</v>
          </cell>
        </row>
        <row r="23">
          <cell r="DV23">
            <v>824</v>
          </cell>
          <cell r="DW23">
            <v>854</v>
          </cell>
          <cell r="DX23">
            <v>879</v>
          </cell>
          <cell r="DY23">
            <v>890</v>
          </cell>
          <cell r="DZ23">
            <v>909</v>
          </cell>
          <cell r="EA23">
            <v>905</v>
          </cell>
          <cell r="EB23">
            <v>932</v>
          </cell>
        </row>
        <row r="24">
          <cell r="DV24">
            <v>466</v>
          </cell>
          <cell r="DW24">
            <v>494</v>
          </cell>
          <cell r="DX24">
            <v>514</v>
          </cell>
          <cell r="DY24">
            <v>530</v>
          </cell>
          <cell r="DZ24">
            <v>538</v>
          </cell>
          <cell r="EA24">
            <v>536</v>
          </cell>
          <cell r="EB24">
            <v>556</v>
          </cell>
        </row>
      </sheetData>
      <sheetData sheetId="6">
        <row r="16">
          <cell r="DV16">
            <v>142</v>
          </cell>
          <cell r="DW16">
            <v>136</v>
          </cell>
          <cell r="DX16">
            <v>136</v>
          </cell>
          <cell r="DY16">
            <v>142</v>
          </cell>
          <cell r="DZ16">
            <v>139</v>
          </cell>
          <cell r="EA16">
            <v>137</v>
          </cell>
          <cell r="EB16">
            <v>134</v>
          </cell>
        </row>
        <row r="18">
          <cell r="DV18">
            <v>22</v>
          </cell>
          <cell r="DW18">
            <v>20</v>
          </cell>
          <cell r="DX18">
            <v>20</v>
          </cell>
          <cell r="DY18">
            <v>18</v>
          </cell>
          <cell r="DZ18">
            <v>16</v>
          </cell>
          <cell r="EA18">
            <v>13</v>
          </cell>
          <cell r="EB18">
            <v>11</v>
          </cell>
        </row>
        <row r="19">
          <cell r="DV19">
            <v>65</v>
          </cell>
          <cell r="DW19">
            <v>62</v>
          </cell>
          <cell r="DX19">
            <v>57</v>
          </cell>
          <cell r="DY19">
            <v>64</v>
          </cell>
          <cell r="DZ19">
            <v>60</v>
          </cell>
          <cell r="EA19">
            <v>54</v>
          </cell>
          <cell r="EB19">
            <v>57</v>
          </cell>
        </row>
        <row r="20">
          <cell r="DV20">
            <v>12</v>
          </cell>
          <cell r="DW20">
            <v>12</v>
          </cell>
          <cell r="DX20">
            <v>13</v>
          </cell>
          <cell r="DY20">
            <v>15</v>
          </cell>
          <cell r="DZ20">
            <v>17</v>
          </cell>
          <cell r="EA20">
            <v>20</v>
          </cell>
          <cell r="EB20">
            <v>22</v>
          </cell>
        </row>
        <row r="21">
          <cell r="DV21">
            <v>12</v>
          </cell>
          <cell r="DW21">
            <v>14</v>
          </cell>
          <cell r="DX21">
            <v>15</v>
          </cell>
          <cell r="DY21">
            <v>14</v>
          </cell>
          <cell r="DZ21">
            <v>13</v>
          </cell>
          <cell r="EA21">
            <v>15</v>
          </cell>
          <cell r="EB21">
            <v>13</v>
          </cell>
        </row>
        <row r="22">
          <cell r="DV22">
            <v>11</v>
          </cell>
          <cell r="DW22">
            <v>10</v>
          </cell>
          <cell r="DX22">
            <v>10</v>
          </cell>
          <cell r="DY22">
            <v>11</v>
          </cell>
          <cell r="DZ22">
            <v>14</v>
          </cell>
          <cell r="EA22">
            <v>13</v>
          </cell>
          <cell r="EB22">
            <v>13</v>
          </cell>
        </row>
        <row r="23">
          <cell r="DV23">
            <v>16</v>
          </cell>
          <cell r="DW23">
            <v>13</v>
          </cell>
          <cell r="DX23">
            <v>16</v>
          </cell>
          <cell r="DY23">
            <v>16</v>
          </cell>
          <cell r="DZ23">
            <v>14</v>
          </cell>
          <cell r="EA23">
            <v>17</v>
          </cell>
          <cell r="EB23">
            <v>14</v>
          </cell>
        </row>
        <row r="24">
          <cell r="DV24">
            <v>4</v>
          </cell>
          <cell r="DW24">
            <v>5</v>
          </cell>
          <cell r="DX24">
            <v>5</v>
          </cell>
          <cell r="DY24">
            <v>4</v>
          </cell>
          <cell r="DZ24">
            <v>5</v>
          </cell>
          <cell r="EA24">
            <v>5</v>
          </cell>
          <cell r="EB24">
            <v>4</v>
          </cell>
        </row>
      </sheetData>
      <sheetData sheetId="7"/>
      <sheetData sheetId="8"/>
      <sheetData sheetId="9"/>
      <sheetData sheetId="10"/>
      <sheetData sheetId="11"/>
      <sheetData sheetId="12"/>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Summary"/>
      <sheetName val="Hosp ads &amp; diag"/>
      <sheetName val="Hosp ads from comm"/>
      <sheetName val="Hosp ads from comm with lag"/>
      <sheetName val="Care home ads and diags"/>
      <sheetName val="All beds COVID"/>
      <sheetName val="MV beds COVID"/>
      <sheetName val="Adult G&amp;A Beds Occupied COVID"/>
      <sheetName val="Adult G&amp;A Bed Occupied NonCOVID"/>
      <sheetName val="Adult G&amp;A Beds Unoccupied"/>
      <sheetName val="Adult CC Beds Occupied COVID"/>
      <sheetName val="Adult CC Bed Occupied NonCOVID"/>
      <sheetName val="Adult CC Beds Unoccupied"/>
    </sheetNames>
    <sheetDataSet>
      <sheetData sheetId="0"/>
      <sheetData sheetId="1">
        <row r="21">
          <cell r="EC21">
            <v>151</v>
          </cell>
          <cell r="ED21">
            <v>126</v>
          </cell>
          <cell r="EE21">
            <v>152</v>
          </cell>
          <cell r="EF21">
            <v>119</v>
          </cell>
          <cell r="EG21">
            <v>123</v>
          </cell>
          <cell r="EH21">
            <v>135</v>
          </cell>
          <cell r="EI21">
            <v>132</v>
          </cell>
        </row>
        <row r="22">
          <cell r="EC22">
            <v>93</v>
          </cell>
          <cell r="ED22">
            <v>88</v>
          </cell>
          <cell r="EE22">
            <v>82</v>
          </cell>
          <cell r="EF22">
            <v>94</v>
          </cell>
          <cell r="EG22">
            <v>67</v>
          </cell>
          <cell r="EH22">
            <v>81</v>
          </cell>
          <cell r="EI22">
            <v>117</v>
          </cell>
        </row>
        <row r="23">
          <cell r="EC23">
            <v>130</v>
          </cell>
          <cell r="ED23">
            <v>123</v>
          </cell>
          <cell r="EE23">
            <v>139</v>
          </cell>
          <cell r="EF23">
            <v>165</v>
          </cell>
          <cell r="EG23">
            <v>90</v>
          </cell>
          <cell r="EH23">
            <v>123</v>
          </cell>
          <cell r="EI23">
            <v>178</v>
          </cell>
        </row>
        <row r="24">
          <cell r="EC24">
            <v>73</v>
          </cell>
          <cell r="ED24">
            <v>89</v>
          </cell>
          <cell r="EE24">
            <v>80</v>
          </cell>
          <cell r="EF24">
            <v>94</v>
          </cell>
          <cell r="EG24">
            <v>70</v>
          </cell>
          <cell r="EH24">
            <v>72</v>
          </cell>
          <cell r="EI24">
            <v>99</v>
          </cell>
        </row>
      </sheetData>
      <sheetData sheetId="2"/>
      <sheetData sheetId="3"/>
      <sheetData sheetId="4"/>
      <sheetData sheetId="5">
        <row r="19">
          <cell r="EC19">
            <v>993</v>
          </cell>
          <cell r="ED19">
            <v>980</v>
          </cell>
          <cell r="EE19">
            <v>992</v>
          </cell>
          <cell r="EF19">
            <v>1023</v>
          </cell>
          <cell r="EG19">
            <v>1027</v>
          </cell>
          <cell r="EH19">
            <v>1008</v>
          </cell>
          <cell r="EI19">
            <v>1019</v>
          </cell>
        </row>
        <row r="20">
          <cell r="EC20">
            <v>1147</v>
          </cell>
          <cell r="ED20">
            <v>1118</v>
          </cell>
          <cell r="EE20">
            <v>1096</v>
          </cell>
          <cell r="EF20">
            <v>1115</v>
          </cell>
          <cell r="EG20">
            <v>1126</v>
          </cell>
          <cell r="EH20">
            <v>1156</v>
          </cell>
          <cell r="EI20">
            <v>1266</v>
          </cell>
        </row>
        <row r="21">
          <cell r="EC21">
            <v>1123</v>
          </cell>
          <cell r="ED21">
            <v>1112</v>
          </cell>
          <cell r="EE21">
            <v>1120</v>
          </cell>
          <cell r="EF21">
            <v>1092</v>
          </cell>
          <cell r="EG21">
            <v>1110</v>
          </cell>
          <cell r="EH21">
            <v>1073</v>
          </cell>
          <cell r="EI21">
            <v>1097</v>
          </cell>
        </row>
        <row r="22">
          <cell r="EC22">
            <v>910</v>
          </cell>
          <cell r="ED22">
            <v>905</v>
          </cell>
          <cell r="EE22">
            <v>928</v>
          </cell>
          <cell r="EF22">
            <v>917</v>
          </cell>
          <cell r="EG22">
            <v>911</v>
          </cell>
          <cell r="EH22">
            <v>930</v>
          </cell>
          <cell r="EI22">
            <v>951</v>
          </cell>
        </row>
        <row r="23">
          <cell r="EC23">
            <v>941</v>
          </cell>
          <cell r="ED23">
            <v>923</v>
          </cell>
          <cell r="EE23">
            <v>908</v>
          </cell>
          <cell r="EF23">
            <v>903</v>
          </cell>
          <cell r="EG23">
            <v>926</v>
          </cell>
          <cell r="EH23">
            <v>972</v>
          </cell>
          <cell r="EI23">
            <v>1017</v>
          </cell>
        </row>
        <row r="24">
          <cell r="EC24">
            <v>578</v>
          </cell>
          <cell r="ED24">
            <v>602</v>
          </cell>
          <cell r="EE24">
            <v>580</v>
          </cell>
          <cell r="EF24">
            <v>582</v>
          </cell>
          <cell r="EG24">
            <v>583</v>
          </cell>
          <cell r="EH24">
            <v>581</v>
          </cell>
          <cell r="EI24">
            <v>597</v>
          </cell>
        </row>
      </sheetData>
      <sheetData sheetId="6">
        <row r="16">
          <cell r="EC16">
            <v>128</v>
          </cell>
          <cell r="ED16">
            <v>132</v>
          </cell>
          <cell r="EE16">
            <v>117</v>
          </cell>
          <cell r="EF16">
            <v>118</v>
          </cell>
          <cell r="EG16">
            <v>133</v>
          </cell>
          <cell r="EH16">
            <v>128</v>
          </cell>
          <cell r="EI16">
            <v>123</v>
          </cell>
        </row>
        <row r="18">
          <cell r="EC18">
            <v>12</v>
          </cell>
          <cell r="ED18">
            <v>17</v>
          </cell>
          <cell r="EE18">
            <v>13</v>
          </cell>
          <cell r="EF18">
            <v>15</v>
          </cell>
          <cell r="EG18">
            <v>16</v>
          </cell>
          <cell r="EH18">
            <v>15</v>
          </cell>
          <cell r="EI18">
            <v>17</v>
          </cell>
        </row>
        <row r="19">
          <cell r="EC19">
            <v>50</v>
          </cell>
          <cell r="ED19">
            <v>49</v>
          </cell>
          <cell r="EE19">
            <v>48</v>
          </cell>
          <cell r="EF19">
            <v>50</v>
          </cell>
          <cell r="EG19">
            <v>53</v>
          </cell>
          <cell r="EH19">
            <v>54</v>
          </cell>
          <cell r="EI19">
            <v>50</v>
          </cell>
        </row>
        <row r="20">
          <cell r="EC20">
            <v>25</v>
          </cell>
          <cell r="ED20">
            <v>23</v>
          </cell>
          <cell r="EE20">
            <v>19</v>
          </cell>
          <cell r="EF20">
            <v>17</v>
          </cell>
          <cell r="EG20">
            <v>23</v>
          </cell>
          <cell r="EH20">
            <v>16</v>
          </cell>
          <cell r="EI20">
            <v>17</v>
          </cell>
        </row>
        <row r="21">
          <cell r="EC21">
            <v>14</v>
          </cell>
          <cell r="ED21">
            <v>14</v>
          </cell>
          <cell r="EE21">
            <v>10</v>
          </cell>
          <cell r="EF21">
            <v>13</v>
          </cell>
          <cell r="EG21">
            <v>16</v>
          </cell>
          <cell r="EH21">
            <v>20</v>
          </cell>
          <cell r="EI21">
            <v>18</v>
          </cell>
        </row>
        <row r="22">
          <cell r="EC22">
            <v>9</v>
          </cell>
          <cell r="ED22">
            <v>7</v>
          </cell>
          <cell r="EE22">
            <v>9</v>
          </cell>
          <cell r="EF22">
            <v>9</v>
          </cell>
          <cell r="EG22">
            <v>9</v>
          </cell>
          <cell r="EH22">
            <v>7</v>
          </cell>
          <cell r="EI22">
            <v>7</v>
          </cell>
        </row>
        <row r="23">
          <cell r="EC23">
            <v>12</v>
          </cell>
          <cell r="ED23">
            <v>17</v>
          </cell>
          <cell r="EE23">
            <v>16</v>
          </cell>
          <cell r="EF23">
            <v>13</v>
          </cell>
          <cell r="EG23">
            <v>15</v>
          </cell>
          <cell r="EH23">
            <v>14</v>
          </cell>
          <cell r="EI23">
            <v>12</v>
          </cell>
        </row>
        <row r="24">
          <cell r="EC24">
            <v>6</v>
          </cell>
          <cell r="ED24">
            <v>5</v>
          </cell>
          <cell r="EE24">
            <v>2</v>
          </cell>
          <cell r="EF24">
            <v>1</v>
          </cell>
          <cell r="EG24">
            <v>1</v>
          </cell>
          <cell r="EH24">
            <v>2</v>
          </cell>
          <cell r="EI24">
            <v>2</v>
          </cell>
        </row>
      </sheetData>
      <sheetData sheetId="7"/>
      <sheetData sheetId="8"/>
      <sheetData sheetId="9"/>
      <sheetData sheetId="10"/>
      <sheetData sheetId="11"/>
      <sheetData sheetId="12"/>
    </sheetDataSet>
  </externalBook>
</externalLink>
</file>

<file path=xl/pivotCache/_rels/pivotCacheDefinition1.xml.rels><?xml version="1.0" encoding="UTF-8" standalone="yes"?>
<Relationships xmlns="http://schemas.openxmlformats.org/package/2006/relationships"><Relationship Id="rId1" Type="http://schemas.openxmlformats.org/officeDocument/2006/relationships/pivotCacheRecords" Target="pivotCacheRecords1.xml"/></Relationships>
</file>

<file path=xl/pivotCache/_rels/pivotCacheDefinition2.xml.rels><?xml version="1.0" encoding="UTF-8" standalone="yes"?>
<Relationships xmlns="http://schemas.openxmlformats.org/package/2006/relationships"><Relationship Id="rId1" Type="http://schemas.openxmlformats.org/officeDocument/2006/relationships/pivotCacheRecords" Target="pivotCacheRecords2.xml"/></Relationships>
</file>

<file path=xl/pivotCache/_rels/pivotCacheDefinition3.xml.rels><?xml version="1.0" encoding="UTF-8" standalone="yes"?>
<Relationships xmlns="http://schemas.openxmlformats.org/package/2006/relationships"><Relationship Id="rId1" Type="http://schemas.openxmlformats.org/officeDocument/2006/relationships/pivotCacheRecords" Target="pivotCacheRecords3.xml"/></Relationships>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isie Orr Kitchin" refreshedDate="45680.53592800926" createdVersion="8" refreshedVersion="8" minRefreshableVersion="3" recordCount="99" xr:uid="{20554077-3645-419A-9971-088FDE340ACB}">
  <cacheSource type="worksheet">
    <worksheetSource ref="A2:J1048576" sheet="Covid new admissions"/>
  </cacheSource>
  <cacheFields count="10">
    <cacheField name="Date" numFmtId="0">
      <sharedItems containsNonDate="0" containsString="0" containsBlank="1"/>
    </cacheField>
    <cacheField name="Week" numFmtId="0">
      <sharedItems containsBlank="1" count="15">
        <s v="Week 1"/>
        <s v="Week 2"/>
        <s v="Week 3"/>
        <s v="Week 4"/>
        <s v="Week 5"/>
        <s v="Week 6"/>
        <s v="Week 7"/>
        <s v="Week 8"/>
        <s v="Week 9"/>
        <s v="Week 10"/>
        <s v="Week 11"/>
        <s v="Week 12"/>
        <s v="Week 13"/>
        <s v="Week 14"/>
        <m/>
      </sharedItems>
    </cacheField>
    <cacheField name="ENGLAND" numFmtId="0">
      <sharedItems containsString="0" containsBlank="1" containsNumber="1" containsInteger="1" minValue="417" maxValue="1376"/>
    </cacheField>
    <cacheField name="East of England" numFmtId="0">
      <sharedItems containsString="0" containsBlank="1" containsNumber="1" containsInteger="1" minValue="47" maxValue="166"/>
    </cacheField>
    <cacheField name="London" numFmtId="0">
      <sharedItems containsString="0" containsBlank="1" containsNumber="1" containsInteger="1" minValue="34" maxValue="181"/>
    </cacheField>
    <cacheField name="Midlands" numFmtId="0">
      <sharedItems containsString="0" containsBlank="1" containsNumber="1" containsInteger="1" minValue="76" maxValue="263"/>
    </cacheField>
    <cacheField name="North East and Yorkshire" numFmtId="0">
      <sharedItems containsString="0" containsBlank="1" containsNumber="1" containsInteger="1" minValue="62" maxValue="218"/>
    </cacheField>
    <cacheField name="North West" numFmtId="0">
      <sharedItems containsString="0" containsBlank="1" containsNumber="1" containsInteger="1" minValue="54" maxValue="176"/>
    </cacheField>
    <cacheField name="South East" numFmtId="0">
      <sharedItems containsString="0" containsBlank="1" containsNumber="1" containsInteger="1" minValue="47" maxValue="263"/>
    </cacheField>
    <cacheField name="South West" numFmtId="0">
      <sharedItems containsString="0" containsBlank="1" containsNumber="1" containsInteger="1" minValue="29" maxValue="212"/>
    </cacheField>
  </cacheFields>
  <extLst>
    <ext xmlns:x14="http://schemas.microsoft.com/office/spreadsheetml/2009/9/main" uri="{725AE2AE-9491-48be-B2B4-4EB974FC3084}">
      <x14:pivotCacheDefinition/>
    </ext>
  </extLst>
</pivotCacheDefinition>
</file>

<file path=xl/pivotCache/pivotCacheDefinition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isie Orr Kitchin" refreshedDate="45680.535928124998" createdVersion="8" refreshedVersion="8" minRefreshableVersion="3" recordCount="99" xr:uid="{6532B170-969E-4A25-A4EB-D05D534FF8AC}">
  <cacheSource type="worksheet">
    <worksheetSource ref="A2:J1048576" sheet="Covid MV beds"/>
  </cacheSource>
  <cacheFields count="10">
    <cacheField name="Date" numFmtId="0">
      <sharedItems containsNonDate="0" containsString="0" containsBlank="1"/>
    </cacheField>
    <cacheField name="Week" numFmtId="0">
      <sharedItems containsBlank="1" count="15">
        <s v="Week 1"/>
        <s v="Week 2"/>
        <s v="Week 3"/>
        <s v="Week 4"/>
        <s v="Week 5"/>
        <s v="Week 6"/>
        <s v="Week 7"/>
        <s v="Week 8"/>
        <s v="Week 9"/>
        <s v="Week 10"/>
        <s v="Week 11"/>
        <s v="Week 12"/>
        <s v="Week 13"/>
        <s v="Week 14"/>
        <m/>
      </sharedItems>
    </cacheField>
    <cacheField name="ENGLAND" numFmtId="0">
      <sharedItems containsString="0" containsBlank="1" containsNumber="1" containsInteger="1" minValue="111" maxValue="227"/>
    </cacheField>
    <cacheField name="East of England" numFmtId="0">
      <sharedItems containsString="0" containsBlank="1" containsNumber="1" containsInteger="1" minValue="5" maxValue="28"/>
    </cacheField>
    <cacheField name="London" numFmtId="0">
      <sharedItems containsString="0" containsBlank="1" containsNumber="1" containsInteger="1" minValue="48" maxValue="93"/>
    </cacheField>
    <cacheField name="Midlands" numFmtId="0">
      <sharedItems containsString="0" containsBlank="1" containsNumber="1" containsInteger="1" minValue="3" maxValue="36"/>
    </cacheField>
    <cacheField name="North East and Yorkshire" numFmtId="0">
      <sharedItems containsString="0" containsBlank="1" containsNumber="1" containsInteger="1" minValue="7" maxValue="28"/>
    </cacheField>
    <cacheField name="North West" numFmtId="0">
      <sharedItems containsString="0" containsBlank="1" containsNumber="1" containsInteger="1" minValue="7" maxValue="23"/>
    </cacheField>
    <cacheField name="South East" numFmtId="0">
      <sharedItems containsString="0" containsBlank="1" containsNumber="1" containsInteger="1" minValue="9" maxValue="27"/>
    </cacheField>
    <cacheField name="South West" numFmtId="0">
      <sharedItems containsString="0" containsBlank="1" containsNumber="1" containsInteger="1" minValue="1" maxValue="15"/>
    </cacheField>
  </cacheFields>
  <extLst>
    <ext xmlns:x14="http://schemas.microsoft.com/office/spreadsheetml/2009/9/main" uri="{725AE2AE-9491-48be-B2B4-4EB974FC3084}">
      <x14:pivotCacheDefinition/>
    </ext>
  </extLst>
</pivotCacheDefinition>
</file>

<file path=xl/pivotCache/pivotCacheDefinition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isie Orr Kitchin" refreshedDate="45680.535928124998" createdVersion="8" refreshedVersion="8" minRefreshableVersion="3" recordCount="99" xr:uid="{BD19D4EF-3E5F-48F6-BDE0-C2EEE8BE3BA8}">
  <cacheSource type="worksheet">
    <worksheetSource ref="A2:J1048576" sheet="Covid patients in hospital"/>
  </cacheSource>
  <cacheFields count="10">
    <cacheField name="Date" numFmtId="0">
      <sharedItems containsNonDate="0" containsString="0" containsBlank="1"/>
    </cacheField>
    <cacheField name="Week" numFmtId="0">
      <sharedItems containsBlank="1" count="15">
        <s v="Week 1"/>
        <s v="Week 2"/>
        <s v="Week 3"/>
        <s v="Week 4"/>
        <s v="Week 5"/>
        <s v="Week 6"/>
        <s v="Week 7"/>
        <s v="Week 8"/>
        <s v="Week 9"/>
        <s v="Week 10"/>
        <s v="Week 11"/>
        <s v="Week 12"/>
        <s v="Week 13"/>
        <s v="Week 14"/>
        <m/>
      </sharedItems>
    </cacheField>
    <cacheField name="ENGLAND" numFmtId="0">
      <sharedItems containsString="0" containsBlank="1" containsNumber="1" containsInteger="1" minValue="4775" maxValue="9535"/>
    </cacheField>
    <cacheField name="East of England" numFmtId="0">
      <sharedItems containsString="0" containsBlank="1" containsNumber="1" containsInteger="1" minValue="413" maxValue="1035"/>
    </cacheField>
    <cacheField name="London" numFmtId="0">
      <sharedItems containsString="0" containsBlank="1" containsNumber="1" containsInteger="1" minValue="823" maxValue="1515"/>
    </cacheField>
    <cacheField name="Midlands" numFmtId="0">
      <sharedItems containsString="0" containsBlank="1" containsNumber="1" containsInteger="1" minValue="942" maxValue="1866"/>
    </cacheField>
    <cacheField name="North East and Yorkshire" numFmtId="0">
      <sharedItems containsString="0" containsBlank="1" containsNumber="1" containsInteger="1" minValue="825" maxValue="1580"/>
    </cacheField>
    <cacheField name="North West" numFmtId="0">
      <sharedItems containsString="0" containsBlank="1" containsNumber="1" containsInteger="1" minValue="786" maxValue="1377"/>
    </cacheField>
    <cacheField name="South East" numFmtId="0">
      <sharedItems containsString="0" containsBlank="1" containsNumber="1" containsInteger="1" minValue="634" maxValue="1569"/>
    </cacheField>
    <cacheField name="South West" numFmtId="0">
      <sharedItems containsString="0" containsBlank="1" containsNumber="1" containsInteger="1" minValue="321" maxValue="1048"/>
    </cacheField>
  </cacheFields>
  <extLst>
    <ext xmlns:x14="http://schemas.microsoft.com/office/spreadsheetml/2009/9/main" uri="{725AE2AE-9491-48be-B2B4-4EB974FC3084}">
      <x14:pivotCacheDefinition/>
    </ext>
  </extLst>
</pivotCacheDefinition>
</file>

<file path=xl/pivotCache/pivotCacheDefinition4.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80.536116203701" createdVersion="4" refreshedVersion="8" minRefreshableVersion="3" recordCount="0" supportSubquery="1" supportAdvancedDrill="1" xr:uid="{00000000-000A-0000-FFFF-FFFF0F010000}">
  <cacheSource type="external" connectionId="3"/>
  <cacheFields count="5">
    <cacheField name="[Winter daily sitreps].[Year].[Year]" caption="Year" numFmtId="0" hierarchy="95" level="1">
      <sharedItems containsSemiMixedTypes="0" containsNonDate="0" containsString="0"/>
    </cacheField>
    <cacheField name="[Ambulance - Winter Sitreps].[Region].[Region]" caption="Region" numFmtId="0" hierarchy="5" level="1">
      <sharedItems count="7">
        <s v="East of England"/>
        <s v="London"/>
        <s v="Midlands"/>
        <s v="North East and Yorkshire"/>
        <s v="North West"/>
        <s v="South East"/>
        <s v="South West"/>
      </sharedItems>
    </cacheField>
    <cacheField name="[Ambulance - Winter Sitreps].[Week].[Week]" caption="Week" numFmtId="0" hierarchy="10" level="1">
      <sharedItems containsSemiMixedTypes="0" containsString="0" containsNumber="1" containsInteger="1" minValue="1" maxValue="8" count="8">
        <n v="1"/>
        <n v="2"/>
        <n v="3"/>
        <n v="4"/>
        <n v="5"/>
        <n v="6"/>
        <n v="7"/>
        <n v="8"/>
      </sharedItems>
    </cacheField>
    <cacheField name="[Measures].[Sum of Amb arrivals 2]" caption="Sum of Amb arrivals 2" numFmtId="0" hierarchy="144" level="32767"/>
    <cacheField name="[Ambulance - Winter Sitreps].[Year].[Year]" caption="Year" numFmtId="0" hierarchy="8" level="1">
      <sharedItems containsSemiMixedTypes="0" containsNonDate="0" containsString="0"/>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2" memberValueDatatype="130" unbalanced="0">
      <fieldsUsage count="2">
        <fieldUsage x="-1"/>
        <fieldUsage x="1"/>
      </fieldsUsage>
    </cacheHierarchy>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2" memberValueDatatype="130" unbalanced="0">
      <fieldsUsage count="2">
        <fieldUsage x="-1"/>
        <fieldUsage x="4"/>
      </fieldsUsage>
    </cacheHierarchy>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2" memberValueDatatype="5" unbalanced="0">
      <fieldsUsage count="2">
        <fieldUsage x="-1"/>
        <fieldUsage x="2"/>
      </fieldsUsage>
    </cacheHierarchy>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oneField="1" hidden="1">
      <fieldsUsage count="1">
        <fieldUsage x="3"/>
      </fieldsUsage>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5.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80.536118171294" createdVersion="4" refreshedVersion="8" minRefreshableVersion="3" recordCount="0" supportSubquery="1" supportAdvancedDrill="1" xr:uid="{00000000-000A-0000-FFFF-FFFF10010000}">
  <cacheSource type="external" connectionId="3"/>
  <cacheFields count="7">
    <cacheField name="[Winter daily sitreps].[Year].[Year]" caption="Year" numFmtId="0" hierarchy="95" level="1">
      <sharedItems containsSemiMixedTypes="0" containsNonDate="0" containsString="0"/>
    </cacheField>
    <cacheField name="[Measures].[Sum of Amb arrivals 2]" caption="Sum of Amb arrivals 2" numFmtId="0" hierarchy="144" level="32767"/>
    <cacheField name="[Measures].[Sum of Amb delays over 60 mins 2]" caption="Sum of Amb delays over 60 mins 2" numFmtId="0" hierarchy="145" level="32767"/>
    <cacheField name="[Ambulance - Winter Sitreps].[Region].[Region]" caption="Region" numFmtId="0" hierarchy="5" level="1">
      <sharedItems count="7">
        <s v="East of England"/>
        <s v="London"/>
        <s v="Midlands"/>
        <s v="North East and Yorkshire"/>
        <s v="North West"/>
        <s v="South East"/>
        <s v="South West"/>
      </sharedItems>
    </cacheField>
    <cacheField name="[Ambulance - Winter Sitreps].[Week].[Week]" caption="Week" numFmtId="0" hierarchy="10" level="1">
      <sharedItems containsSemiMixedTypes="0" containsString="0" containsNumber="1" containsInteger="1" minValue="1" maxValue="8" count="8">
        <n v="1"/>
        <n v="2"/>
        <n v="3"/>
        <n v="4"/>
        <n v="5"/>
        <n v="6"/>
        <n v="7"/>
        <n v="8"/>
      </sharedItems>
    </cacheField>
    <cacheField name="[Ambulance - Winter Sitreps].[Year].[Year]" caption="Year" numFmtId="0" hierarchy="8" level="1">
      <sharedItems containsSemiMixedTypes="0" containsNonDate="0" containsString="0"/>
    </cacheField>
    <cacheField name="[Measures].[Sum of Amb delays over 30 mins]" caption="Sum of Amb delays over 30 mins" numFmtId="0" hierarchy="153"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2" memberValueDatatype="130" unbalanced="0">
      <fieldsUsage count="2">
        <fieldUsage x="-1"/>
        <fieldUsage x="3"/>
      </fieldsUsage>
    </cacheHierarchy>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2" memberValueDatatype="130" unbalanced="0">
      <fieldsUsage count="2">
        <fieldUsage x="-1"/>
        <fieldUsage x="5"/>
      </fieldsUsage>
    </cacheHierarchy>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2" memberValueDatatype="5" unbalanced="0">
      <fieldsUsage count="2">
        <fieldUsage x="-1"/>
        <fieldUsage x="4"/>
      </fieldsUsage>
    </cacheHierarchy>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oneField="1" hidden="1">
      <fieldsUsage count="1">
        <fieldUsage x="1"/>
      </fieldsUsage>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oneField="1" hidden="1">
      <fieldsUsage count="1">
        <fieldUsage x="2"/>
      </fieldsUsage>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oneField="1" hidden="1">
      <fieldsUsage count="1">
        <fieldUsage x="6"/>
      </fieldsUsage>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6.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80.536119675926" createdVersion="4" refreshedVersion="8" minRefreshableVersion="3" recordCount="0" supportSubquery="1" supportAdvancedDrill="1" xr:uid="{00000000-000A-0000-FFFF-FFFF27010000}">
  <cacheSource type="external" connectionId="3"/>
  <cacheFields count="5">
    <cacheField name="[Winter daily sitreps].[Week long].[Week long]" caption="Week long" numFmtId="0" hierarchy="101" level="1">
      <sharedItems count="13">
        <s v="Week 1"/>
        <s v="Week 2"/>
        <s v="Week 10" u="1"/>
        <s v="Week 11" u="1"/>
        <s v="Week 12" u="1"/>
        <s v="Week 13" u="1"/>
        <s v="Week 3" u="1"/>
        <s v="Week 4" u="1"/>
        <s v="Week 5" u="1"/>
        <s v="Week 6" u="1"/>
        <s v="Week 7" u="1"/>
        <s v="Week 8" u="1"/>
        <s v="Week 9" u="1"/>
      </sharedItems>
    </cacheField>
    <cacheField name="[Measures].[Sum of Amb delays over 60 mins 2]" caption="Sum of Amb delays over 60 mins 2" numFmtId="0" hierarchy="145" level="32767"/>
    <cacheField name="[Ambulance - Winter Sitreps].[Name].[Name]" caption="Name" numFmtId="0" hierarchy="7" level="1">
      <sharedItems count="149">
        <s v="AIREDALE NHS FOUNDATION TRUST"/>
        <s v="ALDER HEY CHILDREN'S NHS FOUNDATION TRUST"/>
        <s v="ASHFORD AND ST. PETER'S HOSPITALS NHS FOUNDATION TRUST"/>
        <s v="BARKING, HAVERING AND REDBRIDGE UNIVERSITY HOSPITALS NHS TRUST"/>
        <s v="BARNET, ENFIELD AND HARINGEY MENTAL HEALTH NHS TRUST"/>
        <s v="BARNSLEY HOSPITAL NHS FOUNDATION TRUST"/>
        <s v="BARTS HEALTH NHS TRUST"/>
        <s v="Bedfordshire Hospitals NHS Foundation Trust"/>
        <s v="BIRMINGHAM WOMEN'S AND CHILDREN'S NHS FOUNDATION TRUST"/>
        <s v="BLACKPOOL TEACHING HOSPITALS NHS FOUNDATION TRUST"/>
        <s v="BOLTON NHS FOUNDATION TRUST"/>
        <s v="BRADFORD TEACHING HOSPITALS NHS FOUNDATION TRUST"/>
        <s v="BUCKINGHAMSHIRE HEALTHCARE NHS TRUST"/>
        <s v="CALDERDALE AND HUDDERSFIELD NHS FOUNDATION TRUST"/>
        <s v="CAMBRIDGE UNIVERSITY HOSPITALS NHS FOUNDATION TRUST"/>
        <s v="CAMBRIDGESHIRE AND PETERBOROUGH NHS FOUNDATION TRUST"/>
        <s v="CAMBRIDGESHIRE COMMUNITY SERVICES NHS TRUST"/>
        <s v="CENTRAL AND NORTH WEST LONDON NHS FOUNDATION TRUST"/>
        <s v="CHELSEA AND WESTMINSTER HOSPITAL NHS FOUNDATION TRUST"/>
        <s v="CHESTERFIELD ROYAL HOSPITAL NHS FOUNDATION TRUST"/>
        <s v="COUNTESS OF CHESTER HOSPITAL NHS FOUNDATION TRUST"/>
        <s v="COUNTY DURHAM AND DARLINGTON NHS FOUNDATION TRUST"/>
        <s v="CROYDON HEALTH SERVICES NHS TRUST"/>
        <s v="DARTFORD AND GRAVESHAM NHS TRUST"/>
        <s v="DONCASTER AND BASSETLAW TEACHING HOSPITALS NHS FOUNDATION TRUST"/>
        <s v="DORSET COUNTY HOSPITAL NHS FOUNDATION TRUST"/>
        <s v="EAST AND NORTH HERTFORDSHIRE NHS TRUST"/>
        <s v="EAST CHESHIRE NHS TRUST"/>
        <s v="EAST KENT HOSPITALS UNIVERSITY NHS FOUNDATION TRUST"/>
        <s v="EAST LANCASHIRE HOSPITALS NHS TRUST"/>
        <s v="EAST LONDON NHS FOUNDATION TRUST"/>
        <s v="EAST SUFFOLK AND NORTH ESSEX NHS FOUNDATION TRUST"/>
        <s v="EAST SUSSEX HEALTHCARE NHS TRUST"/>
        <s v="EPSOM AND ST HELIER UNIVERSITY HOSPITALS NHS TRUST"/>
        <s v="ESSEX PARTNERSHIP UNIVERSITY NHS FOUNDATION TRUST"/>
        <s v="FRIMLEY HEALTH NHS FOUNDATION TRUST"/>
        <s v="GATESHEAD HEALTH NHS FOUNDATION TRUST"/>
        <s v="GEORGE ELIOT HOSPITAL NHS TRUST"/>
        <s v="GLOUCESTERSHIRE HOSPITALS NHS FOUNDATION TRUST"/>
        <s v="GREAT ORMOND STREET HOSPITAL FOR CHILDREN NHS FOUNDATION TRUST"/>
        <s v="GREAT WESTERN HOSPITALS NHS FOUNDATION TRUST"/>
        <s v="GUY'S AND ST THOMAS' NHS FOUNDATION TRUST"/>
        <s v="HAMPSHIRE HOSPITALS NHS FOUNDATION TRUST"/>
        <s v="HARROGATE AND DISTRICT NHS FOUNDATION TRUST"/>
        <s v="HERTFORDSHIRE PARTNERSHIP UNIVERSITY NHS FOUNDATION TRUST"/>
        <s v="HOMERTON HEALTHCARE NHS FOUNDATION TRUST"/>
        <s v="HULL UNIVERSITY TEACHING HOSPITALS NHS TRUST"/>
        <s v="IMPERIAL COLLEGE HEALTHCARE NHS TRUST"/>
        <s v="JAMES PAGET UNIVERSITY HOSPITALS NHS FOUNDATION TRUST"/>
        <s v="KENT AND MEDWAY NHS AND SOCIAL CARE PARTNERSHIP TRUST"/>
        <s v="KENT COMMUNITY HEALTH NHS FOUNDATION TRUST"/>
        <s v="KETTERING GENERAL HOSPITAL NHS FOUNDATION TRUST"/>
        <s v="KING'S COLLEGE HOSPITAL NHS FOUNDATION TRUST"/>
        <s v="KINGSTON AND RICHMOND NHS FOUNDATION TRUST"/>
        <s v="KINGSTON HOSPITAL NHS FOUNDATION TRUST"/>
        <s v="LANCASHIRE AND SOUTH CUMBRIA NHS FOUNDATION TRUST"/>
        <s v="LANCASHIRE TEACHING HOSPITALS NHS FOUNDATION TRUST"/>
        <s v="LEEDS TEACHING HOSPITALS NHS TRUST"/>
        <s v="LEWISHAM AND GREENWICH NHS TRUST"/>
        <s v="LINCOLNSHIRE COMMUNITY HEALTH SERVICES NHS TRUST"/>
        <s v="LIVERPOOL UNIVERSITY HOSPITALS NHS FOUNDATION TRUST"/>
        <s v="LONDON NORTH WEST UNIVERSITY HEALTHCARE NHS TRUST"/>
        <s v="MAIDSTONE AND TUNBRIDGE WELLS NHS TRUST"/>
        <s v="MANCHESTER UNIVERSITY NHS FOUNDATION TRUST"/>
        <s v="MEDWAY NHS FOUNDATION TRUST"/>
        <s v="MERSEY AND WEST LANCASHIRE TEACHING HOSPITALS NHS TRUST"/>
        <s v="MID AND SOUTH ESSEX NHS FOUNDATION TRUST"/>
        <s v="MID CHESHIRE HOSPITALS NHS FOUNDATION TRUST"/>
        <s v="MID YORKSHIRE TEACHING NHS TRUST"/>
        <s v="MIDLANDS PARTNERSHIP NHS FOUNDATION TRUST"/>
        <s v="MILTON KEYNES UNIVERSITY HOSPITAL NHS FOUNDATION TRUST"/>
        <s v="MOORFIELDS EYE HOSPITAL NHS FOUNDATION TRUST"/>
        <s v="NORFOLK AND NORWICH UNIVERSITY HOSPITALS NHS FOUNDATION TRUST"/>
        <s v="NORFOLK AND SUFFOLK NHS FOUNDATION TRUST"/>
        <s v="NORFOLK COMMUNITY HEALTH AND CARE NHS TRUST"/>
        <s v="NORTH BRISTOL NHS TRUST"/>
        <s v="NORTH CUMBRIA INTEGRATED CARE NHS FOUNDATION TRUST"/>
        <s v="NORTH EAST LONDON NHS FOUNDATION TRUST"/>
        <s v="NORTH MIDDLESEX UNIVERSITY HOSPITAL NHS TRUST"/>
        <s v="NORTH TEES AND HARTLEPOOL NHS FOUNDATION TRUST"/>
        <s v="NORTH WEST ANGLIA NHS FOUNDATION TRUST"/>
        <s v="NORTHAMPTON GENERAL HOSPITAL NHS TRUST"/>
        <s v="NORTHERN CARE ALLIANCE NHS FOUNDATION TRUST"/>
        <s v="NORTHERN LINCOLNSHIRE AND GOOLE NHS FOUNDATION TRUST"/>
        <s v="NORTHUMBRIA HEALTHCARE NHS FOUNDATION TRUST"/>
        <s v="NOTTINGHAM UNIVERSITY HOSPITALS NHS TRUST"/>
        <s v="OXFORD HEALTH NHS FOUNDATION TRUST"/>
        <s v="OXFORD UNIVERSITY HOSPITALS NHS FOUNDATION TRUST"/>
        <s v="PORTSMOUTH HOSPITALS UNIVERSITY NHS TRUST"/>
        <s v="QUEEN VICTORIA HOSPITAL NHS FOUNDATION TRUST"/>
        <s v="ROYAL BERKSHIRE NHS FOUNDATION TRUST"/>
        <s v="ROYAL CORNWALL HOSPITALS NHS TRUST"/>
        <s v="ROYAL DEVON UNIVERSITY HEALTHCARE NHS FOUNDATION TRUST"/>
        <s v="ROYAL FREE LONDON NHS FOUNDATION TRUST"/>
        <s v="ROYAL NATIONAL ORTHOPAEDIC HOSPITAL NHS TRUST"/>
        <s v="ROYAL PAPWORTH HOSPITAL NHS FOUNDATION TRUST"/>
        <s v="ROYAL SURREY COUNTY HOSPITAL NHS FOUNDATION TRUST"/>
        <s v="ROYAL UNITED HOSPITALS BATH NHS FOUNDATION TRUST"/>
        <s v="SALISBURY NHS FOUNDATION TRUST"/>
        <s v="SANDWELL AND WEST BIRMINGHAM HOSPITALS NHS TRUST"/>
        <s v="SHEFFIELD CHILDREN'S NHS FOUNDATION TRUST"/>
        <s v="SHEFFIELD TEACHING HOSPITALS NHS FOUNDATION TRUST"/>
        <s v="SHERWOOD FOREST HOSPITALS NHS FOUNDATION TRUST"/>
        <s v="SOMERSET NHS FOUNDATION TRUST"/>
        <s v="SOUTH LONDON AND MAUDSLEY NHS FOUNDATION TRUST"/>
        <s v="SOUTH TEES HOSPITALS NHS FOUNDATION TRUST"/>
        <s v="SOUTH TYNESIDE AND SUNDERLAND NHS FOUNDATION TRUST"/>
        <s v="SOUTH WARWICKSHIRE UNIVERSITY NHS FOUNDATION TRUST"/>
        <s v="ST GEORGE'S UNIVERSITY HOSPITALS NHS FOUNDATION TRUST"/>
        <s v="STOCKPORT NHS FOUNDATION TRUST"/>
        <s v="SURREY AND BORDERS PARTNERSHIP NHS FOUNDATION TRUST"/>
        <s v="SURREY AND SUSSEX HEALTHCARE NHS TRUST"/>
        <s v="SUSSEX COMMUNITY NHS FOUNDATION TRUST"/>
        <s v="SUSSEX PARTNERSHIP NHS FOUNDATION TRUST"/>
        <s v="TAMESIDE AND GLOSSOP INTEGRATED CARE NHS FOUNDATION TRUST"/>
        <s v="THE DUDLEY GROUP NHS FOUNDATION TRUST"/>
        <s v="THE HILLINGDON HOSPITALS NHS FOUNDATION TRUST"/>
        <s v="THE NEWCASTLE UPON TYNE HOSPITALS NHS FOUNDATION TRUST"/>
        <s v="THE PRINCESS ALEXANDRA HOSPITAL NHS TRUST"/>
        <s v="THE QUEEN ELIZABETH HOSPITAL KING'S LYNN NHS FOUNDATION TRUST"/>
        <s v="THE ROTHERHAM NHS FOUNDATION TRUST"/>
        <s v="THE ROYAL MARSDEN NHS FOUNDATION TRUST"/>
        <s v="THE ROYAL WOLVERHAMPTON NHS TRUST"/>
        <s v="THE SHREWSBURY AND TELFORD HOSPITAL NHS TRUST"/>
        <s v="TORBAY AND SOUTH DEVON NHS FOUNDATION TRUST"/>
        <s v="UNITED LINCOLNSHIRE HOSPITALS NHS TRUST"/>
        <s v="UNIVERSITY COLLEGE LONDON HOSPITALS NHS FOUNDATION TRUST"/>
        <s v="UNIVERSITY HOSPITAL SOUTHAMPTON NHS FOUNDATION TRUST"/>
        <s v="UNIVERSITY HOSPITALS BIRMINGHAM NHS FOUNDATION TRUST"/>
        <s v="University Hospitals Bristol and Weston NHS Foundation Trust"/>
        <s v="UNIVERSITY HOSPITALS COVENTRY AND WARWICKSHIRE NHS TRUST"/>
        <s v="UNIVERSITY HOSPITALS DORSET NHS FOUNDATION TRUST"/>
        <s v="UNIVERSITY HOSPITALS OF DERBY AND BURTON NHS FOUNDATION TRUST"/>
        <s v="UNIVERSITY HOSPITALS OF LEICESTER NHS TRUST"/>
        <s v="UNIVERSITY HOSPITALS OF MORECAMBE BAY NHS FOUNDATION TRUST"/>
        <s v="UNIVERSITY HOSPITALS OF NORTH MIDLANDS NHS TRUST"/>
        <s v="UNIVERSITY HOSPITALS PLYMOUTH NHS TRUST"/>
        <s v="UNIVERSITY HOSPITALS SUSSEX NHS FOUNDATION TRUST"/>
        <s v="WALSALL HEALTHCARE NHS TRUST"/>
        <s v="WARRINGTON AND HALTON TEACHING HOSPITALS NHS FOUNDATION TRUST"/>
        <s v="WEST HERTFORDSHIRE TEACHING HOSPITALS NHS TRUST"/>
        <s v="WEST LONDON NHS TRUST"/>
        <s v="WEST SUFFOLK NHS FOUNDATION TRUST"/>
        <s v="WHITTINGTON HEALTH NHS TRUST"/>
        <s v="WIRRAL UNIVERSITY TEACHING HOSPITAL NHS FOUNDATION TRUST"/>
        <s v="WORCESTERSHIRE ACUTE HOSPITALS NHS TRUST"/>
        <s v="WRIGHTINGTON, WIGAN AND LEIGH TEACHING HOSPITALS NHS FOUNDATION TRUST"/>
        <s v="WYE VALLEY NHS TRUST"/>
        <s v="YORK AND SCARBOROUGH TEACHING HOSPITALS NHS FOUNDATION TRUST"/>
      </sharedItems>
    </cacheField>
    <cacheField name="[Ambulance - Winter Sitreps].[Week].[Week]" caption="Week" numFmtId="0" hierarchy="10" level="1">
      <sharedItems containsSemiMixedTypes="0" containsString="0" containsNumber="1" containsInteger="1" minValue="1" maxValue="8" count="8">
        <n v="1"/>
        <n v="2"/>
        <n v="3"/>
        <n v="4"/>
        <n v="5"/>
        <n v="6"/>
        <n v="7"/>
        <n v="8"/>
      </sharedItems>
    </cacheField>
    <cacheField name="[Ambulance - Winter Sitreps].[Year].[Year]" caption="Year" numFmtId="0" hierarchy="8" level="1">
      <sharedItems containsSemiMixedTypes="0" containsNonDate="0" containsString="0"/>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2" memberValueDatatype="130" unbalanced="0">
      <fieldsUsage count="2">
        <fieldUsage x="-1"/>
        <fieldUsage x="2"/>
      </fieldsUsage>
    </cacheHierarchy>
    <cacheHierarchy uniqueName="[Ambulance - Winter Sitreps].[Year]" caption="Year" attribute="1" defaultMemberUniqueName="[Ambulance - Winter Sitreps].[Year].[All]" allUniqueName="[Ambulance - Winter Sitreps].[Year].[All]" dimensionUniqueName="[Ambulance - Winter Sitreps]" displayFolder="" count="2" memberValueDatatype="130" unbalanced="0">
      <fieldsUsage count="2">
        <fieldUsage x="-1"/>
        <fieldUsage x="4"/>
      </fieldsUsage>
    </cacheHierarchy>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2" memberValueDatatype="5" unbalanced="0">
      <fieldsUsage count="2">
        <fieldUsage x="-1"/>
        <fieldUsage x="3"/>
      </fieldsUsage>
    </cacheHierarchy>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0" memberValueDatatype="130" unbalanced="0"/>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0"/>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oneField="1" hidden="1">
      <fieldsUsage count="1">
        <fieldUsage x="1"/>
      </fieldsUsage>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7.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80.536120949073" createdVersion="5" refreshedVersion="8" minRefreshableVersion="3" recordCount="0" supportSubquery="1" supportAdvancedDrill="1" xr:uid="{85E17CD0-BAEC-4F35-9898-9367F0E25442}">
  <cacheSource type="external" connectionId="3"/>
  <cacheFields count="4">
    <cacheField name="[Discharge weekly winter sitreps].[Year].[Year]" caption="Year" numFmtId="0" hierarchy="26" level="1">
      <sharedItems containsSemiMixedTypes="0" containsNonDate="0" containsString="0"/>
    </cacheField>
    <cacheField name="[Measures].[Sum of Patients who no longer meet the criteria to reside]" caption="Sum of Patients who no longer meet the criteria to reside" numFmtId="0" hierarchy="149" level="32767"/>
    <cacheField name="[Measures].[Sum of Patients remaining in hospital who no longer meet the criteria to reside]" caption="Sum of Patients remaining in hospital who no longer meet the criteria to reside" numFmtId="0" hierarchy="150" level="32767"/>
    <cacheField name="[Discharge weekly winter sitreps].[Week].[Week]" caption="Week" numFmtId="0" hierarchy="28" level="1">
      <sharedItems containsSemiMixedTypes="0" containsString="0" containsNumber="1" containsInteger="1" minValue="1" maxValue="8" count="8">
        <n v="1"/>
        <n v="2"/>
        <n v="3"/>
        <n v="4"/>
        <n v="5"/>
        <n v="6"/>
        <n v="7"/>
        <n v="8"/>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2" memberValueDatatype="130" unbalanced="0">
      <fieldsUsage count="2">
        <fieldUsage x="-1"/>
        <fieldUsage x="0"/>
      </fieldsUsage>
    </cacheHierarchy>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2" memberValueDatatype="5" unbalanced="0">
      <fieldsUsage count="2">
        <fieldUsage x="-1"/>
        <fieldUsage x="3"/>
      </fieldsUsage>
    </cacheHierarchy>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0" memberValueDatatype="130" unbalanced="0"/>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oneField="1" hidden="1">
      <fieldsUsage count="1">
        <fieldUsage x="1"/>
      </fieldsUsage>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oneField="1" hidden="1">
      <fieldsUsage count="1">
        <fieldUsage x="2"/>
      </fieldsUsage>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8.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80.53612222222" createdVersion="5" refreshedVersion="8" minRefreshableVersion="3" recordCount="0" supportSubquery="1" supportAdvancedDrill="1" xr:uid="{26425372-FF30-424B-AA1D-F3471659E320}">
  <cacheSource type="external" connectionId="3"/>
  <cacheFields count="4">
    <cacheField name="[Discharge weekly winter sitreps].[Region].[Region]" caption="Region" numFmtId="0" hierarchy="23" level="1">
      <sharedItems count="7">
        <s v="EAST OF ENGLAND"/>
        <s v="LONDON"/>
        <s v="MIDLANDS"/>
        <s v="NORTH EAST AND YORKSHIRE"/>
        <s v="NORTH WEST"/>
        <s v="SOUTH EAST"/>
        <s v="SOUTH WEST"/>
      </sharedItems>
    </cacheField>
    <cacheField name="[Discharge weekly winter sitreps].[Year].[Year]" caption="Year" numFmtId="0" hierarchy="26" level="1">
      <sharedItems containsSemiMixedTypes="0" containsNonDate="0" containsString="0"/>
    </cacheField>
    <cacheField name="[Discharge weekly winter sitreps].[Week].[Week]" caption="Week" numFmtId="0" hierarchy="28" level="1">
      <sharedItems containsSemiMixedTypes="0" containsString="0" containsNumber="1" containsInteger="1" minValue="1" maxValue="8" count="8">
        <n v="1"/>
        <n v="2"/>
        <n v="3"/>
        <n v="4"/>
        <n v="5"/>
        <n v="6"/>
        <n v="7"/>
        <n v="8"/>
      </sharedItems>
    </cacheField>
    <cacheField name="[Measures].[Sum of Patients who no longer meet the criteria to reside]" caption="Sum of Patients who no longer meet the criteria to reside" numFmtId="0" hierarchy="149"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2" memberValueDatatype="130" unbalanced="0">
      <fieldsUsage count="2">
        <fieldUsage x="-1"/>
        <fieldUsage x="0"/>
      </fieldsUsage>
    </cacheHierarchy>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2" memberValueDatatype="130" unbalanced="0">
      <fieldsUsage count="2">
        <fieldUsage x="-1"/>
        <fieldUsage x="1"/>
      </fieldsUsage>
    </cacheHierarchy>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2" memberValueDatatype="5" unbalanced="0">
      <fieldsUsage count="2">
        <fieldUsage x="-1"/>
        <fieldUsage x="2"/>
      </fieldsUsage>
    </cacheHierarchy>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0" memberValueDatatype="130" unbalanced="0"/>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oneField="1" hidden="1">
      <fieldsUsage count="1">
        <fieldUsage x="3"/>
      </fieldsUsage>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9.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80.536123726852" createdVersion="7" refreshedVersion="8" minRefreshableVersion="3" recordCount="0" supportSubquery="1" supportAdvancedDrill="1" xr:uid="{5631209F-BCA7-4077-B2F1-E22B0E3ECC79}">
  <cacheSource type="external" connectionId="3"/>
  <cacheFields count="5">
    <cacheField name="[Discharge weekly winter sitreps].[Week].[Week]" caption="Week" numFmtId="0" hierarchy="28" level="1">
      <sharedItems containsSemiMixedTypes="0" containsString="0" containsNumber="1" containsInteger="1" minValue="1" maxValue="8" count="8">
        <n v="1"/>
        <n v="2"/>
        <n v="3"/>
        <n v="4"/>
        <n v="5"/>
        <n v="6"/>
        <n v="7"/>
        <n v="8"/>
      </sharedItems>
    </cacheField>
    <cacheField name="[Discharge weekly winter sitreps].[Year].[Year]" caption="Year" numFmtId="0" hierarchy="26" level="1">
      <sharedItems containsSemiMixedTypes="0" containsNonDate="0" containsString="0"/>
    </cacheField>
    <cacheField name="[Measures].[Average of Patients who no longer meet the criteria to reside]" caption="Average of Patients who no longer meet the criteria to reside" numFmtId="0" hierarchy="151" level="32767"/>
    <cacheField name="[Measures].[Average of Patients remaining in hospital who no longer meet the criteria to reside]" caption="Average of Patients remaining in hospital who no longer meet the criteria to reside" numFmtId="0" hierarchy="152" level="32767"/>
    <cacheField name="[Discharge weekly winter sitreps].[Region].[Region]" caption="Region" numFmtId="0" hierarchy="23" level="1">
      <sharedItems count="7">
        <s v="EAST OF ENGLAND"/>
        <s v="LONDON"/>
        <s v="MIDLANDS"/>
        <s v="NORTH EAST AND YORKSHIRE"/>
        <s v="NORTH WEST"/>
        <s v="SOUTH EAST"/>
        <s v="SOUTH WEST"/>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2" memberValueDatatype="130" unbalanced="0">
      <fieldsUsage count="2">
        <fieldUsage x="-1"/>
        <fieldUsage x="4"/>
      </fieldsUsage>
    </cacheHierarchy>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2" memberValueDatatype="130" unbalanced="0">
      <fieldsUsage count="2">
        <fieldUsage x="-1"/>
        <fieldUsage x="1"/>
      </fieldsUsage>
    </cacheHierarchy>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2" memberValueDatatype="5" unbalanced="0">
      <fieldsUsage count="2">
        <fieldUsage x="-1"/>
        <fieldUsage x="0"/>
      </fieldsUsage>
    </cacheHierarchy>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0" memberValueDatatype="130" unbalanced="0"/>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oneField="1" hidden="1">
      <fieldsUsage count="1">
        <fieldUsage x="2"/>
      </fieldsUsage>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oneField="1" hidden="1">
      <fieldsUsage count="1">
        <fieldUsage x="3"/>
      </fieldsUsage>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0.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80.536125231483" createdVersion="5" refreshedVersion="8" minRefreshableVersion="3" recordCount="0" supportSubquery="1" supportAdvancedDrill="1" xr:uid="{388C1DD2-58CF-4A02-88D4-017A91A2670E}">
  <cacheSource type="external" connectionId="3"/>
  <cacheFields count="4">
    <cacheField name="[Measures].[Sum of Patients remaining in hospital who no longer meet the criteria to reside]" caption="Sum of Patients remaining in hospital who no longer meet the criteria to reside" numFmtId="0" hierarchy="150" level="32767"/>
    <cacheField name="[Discharge weekly winter sitreps].[Week].[Week]" caption="Week" numFmtId="0" hierarchy="28" level="1">
      <sharedItems containsSemiMixedTypes="0" containsString="0" containsNumber="1" containsInteger="1" minValue="1" maxValue="8" count="8">
        <n v="1"/>
        <n v="2"/>
        <n v="3"/>
        <n v="4"/>
        <n v="5"/>
        <n v="6"/>
        <n v="7"/>
        <n v="8"/>
      </sharedItems>
    </cacheField>
    <cacheField name="[Discharge weekly winter sitreps].[Year].[Year]" caption="Year" numFmtId="0" hierarchy="26" level="1">
      <sharedItems containsSemiMixedTypes="0" containsNonDate="0" containsString="0"/>
    </cacheField>
    <cacheField name="[Discharge weekly winter sitreps].[Region].[Region]" caption="Region" numFmtId="0" hierarchy="23" level="1">
      <sharedItems count="7">
        <s v="EAST OF ENGLAND"/>
        <s v="LONDON"/>
        <s v="MIDLANDS"/>
        <s v="NORTH EAST AND YORKSHIRE"/>
        <s v="NORTH WEST"/>
        <s v="SOUTH EAST"/>
        <s v="SOUTH WEST"/>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2" memberValueDatatype="130" unbalanced="0">
      <fieldsUsage count="2">
        <fieldUsage x="-1"/>
        <fieldUsage x="3"/>
      </fieldsUsage>
    </cacheHierarchy>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2" memberValueDatatype="130" unbalanced="0">
      <fieldsUsage count="2">
        <fieldUsage x="-1"/>
        <fieldUsage x="2"/>
      </fieldsUsage>
    </cacheHierarchy>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2" memberValueDatatype="5" unbalanced="0">
      <fieldsUsage count="2">
        <fieldUsage x="-1"/>
        <fieldUsage x="1"/>
      </fieldsUsage>
    </cacheHierarchy>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0" memberValueDatatype="130" unbalanced="0"/>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oneField="1" hidden="1">
      <fieldsUsage count="1">
        <fieldUsage x="0"/>
      </fieldsUsage>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80.536126736108" createdVersion="5" refreshedVersion="8" minRefreshableVersion="3" recordCount="0" supportSubquery="1" supportAdvancedDrill="1" xr:uid="{6BB3C899-A674-44D4-96EC-52728890267B}">
  <cacheSource type="external" connectionId="3"/>
  <cacheFields count="4">
    <cacheField name="[Winter daily sitreps].[Year].[Year]" caption="Year" numFmtId="0" hierarchy="95" level="1">
      <sharedItems containsSemiMixedTypes="0" containsNonDate="0" containsString="0"/>
    </cacheField>
    <cacheField name="[Winter daily sitreps].[Region].[Region]" caption="Region" numFmtId="0" hierarchy="94" level="1">
      <sharedItems count="7">
        <s v="East Of England"/>
        <s v="London"/>
        <s v="Midlands"/>
        <s v="North East and Yorkshire"/>
        <s v="North West"/>
        <s v="South East"/>
        <s v="South West"/>
      </sharedItems>
    </cacheField>
    <cacheField name="[Winter daily sitreps].[Week long].[Week long]" caption="Week long" numFmtId="0" hierarchy="101" level="1">
      <sharedItems count="8">
        <s v="Week 1"/>
        <s v="Week 2"/>
        <s v="Week 3"/>
        <s v="Week 4"/>
        <s v="Week 5"/>
        <s v="Week 6"/>
        <s v="Week 7"/>
        <s v="Week 8"/>
      </sharedItems>
    </cacheField>
    <cacheField name="[Measures].[Sum of Paeds RSV beds closed unocc]" caption="Sum of Paeds RSV beds closed unocc" numFmtId="0" hierarchy="143"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1"/>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2"/>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oneField="1" hidden="1">
      <fieldsUsage count="1">
        <fieldUsage x="3"/>
      </fieldsUsage>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80.536128125001" createdVersion="5" refreshedVersion="8" minRefreshableVersion="3" recordCount="0" supportSubquery="1" supportAdvancedDrill="1" xr:uid="{8D5AD63E-DB11-4164-96F5-129A6EF51C3A}">
  <cacheSource type="external" connectionId="3"/>
  <cacheFields count="4">
    <cacheField name="[Winter daily sitreps].[Year].[Year]" caption="Year" numFmtId="0" hierarchy="95" level="1">
      <sharedItems containsSemiMixedTypes="0" containsNonDate="0" containsString="0"/>
    </cacheField>
    <cacheField name="[Winter daily sitreps].[Region].[Region]" caption="Region" numFmtId="0" hierarchy="94" level="1">
      <sharedItems count="7">
        <s v="East Of England"/>
        <s v="London"/>
        <s v="Midlands"/>
        <s v="North East and Yorkshire"/>
        <s v="North West"/>
        <s v="South East"/>
        <s v="South West"/>
      </sharedItems>
    </cacheField>
    <cacheField name="[Winter daily sitreps].[Week long].[Week long]" caption="Week long" numFmtId="0" hierarchy="101" level="1">
      <sharedItems count="8">
        <s v="Week 1"/>
        <s v="Week 2"/>
        <s v="Week 3"/>
        <s v="Week 4"/>
        <s v="Week 5"/>
        <s v="Week 6"/>
        <s v="Week 7"/>
        <s v="Week 8"/>
      </sharedItems>
    </cacheField>
    <cacheField name="[Measures].[Sum of Paeds RSV beds closed]" caption="Sum of Paeds RSV beds closed" numFmtId="0" hierarchy="142"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1"/>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2"/>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oneField="1" hidden="1">
      <fieldsUsage count="1">
        <fieldUsage x="3"/>
      </fieldsUsage>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80.536129398148" createdVersion="5" refreshedVersion="8" minRefreshableVersion="3" recordCount="0" supportSubquery="1" supportAdvancedDrill="1" xr:uid="{D312A0B4-244D-4A7F-B165-2D36946D4320}">
  <cacheSource type="external" connectionId="3"/>
  <cacheFields count="4">
    <cacheField name="[Winter daily sitreps].[Year].[Year]" caption="Year" numFmtId="0" hierarchy="95" level="1">
      <sharedItems containsSemiMixedTypes="0" containsNonDate="0" containsString="0"/>
    </cacheField>
    <cacheField name="[Winter daily sitreps].[Week].[Week]" caption="Week" numFmtId="0" hierarchy="70" level="1">
      <sharedItems containsSemiMixedTypes="0" containsString="0" containsNumber="1" containsInteger="1" minValue="1" maxValue="8" count="8">
        <n v="1"/>
        <n v="2"/>
        <n v="3"/>
        <n v="4"/>
        <n v="5"/>
        <n v="6"/>
        <n v="7"/>
        <n v="8"/>
      </sharedItems>
    </cacheField>
    <cacheField name="[Measures].[Sum of Paeds RSV beds closed]" caption="Sum of Paeds RSV beds closed" numFmtId="0" hierarchy="142" level="32767"/>
    <cacheField name="[Measures].[Sum of Paeds RSV beds closed unocc]" caption="Sum of Paeds RSV beds closed unocc" numFmtId="0" hierarchy="143"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oneField="1" hidden="1">
      <fieldsUsage count="1">
        <fieldUsage x="2"/>
      </fieldsUsage>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oneField="1" hidden="1">
      <fieldsUsage count="1">
        <fieldUsage x="3"/>
      </fieldsUsage>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4.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80.536130671295" createdVersion="5" refreshedVersion="8" minRefreshableVersion="3" recordCount="0" supportSubquery="1" supportAdvancedDrill="1" xr:uid="{0EF345A1-6D8E-41F9-BB3C-9E4DFF19680E}">
  <cacheSource type="external" connectionId="3"/>
  <cacheFields count="4">
    <cacheField name="[Winter daily sitreps].[Year].[Year]" caption="Year" numFmtId="0" hierarchy="95" level="1">
      <sharedItems containsSemiMixedTypes="0" containsNonDate="0" containsString="0"/>
    </cacheField>
    <cacheField name="[Winter daily sitreps].[Region].[Region]" caption="Region" numFmtId="0" hierarchy="94" level="1">
      <sharedItems count="7">
        <s v="East Of England"/>
        <s v="London"/>
        <s v="Midlands"/>
        <s v="North East and Yorkshire"/>
        <s v="North West"/>
        <s v="South East"/>
        <s v="South West"/>
      </sharedItems>
    </cacheField>
    <cacheField name="[Winter daily sitreps].[Week long].[Week long]" caption="Week long" numFmtId="0" hierarchy="101" level="1">
      <sharedItems count="8">
        <s v="Week 1"/>
        <s v="Week 2"/>
        <s v="Week 3"/>
        <s v="Week 4"/>
        <s v="Week 5"/>
        <s v="Week 6"/>
        <s v="Week 7"/>
        <s v="Week 8"/>
      </sharedItems>
    </cacheField>
    <cacheField name="[Measures].[Sum of CC flu beds]" caption="Sum of CC flu beds" numFmtId="0" hierarchy="141"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1"/>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2"/>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oneField="1" hidden="1">
      <fieldsUsage count="1">
        <fieldUsage x="3"/>
      </fieldsUsage>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5.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80.536131944442" createdVersion="5" refreshedVersion="8" minRefreshableVersion="3" recordCount="0" supportSubquery="1" supportAdvancedDrill="1" xr:uid="{680C449C-7CBE-4D7D-AC61-2CDE75BA7464}">
  <cacheSource type="external" connectionId="3"/>
  <cacheFields count="4">
    <cacheField name="[Winter daily sitreps].[Year].[Year]" caption="Year" numFmtId="0" hierarchy="95" level="1">
      <sharedItems containsSemiMixedTypes="0" containsNonDate="0" containsString="0"/>
    </cacheField>
    <cacheField name="[Winter daily sitreps].[Region].[Region]" caption="Region" numFmtId="0" hierarchy="94" level="1">
      <sharedItems count="7">
        <s v="East Of England"/>
        <s v="London"/>
        <s v="Midlands"/>
        <s v="North East and Yorkshire"/>
        <s v="North West"/>
        <s v="South East"/>
        <s v="South West"/>
      </sharedItems>
    </cacheField>
    <cacheField name="[Measures].[Sum of GA flu beds]" caption="Sum of GA flu beds" numFmtId="0" hierarchy="140" level="32767"/>
    <cacheField name="[Winter daily sitreps].[Week long].[Week long]" caption="Week long" numFmtId="0" hierarchy="101" level="1">
      <sharedItems count="8">
        <s v="Week 1"/>
        <s v="Week 2"/>
        <s v="Week 3"/>
        <s v="Week 4"/>
        <s v="Week 5"/>
        <s v="Week 6"/>
        <s v="Week 7"/>
        <s v="Week 8"/>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1"/>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3"/>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oneField="1" hidden="1">
      <fieldsUsage count="1">
        <fieldUsage x="2"/>
      </fieldsUsage>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6.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80.53613310185" createdVersion="5" refreshedVersion="8" minRefreshableVersion="3" recordCount="0" supportSubquery="1" supportAdvancedDrill="1" xr:uid="{54C9016F-B873-49B3-BBBF-6F4487869814}">
  <cacheSource type="external" connectionId="3"/>
  <cacheFields count="4">
    <cacheField name="[Winter daily sitreps].[Year].[Year]" caption="Year" numFmtId="0" hierarchy="95" level="1">
      <sharedItems containsSemiMixedTypes="0" containsNonDate="0" containsString="0"/>
    </cacheField>
    <cacheField name="[Winter daily sitreps].[Week].[Week]" caption="Week" numFmtId="0" hierarchy="70" level="1">
      <sharedItems containsSemiMixedTypes="0" containsString="0" containsNumber="1" containsInteger="1" minValue="1" maxValue="8" count="8">
        <n v="1"/>
        <n v="2"/>
        <n v="3"/>
        <n v="4"/>
        <n v="5"/>
        <n v="6"/>
        <n v="7"/>
        <n v="8"/>
      </sharedItems>
    </cacheField>
    <cacheField name="[Measures].[Sum of GA flu beds]" caption="Sum of GA flu beds" numFmtId="0" hierarchy="140" level="32767"/>
    <cacheField name="[Measures].[Sum of CC flu beds]" caption="Sum of CC flu beds" numFmtId="0" hierarchy="141"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oneField="1" hidden="1">
      <fieldsUsage count="1">
        <fieldUsage x="2"/>
      </fieldsUsage>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oneField="1" hidden="1">
      <fieldsUsage count="1">
        <fieldUsage x="3"/>
      </fieldsUsage>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7.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80.536134374997" createdVersion="4" refreshedVersion="8" minRefreshableVersion="3" recordCount="0" supportSubquery="1" supportAdvancedDrill="1" xr:uid="{00000000-000A-0000-FFFF-FFFF0E010000}">
  <cacheSource type="external" connectionId="3"/>
  <cacheFields count="5">
    <cacheField name="[Winter daily sitreps].[Year].[Year]" caption="Year" numFmtId="0" hierarchy="95" level="1">
      <sharedItems containsSemiMixedTypes="0" containsNonDate="0" containsString="0"/>
    </cacheField>
    <cacheField name="[Winter daily sitreps].[Week long].[Week long]" caption="Week long" numFmtId="0" hierarchy="101" level="1">
      <sharedItems count="8">
        <s v="Week 1"/>
        <s v="Week 2"/>
        <s v="Week 3"/>
        <s v="Week 4"/>
        <s v="Week 5"/>
        <s v="Week 6"/>
        <s v="Week 7"/>
        <s v="Week 8"/>
      </sharedItems>
    </cacheField>
    <cacheField name="[Winter daily sitreps].[Region].[Region]" caption="Region" numFmtId="0" hierarchy="94" level="1">
      <sharedItems count="7">
        <s v="East Of England"/>
        <s v="London"/>
        <s v="Midlands"/>
        <s v="North East and Yorkshire"/>
        <s v="North West"/>
        <s v="South East"/>
        <s v="South West"/>
      </sharedItems>
    </cacheField>
    <cacheField name="[Measures].[Sum of Neo Int Care Avail]" caption="Sum of Neo Int Care Avail" numFmtId="0" hierarchy="130" level="32767"/>
    <cacheField name="[Measures].[Sum of Neo Int Care occ]" caption="Sum of Neo Int Care occ" numFmtId="0" hierarchy="131"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2"/>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1"/>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oneField="1" hidden="1">
      <fieldsUsage count="1">
        <fieldUsage x="3"/>
      </fieldsUsage>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oneField="1" hidden="1">
      <fieldsUsage count="1">
        <fieldUsage x="4"/>
      </fieldsUsage>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8.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80.53613576389" createdVersion="4" refreshedVersion="8" minRefreshableVersion="3" recordCount="0" supportSubquery="1" supportAdvancedDrill="1" xr:uid="{00000000-000A-0000-FFFF-FFFF24010000}">
  <cacheSource type="external" connectionId="3"/>
  <cacheFields count="4">
    <cacheField name="[Winter daily sitreps].[Year].[Year]" caption="Year" numFmtId="0" hierarchy="95" level="1">
      <sharedItems containsSemiMixedTypes="0" containsNonDate="0" containsString="0"/>
    </cacheField>
    <cacheField name="[Winter daily sitreps].[Week].[Week]" caption="Week" numFmtId="0" hierarchy="70" level="1">
      <sharedItems containsSemiMixedTypes="0" containsString="0" containsNumber="1" containsInteger="1" minValue="1" maxValue="8" count="8">
        <n v="1"/>
        <n v="2"/>
        <n v="3"/>
        <n v="4"/>
        <n v="5"/>
        <n v="6"/>
        <n v="7"/>
        <n v="8"/>
      </sharedItems>
    </cacheField>
    <cacheField name="[Measures].[Sum of Neo Int Care Avail]" caption="Sum of Neo Int Care Avail" numFmtId="0" hierarchy="130" level="32767"/>
    <cacheField name="[Measures].[Sum of Neo Int Care occ]" caption="Sum of Neo Int Care occ" numFmtId="0" hierarchy="131"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oneField="1" hidden="1">
      <fieldsUsage count="1">
        <fieldUsage x="2"/>
      </fieldsUsage>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oneField="1" hidden="1">
      <fieldsUsage count="1">
        <fieldUsage x="3"/>
      </fieldsUsage>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9.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80.536137037037" createdVersion="4" refreshedVersion="8" minRefreshableVersion="3" recordCount="0" supportSubquery="1" supportAdvancedDrill="1" xr:uid="{00000000-000A-0000-FFFF-FFFF0D010000}">
  <cacheSource type="external" connectionId="3"/>
  <cacheFields count="5">
    <cacheField name="[Winter daily sitreps].[Year].[Year]" caption="Year" numFmtId="0" hierarchy="95" level="1">
      <sharedItems containsSemiMixedTypes="0" containsString="0"/>
    </cacheField>
    <cacheField name="[Winter daily sitreps].[Week long].[Week long]" caption="Week long" numFmtId="0" hierarchy="101" level="1">
      <sharedItems count="8">
        <s v="Week 1"/>
        <s v="Week 2"/>
        <s v="Week 3"/>
        <s v="Week 4"/>
        <s v="Week 5"/>
        <s v="Week 6"/>
        <s v="Week 7"/>
        <s v="Week 8"/>
      </sharedItems>
    </cacheField>
    <cacheField name="[Winter daily sitreps].[Region].[Region]" caption="Region" numFmtId="0" hierarchy="94" level="1">
      <sharedItems count="7">
        <s v="East Of England"/>
        <s v="London"/>
        <s v="Midlands"/>
        <s v="North East and Yorkshire"/>
        <s v="North West"/>
        <s v="South East"/>
        <s v="South West"/>
      </sharedItems>
    </cacheField>
    <cacheField name="[Measures].[Sum of Neo Int Care Avail]" caption="Sum of Neo Int Care Avail" numFmtId="0" hierarchy="130" level="32767"/>
    <cacheField name="[Measures].[Sum of Neo Int Care occ]" caption="Sum of Neo Int Care occ" numFmtId="0" hierarchy="131"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2"/>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1"/>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oneField="1" hidden="1">
      <fieldsUsage count="1">
        <fieldUsage x="3"/>
      </fieldsUsage>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oneField="1" hidden="1">
      <fieldsUsage count="1">
        <fieldUsage x="4"/>
      </fieldsUsage>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0.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80.536138541669" createdVersion="4" refreshedVersion="8" minRefreshableVersion="3" recordCount="0" supportSubquery="1" supportAdvancedDrill="1" xr:uid="{00000000-000A-0000-FFFF-FFFF23010000}">
  <cacheSource type="external" connectionId="3"/>
  <cacheFields count="4">
    <cacheField name="[Winter daily sitreps].[Year].[Year]" caption="Year" numFmtId="0" hierarchy="95" level="1">
      <sharedItems containsSemiMixedTypes="0" containsNonDate="0" containsString="0"/>
    </cacheField>
    <cacheField name="[Winter daily sitreps].[Week].[Week]" caption="Week" numFmtId="0" hierarchy="70" level="1">
      <sharedItems containsSemiMixedTypes="0" containsString="0" containsNumber="1" containsInteger="1" minValue="1" maxValue="8" count="8">
        <n v="1"/>
        <n v="2"/>
        <n v="3"/>
        <n v="4"/>
        <n v="5"/>
        <n v="6"/>
        <n v="7"/>
        <n v="8"/>
      </sharedItems>
    </cacheField>
    <cacheField name="[Measures].[Sum of Neo Int Care Avail]" caption="Sum of Neo Int Care Avail" numFmtId="0" hierarchy="130" level="32767"/>
    <cacheField name="[Measures].[Sum of Neo Int Care occ]" caption="Sum of Neo Int Care occ" numFmtId="0" hierarchy="131"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oneField="1" hidden="1">
      <fieldsUsage count="1">
        <fieldUsage x="2"/>
      </fieldsUsage>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oneField="1" hidden="1">
      <fieldsUsage count="1">
        <fieldUsage x="3"/>
      </fieldsUsage>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80.536140046293" createdVersion="4" refreshedVersion="8" minRefreshableVersion="3" recordCount="0" supportSubquery="1" supportAdvancedDrill="1" xr:uid="{00000000-000A-0000-FFFF-FFFF0A010000}">
  <cacheSource type="external" connectionId="3"/>
  <cacheFields count="5">
    <cacheField name="[Winter daily sitreps].[Year].[Year]" caption="Year" numFmtId="0" hierarchy="95" level="1">
      <sharedItems containsSemiMixedTypes="0" containsNonDate="0" containsString="0"/>
    </cacheField>
    <cacheField name="[Measures].[Sum of Adult CC beds avail]" caption="Sum of Adult CC beds avail" numFmtId="0" hierarchy="126" level="32767"/>
    <cacheField name="[Measures].[Sum of Adult CC beds occ]" caption="Sum of Adult CC beds occ" numFmtId="0" hierarchy="127" level="32767"/>
    <cacheField name="[Winter daily sitreps].[Week long].[Week long]" caption="Week long" numFmtId="0" hierarchy="101" level="1">
      <sharedItems count="8">
        <s v="Week 1"/>
        <s v="Week 2"/>
        <s v="Week 3"/>
        <s v="Week 4"/>
        <s v="Week 5"/>
        <s v="Week 6"/>
        <s v="Week 7"/>
        <s v="Week 8"/>
      </sharedItems>
    </cacheField>
    <cacheField name="[Winter daily sitreps].[Region].[Region]" caption="Region" numFmtId="0" hierarchy="94" level="1">
      <sharedItems count="7">
        <s v="East Of England"/>
        <s v="London"/>
        <s v="Midlands"/>
        <s v="North East and Yorkshire"/>
        <s v="North West"/>
        <s v="South East"/>
        <s v="South West"/>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4"/>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3"/>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oneField="1" hidden="1">
      <fieldsUsage count="1">
        <fieldUsage x="1"/>
      </fieldsUsage>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oneField="1" hidden="1">
      <fieldsUsage count="1">
        <fieldUsage x="2"/>
      </fieldsUsage>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80.536141319448" createdVersion="4" refreshedVersion="8" minRefreshableVersion="3" recordCount="0" supportSubquery="1" supportAdvancedDrill="1" xr:uid="{00000000-000A-0000-FFFF-FFFF20010000}">
  <cacheSource type="external" connectionId="3"/>
  <cacheFields count="4">
    <cacheField name="[Winter daily sitreps].[Year].[Year]" caption="Year" numFmtId="0" hierarchy="95" level="1">
      <sharedItems containsSemiMixedTypes="0" containsNonDate="0" containsString="0"/>
    </cacheField>
    <cacheField name="[Winter daily sitreps].[Week].[Week]" caption="Week" numFmtId="0" hierarchy="70" level="1">
      <sharedItems containsSemiMixedTypes="0" containsString="0" containsNumber="1" containsInteger="1" minValue="1" maxValue="8" count="8">
        <n v="1"/>
        <n v="2"/>
        <n v="3"/>
        <n v="4"/>
        <n v="5"/>
        <n v="6"/>
        <n v="7"/>
        <n v="8"/>
      </sharedItems>
    </cacheField>
    <cacheField name="[Measures].[Sum of Adult CC beds avail]" caption="Sum of Adult CC beds avail" numFmtId="0" hierarchy="126" level="32767"/>
    <cacheField name="[Measures].[Sum of Adult CC beds occ]" caption="Sum of Adult CC beds occ" numFmtId="0" hierarchy="127"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oneField="1" hidden="1">
      <fieldsUsage count="1">
        <fieldUsage x="2"/>
      </fieldsUsage>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oneField="1" hidden="1">
      <fieldsUsage count="1">
        <fieldUsage x="3"/>
      </fieldsUsage>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80.536142592595" createdVersion="4" refreshedVersion="8" minRefreshableVersion="3" recordCount="0" supportSubquery="1" supportAdvancedDrill="1" xr:uid="{00000000-000A-0000-FFFF-FFFF09010000}">
  <cacheSource type="external" connectionId="3"/>
  <cacheFields count="5">
    <cacheField name="[Winter daily sitreps].[Year].[Year]" caption="Year" numFmtId="0" hierarchy="95" level="1">
      <sharedItems containsSemiMixedTypes="0" containsString="0"/>
    </cacheField>
    <cacheField name="[Measures].[Sum of Adult CC beds avail]" caption="Sum of Adult CC beds avail" numFmtId="0" hierarchy="126" level="32767"/>
    <cacheField name="[Measures].[Sum of Adult CC beds occ]" caption="Sum of Adult CC beds occ" numFmtId="0" hierarchy="127" level="32767"/>
    <cacheField name="[Winter daily sitreps].[Week long].[Week long]" caption="Week long" numFmtId="0" hierarchy="101" level="1">
      <sharedItems count="8">
        <s v="Week 1"/>
        <s v="Week 2"/>
        <s v="Week 3"/>
        <s v="Week 4"/>
        <s v="Week 5"/>
        <s v="Week 6"/>
        <s v="Week 7"/>
        <s v="Week 8"/>
      </sharedItems>
    </cacheField>
    <cacheField name="[Winter daily sitreps].[Region].[Region]" caption="Region" numFmtId="0" hierarchy="94" level="1">
      <sharedItems count="7">
        <s v="East Of England"/>
        <s v="London"/>
        <s v="Midlands"/>
        <s v="North East and Yorkshire"/>
        <s v="North West"/>
        <s v="South East"/>
        <s v="South West"/>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4"/>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3"/>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oneField="1" hidden="1">
      <fieldsUsage count="1">
        <fieldUsage x="1"/>
      </fieldsUsage>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oneField="1" hidden="1">
      <fieldsUsage count="1">
        <fieldUsage x="2"/>
      </fieldsUsage>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4.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80.536143865742" createdVersion="4" refreshedVersion="8" minRefreshableVersion="3" recordCount="0" supportSubquery="1" supportAdvancedDrill="1" xr:uid="{00000000-000A-0000-FFFF-FFFF1F010000}">
  <cacheSource type="external" connectionId="3"/>
  <cacheFields count="4">
    <cacheField name="[Winter daily sitreps].[Year].[Year]" caption="Year" numFmtId="0" hierarchy="95" level="1">
      <sharedItems containsSemiMixedTypes="0" containsNonDate="0" containsString="0"/>
    </cacheField>
    <cacheField name="[Winter daily sitreps].[Week].[Week]" caption="Week" numFmtId="0" hierarchy="70" level="1">
      <sharedItems containsSemiMixedTypes="0" containsString="0" containsNumber="1" containsInteger="1" minValue="1" maxValue="8" count="8">
        <n v="1"/>
        <n v="2"/>
        <n v="3"/>
        <n v="4"/>
        <n v="5"/>
        <n v="6"/>
        <n v="7"/>
        <n v="8"/>
      </sharedItems>
    </cacheField>
    <cacheField name="[Measures].[Sum of Adult CC beds avail]" caption="Sum of Adult CC beds avail" numFmtId="0" hierarchy="126" level="32767"/>
    <cacheField name="[Measures].[Sum of Adult CC beds occ]" caption="Sum of Adult CC beds occ" numFmtId="0" hierarchy="127"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oneField="1" hidden="1">
      <fieldsUsage count="1">
        <fieldUsage x="2"/>
      </fieldsUsage>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oneField="1" hidden="1">
      <fieldsUsage count="1">
        <fieldUsage x="3"/>
      </fieldsUsage>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5.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80.536145486112" createdVersion="4" refreshedVersion="8" minRefreshableVersion="3" recordCount="0" supportSubquery="1" supportAdvancedDrill="1" xr:uid="{00000000-000A-0000-FFFF-FFFF0C010000}">
  <cacheSource type="external" connectionId="3"/>
  <cacheFields count="5">
    <cacheField name="[Winter daily sitreps].[Year].[Year]" caption="Year" numFmtId="0" hierarchy="95" level="1">
      <sharedItems containsSemiMixedTypes="0" containsNonDate="0" containsString="0"/>
    </cacheField>
    <cacheField name="[Winter daily sitreps].[Week long].[Week long]" caption="Week long" numFmtId="0" hierarchy="101" level="1">
      <sharedItems count="8">
        <s v="Week 1"/>
        <s v="Week 2"/>
        <s v="Week 3"/>
        <s v="Week 4"/>
        <s v="Week 5"/>
        <s v="Week 6"/>
        <s v="Week 7"/>
        <s v="Week 8"/>
      </sharedItems>
    </cacheField>
    <cacheField name="[Winter daily sitreps].[Region].[Region]" caption="Region" numFmtId="0" hierarchy="94" level="1">
      <sharedItems count="7">
        <s v="East Of England"/>
        <s v="London"/>
        <s v="Midlands"/>
        <s v="North East and Yorkshire"/>
        <s v="North West"/>
        <s v="South East"/>
        <s v="South West"/>
      </sharedItems>
    </cacheField>
    <cacheField name="[Measures].[Sum of Paed Int Care Avail]" caption="Sum of Paed Int Care Avail" numFmtId="0" hierarchy="128" level="32767"/>
    <cacheField name="[Measures].[Sum of Paed Int Care Occ]" caption="Sum of Paed Int Care Occ" numFmtId="0" hierarchy="129"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2"/>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1"/>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oneField="1" hidden="1">
      <fieldsUsage count="1">
        <fieldUsage x="3"/>
      </fieldsUsage>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oneField="1" hidden="1">
      <fieldsUsage count="1">
        <fieldUsage x="4"/>
      </fieldsUsage>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6.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80.536146759259" createdVersion="4" refreshedVersion="8" minRefreshableVersion="3" recordCount="0" supportSubquery="1" supportAdvancedDrill="1" xr:uid="{00000000-000A-0000-FFFF-FFFF22010000}">
  <cacheSource type="external" connectionId="3"/>
  <cacheFields count="4">
    <cacheField name="[Winter daily sitreps].[Year].[Year]" caption="Year" numFmtId="0" hierarchy="95" level="1">
      <sharedItems containsSemiMixedTypes="0" containsNonDate="0" containsString="0"/>
    </cacheField>
    <cacheField name="[Winter daily sitreps].[Week].[Week]" caption="Week" numFmtId="0" hierarchy="70" level="1">
      <sharedItems containsSemiMixedTypes="0" containsString="0" containsNumber="1" containsInteger="1" minValue="1" maxValue="8" count="8">
        <n v="1"/>
        <n v="2"/>
        <n v="3"/>
        <n v="4"/>
        <n v="5"/>
        <n v="6"/>
        <n v="7"/>
        <n v="8"/>
      </sharedItems>
    </cacheField>
    <cacheField name="[Measures].[Sum of Paed Int Care Avail]" caption="Sum of Paed Int Care Avail" numFmtId="0" hierarchy="128" level="32767"/>
    <cacheField name="[Measures].[Sum of Paed Int Care Occ]" caption="Sum of Paed Int Care Occ" numFmtId="0" hierarchy="129"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oneField="1" hidden="1">
      <fieldsUsage count="1">
        <fieldUsage x="2"/>
      </fieldsUsage>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oneField="1" hidden="1">
      <fieldsUsage count="1">
        <fieldUsage x="3"/>
      </fieldsUsage>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7.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80.536148032406" createdVersion="4" refreshedVersion="8" minRefreshableVersion="3" recordCount="0" supportSubquery="1" supportAdvancedDrill="1" xr:uid="{00000000-000A-0000-FFFF-FFFF0B010000}">
  <cacheSource type="external" connectionId="3"/>
  <cacheFields count="5">
    <cacheField name="[Winter daily sitreps].[Year].[Year]" caption="Year" numFmtId="0" hierarchy="95" level="1">
      <sharedItems containsSemiMixedTypes="0" containsString="0"/>
    </cacheField>
    <cacheField name="[Winter daily sitreps].[Week long].[Week long]" caption="Week long" numFmtId="0" hierarchy="101" level="1">
      <sharedItems count="8">
        <s v="Week 1"/>
        <s v="Week 2"/>
        <s v="Week 3"/>
        <s v="Week 4"/>
        <s v="Week 5"/>
        <s v="Week 6"/>
        <s v="Week 7"/>
        <s v="Week 8"/>
      </sharedItems>
    </cacheField>
    <cacheField name="[Winter daily sitreps].[Region].[Region]" caption="Region" numFmtId="0" hierarchy="94" level="1">
      <sharedItems count="7">
        <s v="East Of England"/>
        <s v="London"/>
        <s v="Midlands"/>
        <s v="North East and Yorkshire"/>
        <s v="North West"/>
        <s v="South East"/>
        <s v="South West"/>
      </sharedItems>
    </cacheField>
    <cacheField name="[Measures].[Sum of Paed Int Care Avail]" caption="Sum of Paed Int Care Avail" numFmtId="0" hierarchy="128" level="32767"/>
    <cacheField name="[Measures].[Sum of Paed Int Care Occ]" caption="Sum of Paed Int Care Occ" numFmtId="0" hierarchy="129"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2"/>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1"/>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oneField="1" hidden="1">
      <fieldsUsage count="1">
        <fieldUsage x="3"/>
      </fieldsUsage>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oneField="1" hidden="1">
      <fieldsUsage count="1">
        <fieldUsage x="4"/>
      </fieldsUsage>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8.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80.536149537038" createdVersion="4" refreshedVersion="8" minRefreshableVersion="3" recordCount="0" supportSubquery="1" supportAdvancedDrill="1" xr:uid="{00000000-000A-0000-FFFF-FFFF21010000}">
  <cacheSource type="external" connectionId="3"/>
  <cacheFields count="4">
    <cacheField name="[Winter daily sitreps].[Year].[Year]" caption="Year" numFmtId="0" hierarchy="95" level="1">
      <sharedItems containsSemiMixedTypes="0" containsNonDate="0" containsString="0"/>
    </cacheField>
    <cacheField name="[Winter daily sitreps].[Week].[Week]" caption="Week" numFmtId="0" hierarchy="70" level="1">
      <sharedItems containsSemiMixedTypes="0" containsString="0" containsNumber="1" containsInteger="1" minValue="1" maxValue="8" count="8">
        <n v="1"/>
        <n v="2"/>
        <n v="3"/>
        <n v="4"/>
        <n v="5"/>
        <n v="6"/>
        <n v="7"/>
        <n v="8"/>
      </sharedItems>
    </cacheField>
    <cacheField name="[Measures].[Sum of Paed Int Care Avail]" caption="Sum of Paed Int Care Avail" numFmtId="0" hierarchy="128" level="32767"/>
    <cacheField name="[Measures].[Sum of Paed Int Care Occ]" caption="Sum of Paed Int Care Occ" numFmtId="0" hierarchy="129"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oneField="1" hidden="1">
      <fieldsUsage count="1">
        <fieldUsage x="2"/>
      </fieldsUsage>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oneField="1" hidden="1">
      <fieldsUsage count="1">
        <fieldUsage x="3"/>
      </fieldsUsage>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9.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80.536150925924" createdVersion="4" refreshedVersion="8" minRefreshableVersion="3" recordCount="0" supportSubquery="1" supportAdvancedDrill="1" xr:uid="{00000000-000A-0000-FFFF-FFFF18010000}">
  <cacheSource type="external" connectionId="3"/>
  <cacheFields count="5">
    <cacheField name="[Winter daily sitreps].[Year].[Year]" caption="Year" numFmtId="0" hierarchy="95" level="1">
      <sharedItems containsSemiMixedTypes="0" containsNonDate="0" containsString="0"/>
    </cacheField>
    <cacheField name="[Winter daily sitreps].[Name].[Name]" caption="Name" numFmtId="0" hierarchy="68" level="1">
      <sharedItems count="136">
        <s v="AIREDALE NHS FOUNDATION TRUST"/>
        <s v="ALDER HEY CHILDREN'S NHS FOUNDATION TRUST"/>
        <s v="ASHFORD AND ST. PETER'S HOSPITALS NHS FOUNDATION TRUST"/>
        <s v="BARKING, HAVERING AND REDBRIDGE UNIVERSITY HOSPITALS NHS TRUST"/>
        <s v="BARNSLEY HOSPITAL NHS FOUNDATION TRUST"/>
        <s v="BARTS HEALTH NHS TRUST"/>
        <s v="Bedfordshire Hospitals NHS Foundation Trust"/>
        <s v="BIRMINGHAM WOMEN'S AND CHILDREN'S NHS FOUNDATION TRUST"/>
        <s v="BLACKPOOL TEACHING HOSPITALS NHS FOUNDATION TRUST"/>
        <s v="BOLTON NHS FOUNDATION TRUST"/>
        <s v="BRADFORD TEACHING HOSPITALS NHS FOUNDATION TRUST"/>
        <s v="BUCKINGHAMSHIRE HEALTHCARE NHS TRUST"/>
        <s v="CALDERDALE AND HUDDERSFIELD NHS FOUNDATION TRUST"/>
        <s v="CAMBRIDGE UNIVERSITY HOSPITALS NHS FOUNDATION TRUST"/>
        <s v="CHELSEA AND WESTMINSTER HOSPITAL NHS FOUNDATION TRUST"/>
        <s v="CHESTERFIELD ROYAL HOSPITAL NHS FOUNDATION TRUST"/>
        <s v="COUNTESS OF CHESTER HOSPITAL NHS FOUNDATION TRUST"/>
        <s v="COUNTY DURHAM AND DARLINGTON NHS FOUNDATION TRUST"/>
        <s v="CROYDON HEALTH SERVICES NHS TRUST"/>
        <s v="DARTFORD AND GRAVESHAM NHS TRUST"/>
        <s v="DONCASTER AND BASSETLAW TEACHING HOSPITALS NHS FOUNDATION TRUST"/>
        <s v="DORSET COUNTY HOSPITAL NHS FOUNDATION TRUST"/>
        <s v="EAST AND NORTH HERTFORDSHIRE NHS TRUST"/>
        <s v="EAST CHESHIRE NHS TRUST"/>
        <s v="EAST KENT HOSPITALS UNIVERSITY NHS FOUNDATION TRUST"/>
        <s v="EAST LANCASHIRE HOSPITALS NHS TRUST"/>
        <s v="EAST SUFFOLK AND NORTH ESSEX NHS FOUNDATION TRUST"/>
        <s v="EAST SUSSEX HEALTHCARE NHS TRUST"/>
        <s v="EPSOM AND ST HELIER UNIVERSITY HOSPITALS NHS TRUST"/>
        <s v="FRIMLEY HEALTH NHS FOUNDATION TRUST"/>
        <s v="GATESHEAD HEALTH NHS FOUNDATION TRUST"/>
        <s v="GEORGE ELIOT HOSPITAL NHS TRUST"/>
        <s v="GLOUCESTERSHIRE HOSPITALS NHS FOUNDATION TRUST"/>
        <s v="GREAT ORMOND STREET HOSPITAL FOR CHILDREN NHS FOUNDATION TRUST"/>
        <s v="GREAT WESTERN HOSPITALS NHS FOUNDATION TRUST"/>
        <s v="GUY'S AND ST THOMAS' NHS FOUNDATION TRUST"/>
        <s v="HAMPSHIRE HOSPITALS NHS FOUNDATION TRUST"/>
        <s v="HARROGATE AND DISTRICT NHS FOUNDATION TRUST"/>
        <s v="HOMERTON HEALTHCARE NHS FOUNDATION TRUST"/>
        <s v="HULL UNIVERSITY TEACHING HOSPITALS NHS TRUST"/>
        <s v="IMPERIAL COLLEGE HEALTHCARE NHS TRUST"/>
        <s v="ISLE OF WIGHT NHS TRUST"/>
        <s v="JAMES PAGET UNIVERSITY HOSPITALS NHS FOUNDATION TRUST"/>
        <s v="KETTERING GENERAL HOSPITAL NHS FOUNDATION TRUST"/>
        <s v="KING'S COLLEGE HOSPITAL NHS FOUNDATION TRUST"/>
        <s v="KINGSTON AND RICHMOND NHS FOUNDATION TRUST"/>
        <s v="KINGSTON HOSPITAL NHS FOUNDATION TRUST"/>
        <s v="LANCASHIRE TEACHING HOSPITALS NHS FOUNDATION TRUST"/>
        <s v="LEEDS TEACHING HOSPITALS NHS TRUST"/>
        <s v="LEWISHAM AND GREENWICH NHS TRUST"/>
        <s v="LIVERPOOL HEART AND CHEST HOSPITAL NHS FOUNDATION TRUST"/>
        <s v="LIVERPOOL UNIVERSITY HOSPITALS NHS FOUNDATION TRUST"/>
        <s v="LIVERPOOL WOMEN'S NHS FOUNDATION TRUST"/>
        <s v="LONDON NORTH WEST UNIVERSITY HEALTHCARE NHS TRUST"/>
        <s v="MAIDSTONE AND TUNBRIDGE WELLS NHS TRUST"/>
        <s v="MANCHESTER UNIVERSITY NHS FOUNDATION TRUST"/>
        <s v="MEDWAY NHS FOUNDATION TRUST"/>
        <s v="MERSEY AND WEST LANCASHIRE TEACHING HOSPITALS NHS TRUST"/>
        <s v="MID AND SOUTH ESSEX NHS FOUNDATION TRUST"/>
        <s v="MID CHESHIRE HOSPITALS NHS FOUNDATION TRUST"/>
        <s v="MID YORKSHIRE TEACHING NHS TRUST"/>
        <s v="MILTON KEYNES UNIVERSITY HOSPITAL NHS FOUNDATION TRUST"/>
        <s v="MOORFIELDS EYE HOSPITAL NHS FOUNDATION TRUST"/>
        <s v="NORFOLK AND NORWICH UNIVERSITY HOSPITALS NHS FOUNDATION TRUST"/>
        <s v="NORTH BRISTOL NHS TRUST"/>
        <s v="NORTH CUMBRIA INTEGRATED CARE NHS FOUNDATION TRUST"/>
        <s v="NORTH MIDDLESEX UNIVERSITY HOSPITAL NHS TRUST"/>
        <s v="NORTH TEES AND HARTLEPOOL NHS FOUNDATION TRUST"/>
        <s v="NORTH WEST ANGLIA NHS FOUNDATION TRUST"/>
        <s v="NORTHAMPTON GENERAL HOSPITAL NHS TRUST"/>
        <s v="NORTHERN CARE ALLIANCE NHS FOUNDATION TRUST"/>
        <s v="NORTHERN LINCOLNSHIRE AND GOOLE NHS FOUNDATION TRUST"/>
        <s v="NORTHUMBRIA HEALTHCARE NHS FOUNDATION TRUST"/>
        <s v="NOTTINGHAM UNIVERSITY HOSPITALS NHS TRUST"/>
        <s v="OXFORD UNIVERSITY HOSPITALS NHS FOUNDATION TRUST"/>
        <s v="PORTSMOUTH HOSPITALS UNIVERSITY NHS TRUST"/>
        <s v="QUEEN VICTORIA HOSPITAL NHS FOUNDATION TRUST"/>
        <s v="ROYAL BERKSHIRE NHS FOUNDATION TRUST"/>
        <s v="ROYAL CORNWALL HOSPITALS NHS TRUST"/>
        <s v="ROYAL DEVON UNIVERSITY HEALTHCARE NHS FOUNDATION TRUST"/>
        <s v="ROYAL FREE LONDON NHS FOUNDATION TRUST"/>
        <s v="ROYAL NATIONAL ORTHOPAEDIC HOSPITAL NHS TRUST"/>
        <s v="ROYAL PAPWORTH HOSPITAL NHS FOUNDATION TRUST"/>
        <s v="ROYAL SURREY COUNTY HOSPITAL NHS FOUNDATION TRUST"/>
        <s v="ROYAL UNITED HOSPITALS BATH NHS FOUNDATION TRUST"/>
        <s v="SALISBURY NHS FOUNDATION TRUST"/>
        <s v="SANDWELL AND WEST BIRMINGHAM HOSPITALS NHS TRUST"/>
        <s v="SHEFFIELD CHILDREN'S NHS FOUNDATION TRUST"/>
        <s v="SHEFFIELD TEACHING HOSPITALS NHS FOUNDATION TRUST"/>
        <s v="SHERWOOD FOREST HOSPITALS NHS FOUNDATION TRUST"/>
        <s v="SOMERSET NHS FOUNDATION TRUST"/>
        <s v="SOUTH TEES HOSPITALS NHS FOUNDATION TRUST"/>
        <s v="SOUTH TYNESIDE AND SUNDERLAND NHS FOUNDATION TRUST"/>
        <s v="SOUTH WARWICKSHIRE UNIVERSITY NHS FOUNDATION TRUST"/>
        <s v="ST GEORGE'S UNIVERSITY HOSPITALS NHS FOUNDATION TRUST"/>
        <s v="STOCKPORT NHS FOUNDATION TRUST"/>
        <s v="SURREY AND SUSSEX HEALTHCARE NHS TRUST"/>
        <s v="TAMESIDE AND GLOSSOP INTEGRATED CARE NHS FOUNDATION TRUST"/>
        <s v="THE CHRISTIE NHS FOUNDATION TRUST"/>
        <s v="THE CLATTERBRIDGE CANCER CENTRE NHS FOUNDATION TRUST"/>
        <s v="THE DUDLEY GROUP NHS FOUNDATION TRUST"/>
        <s v="THE HILLINGDON HOSPITALS NHS FOUNDATION TRUST"/>
        <s v="THE NEWCASTLE UPON TYNE HOSPITALS NHS FOUNDATION TRUST"/>
        <s v="THE PRINCESS ALEXANDRA HOSPITAL NHS TRUST"/>
        <s v="THE QUEEN ELIZABETH HOSPITAL KING'S LYNN NHS FOUNDATION TRUST"/>
        <s v="THE ROBERT JONES AND AGNES HUNT ORTHOPAEDIC HOSPITAL NHS FOUNDATION TRUST"/>
        <s v="THE ROTHERHAM NHS FOUNDATION TRUST"/>
        <s v="THE ROYAL MARSDEN NHS FOUNDATION TRUST"/>
        <s v="THE ROYAL ORTHOPAEDIC HOSPITAL NHS FOUNDATION TRUST"/>
        <s v="THE ROYAL WOLVERHAMPTON NHS TRUST"/>
        <s v="THE SHREWSBURY AND TELFORD HOSPITAL NHS TRUST"/>
        <s v="THE WALTON CENTRE NHS FOUNDATION TRUST"/>
        <s v="TORBAY AND SOUTH DEVON NHS FOUNDATION TRUST"/>
        <s v="UNITED LINCOLNSHIRE HOSPITALS NHS TRUST"/>
        <s v="UNIVERSITY COLLEGE LONDON HOSPITALS NHS FOUNDATION TRUST"/>
        <s v="UNIVERSITY HOSPITAL SOUTHAMPTON NHS FOUNDATION TRUST"/>
        <s v="UNIVERSITY HOSPITALS BIRMINGHAM NHS FOUNDATION TRUST"/>
        <s v="University Hospitals Bristol and Weston NHS Foundation Trust"/>
        <s v="UNIVERSITY HOSPITALS COVENTRY AND WARWICKSHIRE NHS TRUST"/>
        <s v="UNIVERSITY HOSPITALS DORSET NHS FOUNDATION TRUST"/>
        <s v="UNIVERSITY HOSPITALS OF DERBY AND BURTON NHS FOUNDATION TRUST"/>
        <s v="UNIVERSITY HOSPITALS OF LEICESTER NHS TRUST"/>
        <s v="UNIVERSITY HOSPITALS OF MORECAMBE BAY NHS FOUNDATION TRUST"/>
        <s v="UNIVERSITY HOSPITALS OF NORTH MIDLANDS NHS TRUST"/>
        <s v="UNIVERSITY HOSPITALS PLYMOUTH NHS TRUST"/>
        <s v="UNIVERSITY HOSPITALS SUSSEX NHS FOUNDATION TRUST"/>
        <s v="WALSALL HEALTHCARE NHS TRUST"/>
        <s v="WARRINGTON AND HALTON TEACHING HOSPITALS NHS FOUNDATION TRUST"/>
        <s v="WEST HERTFORDSHIRE TEACHING HOSPITALS NHS TRUST"/>
        <s v="WEST SUFFOLK NHS FOUNDATION TRUST"/>
        <s v="WHITTINGTON HEALTH NHS TRUST"/>
        <s v="WIRRAL UNIVERSITY TEACHING HOSPITAL NHS FOUNDATION TRUST"/>
        <s v="WORCESTERSHIRE ACUTE HOSPITALS NHS TRUST"/>
        <s v="WRIGHTINGTON, WIGAN AND LEIGH TEACHING HOSPITALS NHS FOUNDATION TRUST"/>
        <s v="WYE VALLEY NHS TRUST"/>
        <s v="YORK AND SCARBOROUGH TEACHING HOSPITALS NHS FOUNDATION TRUST"/>
      </sharedItems>
    </cacheField>
    <cacheField name="[Winter daily sitreps].[Day].[Day]" caption="Day" numFmtId="0" hierarchy="71" level="1">
      <sharedItems count="7">
        <s v="Friday"/>
        <s v="Monday"/>
        <s v="Saturday"/>
        <s v="Sunday"/>
        <s v="Thursday"/>
        <s v="Tuesday"/>
        <s v="Wednesday"/>
      </sharedItems>
    </cacheField>
    <cacheField name="[Winter daily sitreps].[Week long].[Week long]" caption="Week long" numFmtId="0" hierarchy="101" level="1">
      <sharedItems count="14">
        <s v="Week 1"/>
        <s v="Week 2"/>
        <s v="Week 3"/>
        <s v="Week 4"/>
        <s v="Week 5"/>
        <s v="Week 6"/>
        <s v="Week 7"/>
        <s v="Week 8"/>
        <s v="Week 10" u="1"/>
        <s v="Week 11" u="1"/>
        <s v="Week 12" u="1"/>
        <s v="Week 13" u="1"/>
        <s v="Week 14" u="1"/>
        <s v="Week 9" u="1"/>
      </sharedItems>
    </cacheField>
    <cacheField name="[Measures].[Average of GA bed occupancy]" caption="Average of GA bed occupancy" numFmtId="0" hierarchy="135"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2" memberValueDatatype="130" unbalanced="0">
      <fieldsUsage count="2">
        <fieldUsage x="-1"/>
        <fieldUsage x="1"/>
      </fieldsUsage>
    </cacheHierarchy>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2" memberValueDatatype="130" unbalanced="0">
      <fieldsUsage count="2">
        <fieldUsage x="-1"/>
        <fieldUsage x="2"/>
      </fieldsUsage>
    </cacheHierarchy>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3"/>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oneField="1" hidden="1">
      <fieldsUsage count="1">
        <fieldUsage x="4"/>
      </fieldsUsage>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0.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80.536152546294" createdVersion="4" refreshedVersion="8" minRefreshableVersion="3" recordCount="0" supportSubquery="1" supportAdvancedDrill="1" xr:uid="{00000000-000A-0000-FFFF-FFFF04010000}">
  <cacheSource type="external" connectionId="3"/>
  <cacheFields count="5">
    <cacheField name="[Winter daily sitreps].[Year].[Year]" caption="Year" numFmtId="0" hierarchy="95" level="1">
      <sharedItems containsSemiMixedTypes="0" containsString="0"/>
    </cacheField>
    <cacheField name="[Measures].[Sum of GA total beds avail]" caption="Sum of GA total beds avail" numFmtId="0" hierarchy="116" level="32767"/>
    <cacheField name="[Measures].[Sum of GA total beds occupied]" caption="Sum of GA total beds occupied" numFmtId="0" hierarchy="114" level="32767"/>
    <cacheField name="[Winter daily sitreps].[Region].[Region]" caption="Region" numFmtId="0" hierarchy="94" level="1">
      <sharedItems count="7">
        <s v="East Of England"/>
        <s v="London"/>
        <s v="Midlands"/>
        <s v="North East and Yorkshire"/>
        <s v="North West"/>
        <s v="South East"/>
        <s v="South West"/>
      </sharedItems>
    </cacheField>
    <cacheField name="[Winter daily sitreps].[Week long].[Week long]" caption="Week long" numFmtId="0" hierarchy="101" level="1">
      <sharedItems count="8">
        <s v="Week 1"/>
        <s v="Week 2"/>
        <s v="Week 3"/>
        <s v="Week 4"/>
        <s v="Week 5"/>
        <s v="Week 6"/>
        <s v="Week 7"/>
        <s v="Week 8"/>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3"/>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4"/>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oneField="1" hidden="1">
      <fieldsUsage count="1">
        <fieldUsage x="2"/>
      </fieldsUsage>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oneField="1" hidden="1">
      <fieldsUsage count="1">
        <fieldUsage x="1"/>
      </fieldsUsage>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80.536153819441" createdVersion="4" refreshedVersion="8" minRefreshableVersion="3" recordCount="0" supportSubquery="1" supportAdvancedDrill="1" xr:uid="{00000000-000A-0000-FFFF-FFFF17010000}">
  <cacheSource type="external" connectionId="3"/>
  <cacheFields count="4">
    <cacheField name="[Winter daily sitreps].[Year].[Year]" caption="Year" numFmtId="0" hierarchy="95" level="1">
      <sharedItems containsSemiMixedTypes="0" containsNonDate="0" containsString="0"/>
    </cacheField>
    <cacheField name="[Measures].[Sum of GA total beds avail]" caption="Sum of GA total beds avail" numFmtId="0" hierarchy="116" level="32767"/>
    <cacheField name="[Measures].[Sum of GA total beds occupied]" caption="Sum of GA total beds occupied" numFmtId="0" hierarchy="114" level="32767"/>
    <cacheField name="[Winter daily sitreps].[Week].[Week]" caption="Week" numFmtId="0" hierarchy="70" level="1">
      <sharedItems containsSemiMixedTypes="0" containsString="0" containsNumber="1" containsInteger="1" minValue="1" maxValue="8" count="8">
        <n v="1"/>
        <n v="2"/>
        <n v="3"/>
        <n v="4"/>
        <n v="5"/>
        <n v="6"/>
        <n v="7"/>
        <n v="8"/>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3"/>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oneField="1" hidden="1">
      <fieldsUsage count="1">
        <fieldUsage x="2"/>
      </fieldsUsage>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oneField="1" hidden="1">
      <fieldsUsage count="1">
        <fieldUsage x="1"/>
      </fieldsUsage>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80.536155092595" createdVersion="4" refreshedVersion="8" minRefreshableVersion="3" recordCount="0" supportSubquery="1" supportAdvancedDrill="1" xr:uid="{00000000-000A-0000-FFFF-FFFF07010000}">
  <cacheSource type="external" connectionId="3"/>
  <cacheFields count="4">
    <cacheField name="[Measures].[Sum of Beds occ over 14 days 2]" caption="Sum of Beds occ over 14 days 2" numFmtId="0" hierarchy="139" level="32767"/>
    <cacheField name="[Winter daily sitreps].[Year].[Year]" caption="Year" numFmtId="0" hierarchy="95" level="1">
      <sharedItems containsSemiMixedTypes="0" containsNonDate="0" containsString="0"/>
    </cacheField>
    <cacheField name="[Winter daily sitreps].[Region].[Region]" caption="Region" numFmtId="0" hierarchy="94" level="1">
      <sharedItems count="7">
        <s v="East Of England"/>
        <s v="London"/>
        <s v="Midlands"/>
        <s v="North East and Yorkshire"/>
        <s v="North West"/>
        <s v="South East"/>
        <s v="South West"/>
      </sharedItems>
    </cacheField>
    <cacheField name="[Winter daily sitreps].[Week long].[Week long]" caption="Week long" numFmtId="0" hierarchy="101" level="1">
      <sharedItems count="8">
        <s v="Week 1"/>
        <s v="Week 2"/>
        <s v="Week 3"/>
        <s v="Week 4"/>
        <s v="Week 5"/>
        <s v="Week 6"/>
        <s v="Week 7"/>
        <s v="Week 8"/>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2"/>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1"/>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3"/>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oneField="1" hidden="1">
      <fieldsUsage count="1">
        <fieldUsage x="0"/>
      </fieldsUsage>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80.536156249997" createdVersion="4" refreshedVersion="8" minRefreshableVersion="3" recordCount="0" supportSubquery="1" supportAdvancedDrill="1" xr:uid="{00000000-000A-0000-FFFF-FFFF06010000}">
  <cacheSource type="external" connectionId="3"/>
  <cacheFields count="4">
    <cacheField name="[Winter daily sitreps].[Year].[Year]" caption="Year" numFmtId="0" hierarchy="95" level="1">
      <sharedItems containsSemiMixedTypes="0" containsNonDate="0" containsString="0"/>
    </cacheField>
    <cacheField name="[Winter daily sitreps].[Region].[Region]" caption="Region" numFmtId="0" hierarchy="94" level="1">
      <sharedItems count="7">
        <s v="East Of England"/>
        <s v="London"/>
        <s v="Midlands"/>
        <s v="North East and Yorkshire"/>
        <s v="North West"/>
        <s v="South East"/>
        <s v="South West"/>
      </sharedItems>
    </cacheField>
    <cacheField name="[Winter daily sitreps].[Week long].[Week long]" caption="Week long" numFmtId="0" hierarchy="101" level="1">
      <sharedItems count="8">
        <s v="Week 1"/>
        <s v="Week 2"/>
        <s v="Week 3"/>
        <s v="Week 4"/>
        <s v="Week 5"/>
        <s v="Week 6"/>
        <s v="Week 7"/>
        <s v="Week 8"/>
      </sharedItems>
    </cacheField>
    <cacheField name="[Measures].[Sum of Beds occ over 21 days]" caption="Sum of Beds occ over 21 days" numFmtId="0" hierarchy="118"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1"/>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2"/>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oneField="1" hidden="1">
      <fieldsUsage count="1">
        <fieldUsage x="3"/>
      </fieldsUsage>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4.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80.536157291666" createdVersion="4" refreshedVersion="8" minRefreshableVersion="3" recordCount="0" supportSubquery="1" supportAdvancedDrill="1" xr:uid="{00000000-000A-0000-FFFF-FFFF05010000}">
  <cacheSource type="external" connectionId="3"/>
  <cacheFields count="4">
    <cacheField name="[Winter daily sitreps].[Year].[Year]" caption="Year" numFmtId="0" hierarchy="95" level="1">
      <sharedItems containsSemiMixedTypes="0" containsNonDate="0" containsString="0"/>
    </cacheField>
    <cacheField name="[Winter daily sitreps].[Region].[Region]" caption="Region" numFmtId="0" hierarchy="94" level="1">
      <sharedItems count="7">
        <s v="East Of England"/>
        <s v="London"/>
        <s v="Midlands"/>
        <s v="North East and Yorkshire"/>
        <s v="North West"/>
        <s v="South East"/>
        <s v="South West"/>
      </sharedItems>
    </cacheField>
    <cacheField name="[Winter daily sitreps].[Week long].[Week long]" caption="Week long" numFmtId="0" hierarchy="101" level="1">
      <sharedItems count="8">
        <s v="Week 1"/>
        <s v="Week 2"/>
        <s v="Week 3"/>
        <s v="Week 4"/>
        <s v="Week 5"/>
        <s v="Week 6"/>
        <s v="Week 7"/>
        <s v="Week 8"/>
      </sharedItems>
    </cacheField>
    <cacheField name="[Measures].[Sum of Beds occ over 7 days]" caption="Sum of Beds occ over 7 days" numFmtId="0" hierarchy="117"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1"/>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2"/>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oneField="1" hidden="1">
      <fieldsUsage count="1">
        <fieldUsage x="3"/>
      </fieldsUsage>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5.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80.536158449075" createdVersion="4" refreshedVersion="8" minRefreshableVersion="3" recordCount="0" supportSubquery="1" supportAdvancedDrill="1" xr:uid="{00000000-000A-0000-FFFF-FFFF1E010000}">
  <cacheSource type="external" connectionId="3"/>
  <cacheFields count="3">
    <cacheField name="[Winter daily sitreps].[Year].[Year]" caption="Year" numFmtId="0" hierarchy="95" level="1">
      <sharedItems containsSemiMixedTypes="0" containsNonDate="0" containsString="0"/>
    </cacheField>
    <cacheField name="[Winter daily sitreps].[Date].[Date]" caption="Date" numFmtId="0" hierarchy="69" level="1">
      <sharedItems containsSemiMixedTypes="0" containsNonDate="0" containsDate="1" containsString="0" minDate="2024-11-25T00:00:00" maxDate="2025-01-20T00:00:00" count="56">
        <d v="2024-11-25T00:00:00"/>
        <d v="2024-11-26T00:00:00"/>
        <d v="2024-11-27T00:00:00"/>
        <d v="2024-11-28T00:00:00"/>
        <d v="2024-11-29T00:00:00"/>
        <d v="2024-11-30T00:00:00"/>
        <d v="2024-12-01T00:00:00"/>
        <d v="2024-12-02T00:00:00"/>
        <d v="2024-12-03T00:00:00"/>
        <d v="2024-12-04T00:00:00"/>
        <d v="2024-12-05T00:00:00"/>
        <d v="2024-12-06T00:00:00"/>
        <d v="2024-12-07T00:00:00"/>
        <d v="2024-12-08T00:00:00"/>
        <d v="2024-12-09T00:00:00"/>
        <d v="2024-12-10T00:00:00"/>
        <d v="2024-12-11T00:00:00"/>
        <d v="2024-12-12T00:00:00"/>
        <d v="2024-12-13T00:00:00"/>
        <d v="2024-12-14T00:00:00"/>
        <d v="2024-12-15T00:00:00"/>
        <d v="2024-12-16T00:00:00"/>
        <d v="2024-12-17T00:00:00"/>
        <d v="2024-12-18T00:00:00"/>
        <d v="2024-12-19T00:00:00"/>
        <d v="2024-12-20T00:00:00"/>
        <d v="2024-12-21T00:00:00"/>
        <d v="2024-12-22T00:00:00"/>
        <d v="2024-12-23T00:00:00"/>
        <d v="2024-12-24T00:00:00"/>
        <d v="2024-12-25T00:00:00"/>
        <d v="2024-12-26T00:00:00"/>
        <d v="2024-12-27T00:00:00"/>
        <d v="2024-12-28T00:00:00"/>
        <d v="2024-12-29T00:00:00"/>
        <d v="2024-12-30T00:00:00"/>
        <d v="2024-12-31T00:00:00"/>
        <d v="2025-01-01T00:00:00"/>
        <d v="2025-01-02T00:00:00"/>
        <d v="2025-01-03T00:00:00"/>
        <d v="2025-01-04T00:00:00"/>
        <d v="2025-01-05T00:00:00"/>
        <d v="2025-01-06T00:00:00"/>
        <d v="2025-01-07T00:00:00"/>
        <d v="2025-01-08T00:00:00"/>
        <d v="2025-01-09T00:00:00"/>
        <d v="2025-01-10T00:00:00"/>
        <d v="2025-01-11T00:00:00"/>
        <d v="2025-01-12T00:00:00"/>
        <d v="2025-01-13T00:00:00"/>
        <d v="2025-01-14T00:00:00"/>
        <d v="2025-01-15T00:00:00"/>
        <d v="2025-01-16T00:00:00"/>
        <d v="2025-01-17T00:00:00"/>
        <d v="2025-01-18T00:00:00"/>
        <d v="2025-01-19T00:00:00"/>
      </sharedItems>
    </cacheField>
    <cacheField name="[Measures].[Sum of Beds closed norovius unocc]" caption="Sum of Beds closed norovius unocc" numFmtId="0" hierarchy="122"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2" memberValueDatatype="7" unbalanced="0">
      <fieldsUsage count="2">
        <fieldUsage x="-1"/>
        <fieldUsage x="1"/>
      </fieldsUsage>
    </cacheHierarchy>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oneField="1" hidden="1">
      <fieldsUsage count="1">
        <fieldUsage x="2"/>
      </fieldsUsage>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6.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80.536159606483" createdVersion="4" refreshedVersion="8" minRefreshableVersion="3" recordCount="0" supportSubquery="1" supportAdvancedDrill="1" xr:uid="{00000000-000A-0000-FFFF-FFFF1D010000}">
  <cacheSource type="external" connectionId="3"/>
  <cacheFields count="4">
    <cacheField name="[Winter daily sitreps].[Year].[Year]" caption="Year" numFmtId="0" hierarchy="95" level="1">
      <sharedItems containsSemiMixedTypes="0" containsNonDate="0" containsString="0"/>
    </cacheField>
    <cacheField name="[Winter daily sitreps].[Week long].[Week long]" caption="Week long" numFmtId="0" hierarchy="101" level="1">
      <sharedItems count="14">
        <s v="Week 1"/>
        <s v="Week 2"/>
        <s v="Week 3"/>
        <s v="Week 4"/>
        <s v="Week 5"/>
        <s v="Week 6"/>
        <s v="Week 7"/>
        <s v="Week 8"/>
        <s v="Week 10" u="1"/>
        <s v="Week 11" u="1"/>
        <s v="Week 12" u="1"/>
        <s v="Week 13" u="1"/>
        <s v="Week 14" u="1"/>
        <s v="Week 9" u="1"/>
      </sharedItems>
    </cacheField>
    <cacheField name="[Winter daily sitreps].[Name].[Name]" caption="Name" numFmtId="0" hierarchy="68" level="1">
      <sharedItems count="136">
        <s v="AIREDALE NHS FOUNDATION TRUST"/>
        <s v="ALDER HEY CHILDREN'S NHS FOUNDATION TRUST"/>
        <s v="ASHFORD AND ST. PETER'S HOSPITALS NHS FOUNDATION TRUST"/>
        <s v="BARKING, HAVERING AND REDBRIDGE UNIVERSITY HOSPITALS NHS TRUST"/>
        <s v="BARNSLEY HOSPITAL NHS FOUNDATION TRUST"/>
        <s v="BARTS HEALTH NHS TRUST"/>
        <s v="Bedfordshire Hospitals NHS Foundation Trust"/>
        <s v="BIRMINGHAM WOMEN'S AND CHILDREN'S NHS FOUNDATION TRUST"/>
        <s v="BLACKPOOL TEACHING HOSPITALS NHS FOUNDATION TRUST"/>
        <s v="BOLTON NHS FOUNDATION TRUST"/>
        <s v="BRADFORD TEACHING HOSPITALS NHS FOUNDATION TRUST"/>
        <s v="BUCKINGHAMSHIRE HEALTHCARE NHS TRUST"/>
        <s v="CALDERDALE AND HUDDERSFIELD NHS FOUNDATION TRUST"/>
        <s v="CAMBRIDGE UNIVERSITY HOSPITALS NHS FOUNDATION TRUST"/>
        <s v="CHELSEA AND WESTMINSTER HOSPITAL NHS FOUNDATION TRUST"/>
        <s v="CHESTERFIELD ROYAL HOSPITAL NHS FOUNDATION TRUST"/>
        <s v="COUNTESS OF CHESTER HOSPITAL NHS FOUNDATION TRUST"/>
        <s v="COUNTY DURHAM AND DARLINGTON NHS FOUNDATION TRUST"/>
        <s v="CROYDON HEALTH SERVICES NHS TRUST"/>
        <s v="DARTFORD AND GRAVESHAM NHS TRUST"/>
        <s v="DONCASTER AND BASSETLAW TEACHING HOSPITALS NHS FOUNDATION TRUST"/>
        <s v="DORSET COUNTY HOSPITAL NHS FOUNDATION TRUST"/>
        <s v="EAST AND NORTH HERTFORDSHIRE NHS TRUST"/>
        <s v="EAST CHESHIRE NHS TRUST"/>
        <s v="EAST KENT HOSPITALS UNIVERSITY NHS FOUNDATION TRUST"/>
        <s v="EAST LANCASHIRE HOSPITALS NHS TRUST"/>
        <s v="EAST SUFFOLK AND NORTH ESSEX NHS FOUNDATION TRUST"/>
        <s v="EAST SUSSEX HEALTHCARE NHS TRUST"/>
        <s v="EPSOM AND ST HELIER UNIVERSITY HOSPITALS NHS TRUST"/>
        <s v="FRIMLEY HEALTH NHS FOUNDATION TRUST"/>
        <s v="GATESHEAD HEALTH NHS FOUNDATION TRUST"/>
        <s v="GEORGE ELIOT HOSPITAL NHS TRUST"/>
        <s v="GLOUCESTERSHIRE HOSPITALS NHS FOUNDATION TRUST"/>
        <s v="GREAT ORMOND STREET HOSPITAL FOR CHILDREN NHS FOUNDATION TRUST"/>
        <s v="GREAT WESTERN HOSPITALS NHS FOUNDATION TRUST"/>
        <s v="GUY'S AND ST THOMAS' NHS FOUNDATION TRUST"/>
        <s v="HAMPSHIRE HOSPITALS NHS FOUNDATION TRUST"/>
        <s v="HARROGATE AND DISTRICT NHS FOUNDATION TRUST"/>
        <s v="HOMERTON HEALTHCARE NHS FOUNDATION TRUST"/>
        <s v="HULL UNIVERSITY TEACHING HOSPITALS NHS TRUST"/>
        <s v="IMPERIAL COLLEGE HEALTHCARE NHS TRUST"/>
        <s v="ISLE OF WIGHT NHS TRUST"/>
        <s v="JAMES PAGET UNIVERSITY HOSPITALS NHS FOUNDATION TRUST"/>
        <s v="KETTERING GENERAL HOSPITAL NHS FOUNDATION TRUST"/>
        <s v="KING'S COLLEGE HOSPITAL NHS FOUNDATION TRUST"/>
        <s v="KINGSTON AND RICHMOND NHS FOUNDATION TRUST"/>
        <s v="KINGSTON HOSPITAL NHS FOUNDATION TRUST"/>
        <s v="LANCASHIRE TEACHING HOSPITALS NHS FOUNDATION TRUST"/>
        <s v="LEEDS TEACHING HOSPITALS NHS TRUST"/>
        <s v="LEWISHAM AND GREENWICH NHS TRUST"/>
        <s v="LIVERPOOL HEART AND CHEST HOSPITAL NHS FOUNDATION TRUST"/>
        <s v="LIVERPOOL UNIVERSITY HOSPITALS NHS FOUNDATION TRUST"/>
        <s v="LIVERPOOL WOMEN'S NHS FOUNDATION TRUST"/>
        <s v="LONDON NORTH WEST UNIVERSITY HEALTHCARE NHS TRUST"/>
        <s v="MAIDSTONE AND TUNBRIDGE WELLS NHS TRUST"/>
        <s v="MANCHESTER UNIVERSITY NHS FOUNDATION TRUST"/>
        <s v="MEDWAY NHS FOUNDATION TRUST"/>
        <s v="MERSEY AND WEST LANCASHIRE TEACHING HOSPITALS NHS TRUST"/>
        <s v="MID AND SOUTH ESSEX NHS FOUNDATION TRUST"/>
        <s v="MID CHESHIRE HOSPITALS NHS FOUNDATION TRUST"/>
        <s v="MID YORKSHIRE TEACHING NHS TRUST"/>
        <s v="MILTON KEYNES UNIVERSITY HOSPITAL NHS FOUNDATION TRUST"/>
        <s v="MOORFIELDS EYE HOSPITAL NHS FOUNDATION TRUST"/>
        <s v="NORFOLK AND NORWICH UNIVERSITY HOSPITALS NHS FOUNDATION TRUST"/>
        <s v="NORTH BRISTOL NHS TRUST"/>
        <s v="NORTH CUMBRIA INTEGRATED CARE NHS FOUNDATION TRUST"/>
        <s v="NORTH MIDDLESEX UNIVERSITY HOSPITAL NHS TRUST"/>
        <s v="NORTH TEES AND HARTLEPOOL NHS FOUNDATION TRUST"/>
        <s v="NORTH WEST ANGLIA NHS FOUNDATION TRUST"/>
        <s v="NORTHAMPTON GENERAL HOSPITAL NHS TRUST"/>
        <s v="NORTHERN CARE ALLIANCE NHS FOUNDATION TRUST"/>
        <s v="NORTHERN LINCOLNSHIRE AND GOOLE NHS FOUNDATION TRUST"/>
        <s v="NORTHUMBRIA HEALTHCARE NHS FOUNDATION TRUST"/>
        <s v="NOTTINGHAM UNIVERSITY HOSPITALS NHS TRUST"/>
        <s v="OXFORD UNIVERSITY HOSPITALS NHS FOUNDATION TRUST"/>
        <s v="PORTSMOUTH HOSPITALS UNIVERSITY NHS TRUST"/>
        <s v="QUEEN VICTORIA HOSPITAL NHS FOUNDATION TRUST"/>
        <s v="ROYAL BERKSHIRE NHS FOUNDATION TRUST"/>
        <s v="ROYAL CORNWALL HOSPITALS NHS TRUST"/>
        <s v="ROYAL DEVON UNIVERSITY HEALTHCARE NHS FOUNDATION TRUST"/>
        <s v="ROYAL FREE LONDON NHS FOUNDATION TRUST"/>
        <s v="ROYAL NATIONAL ORTHOPAEDIC HOSPITAL NHS TRUST"/>
        <s v="ROYAL PAPWORTH HOSPITAL NHS FOUNDATION TRUST"/>
        <s v="ROYAL SURREY COUNTY HOSPITAL NHS FOUNDATION TRUST"/>
        <s v="ROYAL UNITED HOSPITALS BATH NHS FOUNDATION TRUST"/>
        <s v="SALISBURY NHS FOUNDATION TRUST"/>
        <s v="SANDWELL AND WEST BIRMINGHAM HOSPITALS NHS TRUST"/>
        <s v="SHEFFIELD CHILDREN'S NHS FOUNDATION TRUST"/>
        <s v="SHEFFIELD TEACHING HOSPITALS NHS FOUNDATION TRUST"/>
        <s v="SHERWOOD FOREST HOSPITALS NHS FOUNDATION TRUST"/>
        <s v="SOMERSET NHS FOUNDATION TRUST"/>
        <s v="SOUTH TEES HOSPITALS NHS FOUNDATION TRUST"/>
        <s v="SOUTH TYNESIDE AND SUNDERLAND NHS FOUNDATION TRUST"/>
        <s v="SOUTH WARWICKSHIRE UNIVERSITY NHS FOUNDATION TRUST"/>
        <s v="ST GEORGE'S UNIVERSITY HOSPITALS NHS FOUNDATION TRUST"/>
        <s v="STOCKPORT NHS FOUNDATION TRUST"/>
        <s v="SURREY AND SUSSEX HEALTHCARE NHS TRUST"/>
        <s v="TAMESIDE AND GLOSSOP INTEGRATED CARE NHS FOUNDATION TRUST"/>
        <s v="THE CHRISTIE NHS FOUNDATION TRUST"/>
        <s v="THE CLATTERBRIDGE CANCER CENTRE NHS FOUNDATION TRUST"/>
        <s v="THE DUDLEY GROUP NHS FOUNDATION TRUST"/>
        <s v="THE HILLINGDON HOSPITALS NHS FOUNDATION TRUST"/>
        <s v="THE NEWCASTLE UPON TYNE HOSPITALS NHS FOUNDATION TRUST"/>
        <s v="THE PRINCESS ALEXANDRA HOSPITAL NHS TRUST"/>
        <s v="THE QUEEN ELIZABETH HOSPITAL KING'S LYNN NHS FOUNDATION TRUST"/>
        <s v="THE ROBERT JONES AND AGNES HUNT ORTHOPAEDIC HOSPITAL NHS FOUNDATION TRUST"/>
        <s v="THE ROTHERHAM NHS FOUNDATION TRUST"/>
        <s v="THE ROYAL MARSDEN NHS FOUNDATION TRUST"/>
        <s v="THE ROYAL ORTHOPAEDIC HOSPITAL NHS FOUNDATION TRUST"/>
        <s v="THE ROYAL WOLVERHAMPTON NHS TRUST"/>
        <s v="THE SHREWSBURY AND TELFORD HOSPITAL NHS TRUST"/>
        <s v="THE WALTON CENTRE NHS FOUNDATION TRUST"/>
        <s v="TORBAY AND SOUTH DEVON NHS FOUNDATION TRUST"/>
        <s v="UNITED LINCOLNSHIRE HOSPITALS NHS TRUST"/>
        <s v="UNIVERSITY COLLEGE LONDON HOSPITALS NHS FOUNDATION TRUST"/>
        <s v="UNIVERSITY HOSPITAL SOUTHAMPTON NHS FOUNDATION TRUST"/>
        <s v="UNIVERSITY HOSPITALS BIRMINGHAM NHS FOUNDATION TRUST"/>
        <s v="University Hospitals Bristol and Weston NHS Foundation Trust"/>
        <s v="UNIVERSITY HOSPITALS COVENTRY AND WARWICKSHIRE NHS TRUST"/>
        <s v="UNIVERSITY HOSPITALS DORSET NHS FOUNDATION TRUST"/>
        <s v="UNIVERSITY HOSPITALS OF DERBY AND BURTON NHS FOUNDATION TRUST"/>
        <s v="UNIVERSITY HOSPITALS OF LEICESTER NHS TRUST"/>
        <s v="UNIVERSITY HOSPITALS OF MORECAMBE BAY NHS FOUNDATION TRUST"/>
        <s v="UNIVERSITY HOSPITALS OF NORTH MIDLANDS NHS TRUST"/>
        <s v="UNIVERSITY HOSPITALS PLYMOUTH NHS TRUST"/>
        <s v="UNIVERSITY HOSPITALS SUSSEX NHS FOUNDATION TRUST"/>
        <s v="WALSALL HEALTHCARE NHS TRUST"/>
        <s v="WARRINGTON AND HALTON TEACHING HOSPITALS NHS FOUNDATION TRUST"/>
        <s v="WEST HERTFORDSHIRE TEACHING HOSPITALS NHS TRUST"/>
        <s v="WEST SUFFOLK NHS FOUNDATION TRUST"/>
        <s v="WHITTINGTON HEALTH NHS TRUST"/>
        <s v="WIRRAL UNIVERSITY TEACHING HOSPITAL NHS FOUNDATION TRUST"/>
        <s v="WORCESTERSHIRE ACUTE HOSPITALS NHS TRUST"/>
        <s v="WRIGHTINGTON, WIGAN AND LEIGH TEACHING HOSPITALS NHS FOUNDATION TRUST"/>
        <s v="WYE VALLEY NHS TRUST"/>
        <s v="YORK AND SCARBOROUGH TEACHING HOSPITALS NHS FOUNDATION TRUST"/>
      </sharedItems>
    </cacheField>
    <cacheField name="[Measures].[Sum of Beds closed norovius unocc]" caption="Sum of Beds closed norovius unocc" numFmtId="0" hierarchy="122"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2" memberValueDatatype="130" unbalanced="0">
      <fieldsUsage count="2">
        <fieldUsage x="-1"/>
        <fieldUsage x="2"/>
      </fieldsUsage>
    </cacheHierarchy>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1"/>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oneField="1" hidden="1">
      <fieldsUsage count="1">
        <fieldUsage x="3"/>
      </fieldsUsage>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7.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80.536160763892" createdVersion="4" refreshedVersion="8" minRefreshableVersion="3" recordCount="0" supportSubquery="1" supportAdvancedDrill="1" xr:uid="{00000000-000A-0000-FFFF-FFFF01010000}">
  <cacheSource type="external" connectionId="3"/>
  <cacheFields count="4">
    <cacheField name="[Winter daily sitreps].[Year].[Year]" caption="Year" numFmtId="0" hierarchy="95" level="1">
      <sharedItems containsSemiMixedTypes="0" containsNonDate="0" containsString="0"/>
    </cacheField>
    <cacheField name="[Winter daily sitreps].[Week long].[Week long]" caption="Week long" numFmtId="0" hierarchy="101" level="1">
      <sharedItems count="8">
        <s v="Week 1"/>
        <s v="Week 2"/>
        <s v="Week 3"/>
        <s v="Week 4"/>
        <s v="Week 5"/>
        <s v="Week 6"/>
        <s v="Week 7"/>
        <s v="Week 8"/>
      </sharedItems>
    </cacheField>
    <cacheField name="[Winter daily sitreps].[Region].[Region]" caption="Region" numFmtId="0" hierarchy="94" level="1">
      <sharedItems count="7">
        <s v="East Of England"/>
        <s v="London"/>
        <s v="Midlands"/>
        <s v="North East and Yorkshire"/>
        <s v="North West"/>
        <s v="South East"/>
        <s v="South West"/>
      </sharedItems>
    </cacheField>
    <cacheField name="[Measures].[Sum of Beds closed norovius unocc]" caption="Sum of Beds closed norovius unocc" numFmtId="0" hierarchy="122"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2"/>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1"/>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oneField="1" hidden="1">
      <fieldsUsage count="1">
        <fieldUsage x="3"/>
      </fieldsUsage>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8.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80.536161921293" createdVersion="4" refreshedVersion="8" minRefreshableVersion="3" recordCount="0" supportSubquery="1" supportAdvancedDrill="1" xr:uid="{00000000-000A-0000-FFFF-FFFF1C010000}">
  <cacheSource type="external" connectionId="3"/>
  <cacheFields count="3">
    <cacheField name="[Winter daily sitreps].[Year].[Year]" caption="Year" numFmtId="0" hierarchy="95" level="1">
      <sharedItems containsSemiMixedTypes="0" containsNonDate="0" containsString="0"/>
    </cacheField>
    <cacheField name="[Winter daily sitreps].[Week].[Week]" caption="Week" numFmtId="0" hierarchy="70" level="1">
      <sharedItems containsSemiMixedTypes="0" containsString="0" containsNumber="1" containsInteger="1" minValue="1" maxValue="8" count="8">
        <n v="1"/>
        <n v="2"/>
        <n v="3"/>
        <n v="4"/>
        <n v="5"/>
        <n v="6"/>
        <n v="7"/>
        <n v="8"/>
      </sharedItems>
    </cacheField>
    <cacheField name="[Measures].[Sum of Beds closed norovius unocc]" caption="Sum of Beds closed norovius unocc" numFmtId="0" hierarchy="122"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oneField="1" hidden="1">
      <fieldsUsage count="1">
        <fieldUsage x="2"/>
      </fieldsUsage>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9.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80.536162962962" createdVersion="4" refreshedVersion="8" minRefreshableVersion="3" recordCount="0" supportSubquery="1" supportAdvancedDrill="1" xr:uid="{00000000-000A-0000-FFFF-FFFF1B010000}">
  <cacheSource type="external" connectionId="3"/>
  <cacheFields count="3">
    <cacheField name="[Winter daily sitreps].[Year].[Year]" caption="Year" numFmtId="0" hierarchy="95" level="1">
      <sharedItems containsSemiMixedTypes="0" containsNonDate="0" containsString="0"/>
    </cacheField>
    <cacheField name="[Winter daily sitreps].[Date].[Date]" caption="Date" numFmtId="0" hierarchy="69" level="1">
      <sharedItems containsSemiMixedTypes="0" containsNonDate="0" containsDate="1" containsString="0" minDate="2024-11-25T00:00:00" maxDate="2025-01-20T00:00:00" count="56">
        <d v="2024-11-25T00:00:00"/>
        <d v="2024-11-26T00:00:00"/>
        <d v="2024-11-27T00:00:00"/>
        <d v="2024-11-28T00:00:00"/>
        <d v="2024-11-29T00:00:00"/>
        <d v="2024-11-30T00:00:00"/>
        <d v="2024-12-01T00:00:00"/>
        <d v="2024-12-02T00:00:00"/>
        <d v="2024-12-03T00:00:00"/>
        <d v="2024-12-04T00:00:00"/>
        <d v="2024-12-05T00:00:00"/>
        <d v="2024-12-06T00:00:00"/>
        <d v="2024-12-07T00:00:00"/>
        <d v="2024-12-08T00:00:00"/>
        <d v="2024-12-09T00:00:00"/>
        <d v="2024-12-10T00:00:00"/>
        <d v="2024-12-11T00:00:00"/>
        <d v="2024-12-12T00:00:00"/>
        <d v="2024-12-13T00:00:00"/>
        <d v="2024-12-14T00:00:00"/>
        <d v="2024-12-15T00:00:00"/>
        <d v="2024-12-16T00:00:00"/>
        <d v="2024-12-17T00:00:00"/>
        <d v="2024-12-18T00:00:00"/>
        <d v="2024-12-19T00:00:00"/>
        <d v="2024-12-20T00:00:00"/>
        <d v="2024-12-21T00:00:00"/>
        <d v="2024-12-22T00:00:00"/>
        <d v="2024-12-23T00:00:00"/>
        <d v="2024-12-24T00:00:00"/>
        <d v="2024-12-25T00:00:00"/>
        <d v="2024-12-26T00:00:00"/>
        <d v="2024-12-27T00:00:00"/>
        <d v="2024-12-28T00:00:00"/>
        <d v="2024-12-29T00:00:00"/>
        <d v="2024-12-30T00:00:00"/>
        <d v="2024-12-31T00:00:00"/>
        <d v="2025-01-01T00:00:00"/>
        <d v="2025-01-02T00:00:00"/>
        <d v="2025-01-03T00:00:00"/>
        <d v="2025-01-04T00:00:00"/>
        <d v="2025-01-05T00:00:00"/>
        <d v="2025-01-06T00:00:00"/>
        <d v="2025-01-07T00:00:00"/>
        <d v="2025-01-08T00:00:00"/>
        <d v="2025-01-09T00:00:00"/>
        <d v="2025-01-10T00:00:00"/>
        <d v="2025-01-11T00:00:00"/>
        <d v="2025-01-12T00:00:00"/>
        <d v="2025-01-13T00:00:00"/>
        <d v="2025-01-14T00:00:00"/>
        <d v="2025-01-15T00:00:00"/>
        <d v="2025-01-16T00:00:00"/>
        <d v="2025-01-17T00:00:00"/>
        <d v="2025-01-18T00:00:00"/>
        <d v="2025-01-19T00:00:00"/>
      </sharedItems>
    </cacheField>
    <cacheField name="[Measures].[Sum of Beds closed norovirus]" caption="Sum of Beds closed norovirus" numFmtId="0" hierarchy="120"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2" memberValueDatatype="7" unbalanced="0">
      <fieldsUsage count="2">
        <fieldUsage x="-1"/>
        <fieldUsage x="1"/>
      </fieldsUsage>
    </cacheHierarchy>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oneField="1" hidden="1">
      <fieldsUsage count="1">
        <fieldUsage x="2"/>
      </fieldsUsage>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0.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80.536164004632" createdVersion="4" refreshedVersion="8" minRefreshableVersion="3" recordCount="0" supportSubquery="1" supportAdvancedDrill="1" xr:uid="{00000000-000A-0000-FFFF-FFFF1A010000}">
  <cacheSource type="external" connectionId="3"/>
  <cacheFields count="4">
    <cacheField name="[Winter daily sitreps].[Year].[Year]" caption="Year" numFmtId="0" hierarchy="95" level="1">
      <sharedItems containsSemiMixedTypes="0" containsNonDate="0" containsString="0"/>
    </cacheField>
    <cacheField name="[Measures].[Sum of Beds closed norovirus]" caption="Sum of Beds closed norovirus" numFmtId="0" hierarchy="120" level="32767"/>
    <cacheField name="[Winter daily sitreps].[Week long].[Week long]" caption="Week long" numFmtId="0" hierarchy="101" level="1">
      <sharedItems count="8">
        <s v="Week 1"/>
        <s v="Week 2"/>
        <s v="Week 3"/>
        <s v="Week 4"/>
        <s v="Week 5"/>
        <s v="Week 6"/>
        <s v="Week 7"/>
        <s v="Week 8"/>
      </sharedItems>
    </cacheField>
    <cacheField name="[Winter daily sitreps].[Name].[Name]" caption="Name" numFmtId="0" hierarchy="68" level="1">
      <sharedItems count="136">
        <s v="AIREDALE NHS FOUNDATION TRUST"/>
        <s v="ALDER HEY CHILDREN'S NHS FOUNDATION TRUST"/>
        <s v="ASHFORD AND ST. PETER'S HOSPITALS NHS FOUNDATION TRUST"/>
        <s v="BARKING, HAVERING AND REDBRIDGE UNIVERSITY HOSPITALS NHS TRUST"/>
        <s v="BARNSLEY HOSPITAL NHS FOUNDATION TRUST"/>
        <s v="BARTS HEALTH NHS TRUST"/>
        <s v="Bedfordshire Hospitals NHS Foundation Trust"/>
        <s v="BIRMINGHAM WOMEN'S AND CHILDREN'S NHS FOUNDATION TRUST"/>
        <s v="BLACKPOOL TEACHING HOSPITALS NHS FOUNDATION TRUST"/>
        <s v="BOLTON NHS FOUNDATION TRUST"/>
        <s v="BRADFORD TEACHING HOSPITALS NHS FOUNDATION TRUST"/>
        <s v="BUCKINGHAMSHIRE HEALTHCARE NHS TRUST"/>
        <s v="CALDERDALE AND HUDDERSFIELD NHS FOUNDATION TRUST"/>
        <s v="CAMBRIDGE UNIVERSITY HOSPITALS NHS FOUNDATION TRUST"/>
        <s v="CHELSEA AND WESTMINSTER HOSPITAL NHS FOUNDATION TRUST"/>
        <s v="CHESTERFIELD ROYAL HOSPITAL NHS FOUNDATION TRUST"/>
        <s v="COUNTESS OF CHESTER HOSPITAL NHS FOUNDATION TRUST"/>
        <s v="COUNTY DURHAM AND DARLINGTON NHS FOUNDATION TRUST"/>
        <s v="CROYDON HEALTH SERVICES NHS TRUST"/>
        <s v="DARTFORD AND GRAVESHAM NHS TRUST"/>
        <s v="DONCASTER AND BASSETLAW TEACHING HOSPITALS NHS FOUNDATION TRUST"/>
        <s v="DORSET COUNTY HOSPITAL NHS FOUNDATION TRUST"/>
        <s v="EAST AND NORTH HERTFORDSHIRE NHS TRUST"/>
        <s v="EAST CHESHIRE NHS TRUST"/>
        <s v="EAST KENT HOSPITALS UNIVERSITY NHS FOUNDATION TRUST"/>
        <s v="EAST LANCASHIRE HOSPITALS NHS TRUST"/>
        <s v="EAST SUFFOLK AND NORTH ESSEX NHS FOUNDATION TRUST"/>
        <s v="EAST SUSSEX HEALTHCARE NHS TRUST"/>
        <s v="EPSOM AND ST HELIER UNIVERSITY HOSPITALS NHS TRUST"/>
        <s v="FRIMLEY HEALTH NHS FOUNDATION TRUST"/>
        <s v="GATESHEAD HEALTH NHS FOUNDATION TRUST"/>
        <s v="GEORGE ELIOT HOSPITAL NHS TRUST"/>
        <s v="GLOUCESTERSHIRE HOSPITALS NHS FOUNDATION TRUST"/>
        <s v="GREAT ORMOND STREET HOSPITAL FOR CHILDREN NHS FOUNDATION TRUST"/>
        <s v="GREAT WESTERN HOSPITALS NHS FOUNDATION TRUST"/>
        <s v="GUY'S AND ST THOMAS' NHS FOUNDATION TRUST"/>
        <s v="HAMPSHIRE HOSPITALS NHS FOUNDATION TRUST"/>
        <s v="HARROGATE AND DISTRICT NHS FOUNDATION TRUST"/>
        <s v="HOMERTON HEALTHCARE NHS FOUNDATION TRUST"/>
        <s v="HULL UNIVERSITY TEACHING HOSPITALS NHS TRUST"/>
        <s v="IMPERIAL COLLEGE HEALTHCARE NHS TRUST"/>
        <s v="ISLE OF WIGHT NHS TRUST"/>
        <s v="JAMES PAGET UNIVERSITY HOSPITALS NHS FOUNDATION TRUST"/>
        <s v="KETTERING GENERAL HOSPITAL NHS FOUNDATION TRUST"/>
        <s v="KING'S COLLEGE HOSPITAL NHS FOUNDATION TRUST"/>
        <s v="KINGSTON AND RICHMOND NHS FOUNDATION TRUST"/>
        <s v="KINGSTON HOSPITAL NHS FOUNDATION TRUST"/>
        <s v="LANCASHIRE TEACHING HOSPITALS NHS FOUNDATION TRUST"/>
        <s v="LEEDS TEACHING HOSPITALS NHS TRUST"/>
        <s v="LEWISHAM AND GREENWICH NHS TRUST"/>
        <s v="LIVERPOOL HEART AND CHEST HOSPITAL NHS FOUNDATION TRUST"/>
        <s v="LIVERPOOL UNIVERSITY HOSPITALS NHS FOUNDATION TRUST"/>
        <s v="LIVERPOOL WOMEN'S NHS FOUNDATION TRUST"/>
        <s v="LONDON NORTH WEST UNIVERSITY HEALTHCARE NHS TRUST"/>
        <s v="MAIDSTONE AND TUNBRIDGE WELLS NHS TRUST"/>
        <s v="MANCHESTER UNIVERSITY NHS FOUNDATION TRUST"/>
        <s v="MEDWAY NHS FOUNDATION TRUST"/>
        <s v="MERSEY AND WEST LANCASHIRE TEACHING HOSPITALS NHS TRUST"/>
        <s v="MID AND SOUTH ESSEX NHS FOUNDATION TRUST"/>
        <s v="MID CHESHIRE HOSPITALS NHS FOUNDATION TRUST"/>
        <s v="MID YORKSHIRE TEACHING NHS TRUST"/>
        <s v="MILTON KEYNES UNIVERSITY HOSPITAL NHS FOUNDATION TRUST"/>
        <s v="MOORFIELDS EYE HOSPITAL NHS FOUNDATION TRUST"/>
        <s v="NORFOLK AND NORWICH UNIVERSITY HOSPITALS NHS FOUNDATION TRUST"/>
        <s v="NORTH BRISTOL NHS TRUST"/>
        <s v="NORTH CUMBRIA INTEGRATED CARE NHS FOUNDATION TRUST"/>
        <s v="NORTH MIDDLESEX UNIVERSITY HOSPITAL NHS TRUST"/>
        <s v="NORTH TEES AND HARTLEPOOL NHS FOUNDATION TRUST"/>
        <s v="NORTH WEST ANGLIA NHS FOUNDATION TRUST"/>
        <s v="NORTHAMPTON GENERAL HOSPITAL NHS TRUST"/>
        <s v="NORTHERN CARE ALLIANCE NHS FOUNDATION TRUST"/>
        <s v="NORTHERN LINCOLNSHIRE AND GOOLE NHS FOUNDATION TRUST"/>
        <s v="NORTHUMBRIA HEALTHCARE NHS FOUNDATION TRUST"/>
        <s v="NOTTINGHAM UNIVERSITY HOSPITALS NHS TRUST"/>
        <s v="OXFORD UNIVERSITY HOSPITALS NHS FOUNDATION TRUST"/>
        <s v="PORTSMOUTH HOSPITALS UNIVERSITY NHS TRUST"/>
        <s v="QUEEN VICTORIA HOSPITAL NHS FOUNDATION TRUST"/>
        <s v="ROYAL BERKSHIRE NHS FOUNDATION TRUST"/>
        <s v="ROYAL CORNWALL HOSPITALS NHS TRUST"/>
        <s v="ROYAL DEVON UNIVERSITY HEALTHCARE NHS FOUNDATION TRUST"/>
        <s v="ROYAL FREE LONDON NHS FOUNDATION TRUST"/>
        <s v="ROYAL NATIONAL ORTHOPAEDIC HOSPITAL NHS TRUST"/>
        <s v="ROYAL PAPWORTH HOSPITAL NHS FOUNDATION TRUST"/>
        <s v="ROYAL SURREY COUNTY HOSPITAL NHS FOUNDATION TRUST"/>
        <s v="ROYAL UNITED HOSPITALS BATH NHS FOUNDATION TRUST"/>
        <s v="SALISBURY NHS FOUNDATION TRUST"/>
        <s v="SANDWELL AND WEST BIRMINGHAM HOSPITALS NHS TRUST"/>
        <s v="SHEFFIELD CHILDREN'S NHS FOUNDATION TRUST"/>
        <s v="SHEFFIELD TEACHING HOSPITALS NHS FOUNDATION TRUST"/>
        <s v="SHERWOOD FOREST HOSPITALS NHS FOUNDATION TRUST"/>
        <s v="SOMERSET NHS FOUNDATION TRUST"/>
        <s v="SOUTH TEES HOSPITALS NHS FOUNDATION TRUST"/>
        <s v="SOUTH TYNESIDE AND SUNDERLAND NHS FOUNDATION TRUST"/>
        <s v="SOUTH WARWICKSHIRE UNIVERSITY NHS FOUNDATION TRUST"/>
        <s v="ST GEORGE'S UNIVERSITY HOSPITALS NHS FOUNDATION TRUST"/>
        <s v="STOCKPORT NHS FOUNDATION TRUST"/>
        <s v="SURREY AND SUSSEX HEALTHCARE NHS TRUST"/>
        <s v="TAMESIDE AND GLOSSOP INTEGRATED CARE NHS FOUNDATION TRUST"/>
        <s v="THE CHRISTIE NHS FOUNDATION TRUST"/>
        <s v="THE CLATTERBRIDGE CANCER CENTRE NHS FOUNDATION TRUST"/>
        <s v="THE DUDLEY GROUP NHS FOUNDATION TRUST"/>
        <s v="THE HILLINGDON HOSPITALS NHS FOUNDATION TRUST"/>
        <s v="THE NEWCASTLE UPON TYNE HOSPITALS NHS FOUNDATION TRUST"/>
        <s v="THE PRINCESS ALEXANDRA HOSPITAL NHS TRUST"/>
        <s v="THE QUEEN ELIZABETH HOSPITAL KING'S LYNN NHS FOUNDATION TRUST"/>
        <s v="THE ROBERT JONES AND AGNES HUNT ORTHOPAEDIC HOSPITAL NHS FOUNDATION TRUST"/>
        <s v="THE ROTHERHAM NHS FOUNDATION TRUST"/>
        <s v="THE ROYAL MARSDEN NHS FOUNDATION TRUST"/>
        <s v="THE ROYAL ORTHOPAEDIC HOSPITAL NHS FOUNDATION TRUST"/>
        <s v="THE ROYAL WOLVERHAMPTON NHS TRUST"/>
        <s v="THE SHREWSBURY AND TELFORD HOSPITAL NHS TRUST"/>
        <s v="THE WALTON CENTRE NHS FOUNDATION TRUST"/>
        <s v="TORBAY AND SOUTH DEVON NHS FOUNDATION TRUST"/>
        <s v="UNITED LINCOLNSHIRE HOSPITALS NHS TRUST"/>
        <s v="UNIVERSITY COLLEGE LONDON HOSPITALS NHS FOUNDATION TRUST"/>
        <s v="UNIVERSITY HOSPITAL SOUTHAMPTON NHS FOUNDATION TRUST"/>
        <s v="UNIVERSITY HOSPITALS BIRMINGHAM NHS FOUNDATION TRUST"/>
        <s v="University Hospitals Bristol and Weston NHS Foundation Trust"/>
        <s v="UNIVERSITY HOSPITALS COVENTRY AND WARWICKSHIRE NHS TRUST"/>
        <s v="UNIVERSITY HOSPITALS DORSET NHS FOUNDATION TRUST"/>
        <s v="UNIVERSITY HOSPITALS OF DERBY AND BURTON NHS FOUNDATION TRUST"/>
        <s v="UNIVERSITY HOSPITALS OF LEICESTER NHS TRUST"/>
        <s v="UNIVERSITY HOSPITALS OF MORECAMBE BAY NHS FOUNDATION TRUST"/>
        <s v="UNIVERSITY HOSPITALS OF NORTH MIDLANDS NHS TRUST"/>
        <s v="UNIVERSITY HOSPITALS PLYMOUTH NHS TRUST"/>
        <s v="UNIVERSITY HOSPITALS SUSSEX NHS FOUNDATION TRUST"/>
        <s v="WALSALL HEALTHCARE NHS TRUST"/>
        <s v="WARRINGTON AND HALTON TEACHING HOSPITALS NHS FOUNDATION TRUST"/>
        <s v="WEST HERTFORDSHIRE TEACHING HOSPITALS NHS TRUST"/>
        <s v="WEST SUFFOLK NHS FOUNDATION TRUST"/>
        <s v="WHITTINGTON HEALTH NHS TRUST"/>
        <s v="WIRRAL UNIVERSITY TEACHING HOSPITAL NHS FOUNDATION TRUST"/>
        <s v="WORCESTERSHIRE ACUTE HOSPITALS NHS TRUST"/>
        <s v="WRIGHTINGTON, WIGAN AND LEIGH TEACHING HOSPITALS NHS FOUNDATION TRUST"/>
        <s v="WYE VALLEY NHS TRUST"/>
        <s v="YORK AND SCARBOROUGH TEACHING HOSPITALS NHS FOUNDATION TRUST"/>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2" memberValueDatatype="130" unbalanced="0">
      <fieldsUsage count="2">
        <fieldUsage x="-1"/>
        <fieldUsage x="3"/>
      </fieldsUsage>
    </cacheHierarchy>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2"/>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oneField="1" hidden="1">
      <fieldsUsage count="1">
        <fieldUsage x="1"/>
      </fieldsUsage>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80.536165277779" createdVersion="4" refreshedVersion="8" minRefreshableVersion="3" recordCount="0" supportSubquery="1" supportAdvancedDrill="1" xr:uid="{00000000-000A-0000-FFFF-FFFF08010000}">
  <cacheSource type="external" connectionId="3"/>
  <cacheFields count="4">
    <cacheField name="[Winter daily sitreps].[Year].[Year]" caption="Year" numFmtId="0" hierarchy="95" level="1">
      <sharedItems containsSemiMixedTypes="0" containsNonDate="0" containsString="0"/>
    </cacheField>
    <cacheField name="[Measures].[Sum of Beds closed norovirus]" caption="Sum of Beds closed norovirus" numFmtId="0" hierarchy="120" level="32767"/>
    <cacheField name="[Winter daily sitreps].[Week long].[Week long]" caption="Week long" numFmtId="0" hierarchy="101" level="1">
      <sharedItems count="8">
        <s v="Week 1"/>
        <s v="Week 2"/>
        <s v="Week 3"/>
        <s v="Week 4"/>
        <s v="Week 5"/>
        <s v="Week 6"/>
        <s v="Week 7"/>
        <s v="Week 8"/>
      </sharedItems>
    </cacheField>
    <cacheField name="[Winter daily sitreps].[Region].[Region]" caption="Region" numFmtId="0" hierarchy="94" level="1">
      <sharedItems count="7">
        <s v="East Of England"/>
        <s v="London"/>
        <s v="Midlands"/>
        <s v="North East and Yorkshire"/>
        <s v="North West"/>
        <s v="South East"/>
        <s v="South West"/>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3"/>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2"/>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oneField="1" hidden="1">
      <fieldsUsage count="1">
        <fieldUsage x="1"/>
      </fieldsUsage>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80.536166435188" createdVersion="4" refreshedVersion="8" minRefreshableVersion="3" recordCount="0" supportSubquery="1" supportAdvancedDrill="1" xr:uid="{00000000-000A-0000-FFFF-FFFF19010000}">
  <cacheSource type="external" connectionId="3"/>
  <cacheFields count="3">
    <cacheField name="[Winter daily sitreps].[Year].[Year]" caption="Year" numFmtId="0" hierarchy="95" level="1">
      <sharedItems containsSemiMixedTypes="0" containsNonDate="0" containsString="0"/>
    </cacheField>
    <cacheField name="[Winter daily sitreps].[Week].[Week]" caption="Week" numFmtId="0" hierarchy="70" level="1">
      <sharedItems containsSemiMixedTypes="0" containsString="0" containsNumber="1" containsInteger="1" minValue="1" maxValue="8" count="8">
        <n v="1"/>
        <n v="2"/>
        <n v="3"/>
        <n v="4"/>
        <n v="5"/>
        <n v="6"/>
        <n v="7"/>
        <n v="8"/>
      </sharedItems>
    </cacheField>
    <cacheField name="[Measures].[Sum of Beds closed norovirus]" caption="Sum of Beds closed norovirus" numFmtId="0" hierarchy="120"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oneField="1" hidden="1">
      <fieldsUsage count="1">
        <fieldUsage x="2"/>
      </fieldsUsage>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80.53616747685" createdVersion="4" refreshedVersion="8" minRefreshableVersion="3" recordCount="0" supportSubquery="1" supportAdvancedDrill="1" xr:uid="{00000000-000A-0000-FFFF-FFFF16010000}">
  <cacheSource type="external" connectionId="3"/>
  <cacheFields count="5">
    <cacheField name="[Winter daily sitreps].[Year].[Year]" caption="Year" numFmtId="0" hierarchy="95" level="1">
      <sharedItems containsSemiMixedTypes="0" containsNonDate="0" containsString="0"/>
    </cacheField>
    <cacheField name="[Measures].[Sum of GA core beds avail]" caption="Sum of GA core beds avail" numFmtId="0" hierarchy="136" level="32767"/>
    <cacheField name="[Measures].[Sum of GA escalation beds avail]" caption="Sum of GA escalation beds avail" numFmtId="0" hierarchy="137" level="32767"/>
    <cacheField name="[Measures].[Sum of GA total beds avail]" caption="Sum of GA total beds avail" numFmtId="0" hierarchy="116" level="32767"/>
    <cacheField name="[Winter daily sitreps].[Date].[Date]" caption="Date" numFmtId="0" hierarchy="69" level="1">
      <sharedItems containsSemiMixedTypes="0" containsNonDate="0" containsDate="1" containsString="0" minDate="2024-11-25T00:00:00" maxDate="2025-01-20T00:00:00" count="56">
        <d v="2024-11-25T00:00:00"/>
        <d v="2024-11-26T00:00:00"/>
        <d v="2024-11-27T00:00:00"/>
        <d v="2024-11-28T00:00:00"/>
        <d v="2024-11-29T00:00:00"/>
        <d v="2024-11-30T00:00:00"/>
        <d v="2024-12-01T00:00:00"/>
        <d v="2024-12-02T00:00:00"/>
        <d v="2024-12-03T00:00:00"/>
        <d v="2024-12-04T00:00:00"/>
        <d v="2024-12-05T00:00:00"/>
        <d v="2024-12-06T00:00:00"/>
        <d v="2024-12-07T00:00:00"/>
        <d v="2024-12-08T00:00:00"/>
        <d v="2024-12-09T00:00:00"/>
        <d v="2024-12-10T00:00:00"/>
        <d v="2024-12-11T00:00:00"/>
        <d v="2024-12-12T00:00:00"/>
        <d v="2024-12-13T00:00:00"/>
        <d v="2024-12-14T00:00:00"/>
        <d v="2024-12-15T00:00:00"/>
        <d v="2024-12-16T00:00:00"/>
        <d v="2024-12-17T00:00:00"/>
        <d v="2024-12-18T00:00:00"/>
        <d v="2024-12-19T00:00:00"/>
        <d v="2024-12-20T00:00:00"/>
        <d v="2024-12-21T00:00:00"/>
        <d v="2024-12-22T00:00:00"/>
        <d v="2024-12-23T00:00:00"/>
        <d v="2024-12-24T00:00:00"/>
        <d v="2024-12-25T00:00:00"/>
        <d v="2024-12-26T00:00:00"/>
        <d v="2024-12-27T00:00:00"/>
        <d v="2024-12-28T00:00:00"/>
        <d v="2024-12-29T00:00:00"/>
        <d v="2024-12-30T00:00:00"/>
        <d v="2024-12-31T00:00:00"/>
        <d v="2025-01-01T00:00:00"/>
        <d v="2025-01-02T00:00:00"/>
        <d v="2025-01-03T00:00:00"/>
        <d v="2025-01-04T00:00:00"/>
        <d v="2025-01-05T00:00:00"/>
        <d v="2025-01-06T00:00:00"/>
        <d v="2025-01-07T00:00:00"/>
        <d v="2025-01-08T00:00:00"/>
        <d v="2025-01-09T00:00:00"/>
        <d v="2025-01-10T00:00:00"/>
        <d v="2025-01-11T00:00:00"/>
        <d v="2025-01-12T00:00:00"/>
        <d v="2025-01-13T00:00:00"/>
        <d v="2025-01-14T00:00:00"/>
        <d v="2025-01-15T00:00:00"/>
        <d v="2025-01-16T00:00:00"/>
        <d v="2025-01-17T00:00:00"/>
        <d v="2025-01-18T00:00:00"/>
        <d v="2025-01-19T00:00:00"/>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2" memberValueDatatype="7" unbalanced="0">
      <fieldsUsage count="2">
        <fieldUsage x="-1"/>
        <fieldUsage x="4"/>
      </fieldsUsage>
    </cacheHierarchy>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oneField="1" hidden="1">
      <fieldsUsage count="1">
        <fieldUsage x="3"/>
      </fieldsUsage>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oneField="1" hidden="1">
      <fieldsUsage count="1">
        <fieldUsage x="1"/>
      </fieldsUsage>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oneField="1" hidden="1">
      <fieldsUsage count="1">
        <fieldUsage x="2"/>
      </fieldsUsage>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4.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80.536168634259" createdVersion="4" refreshedVersion="8" minRefreshableVersion="3" recordCount="0" supportSubquery="1" supportAdvancedDrill="1" xr:uid="{00000000-000A-0000-FFFF-FFFF03010000}">
  <cacheSource type="external" connectionId="3"/>
  <cacheFields count="6">
    <cacheField name="[Winter daily sitreps].[Year].[Year]" caption="Year" numFmtId="0" hierarchy="95" level="1">
      <sharedItems containsSemiMixedTypes="0" containsString="0"/>
    </cacheField>
    <cacheField name="[Measures].[Sum of GA core beds avail]" caption="Sum of GA core beds avail" numFmtId="0" hierarchy="136" level="32767"/>
    <cacheField name="[Measures].[Sum of GA escalation beds avail]" caption="Sum of GA escalation beds avail" numFmtId="0" hierarchy="137" level="32767"/>
    <cacheField name="[Winter daily sitreps].[Region].[Region]" caption="Region" numFmtId="0" hierarchy="94" level="1">
      <sharedItems count="7">
        <s v="East Of England"/>
        <s v="London"/>
        <s v="Midlands"/>
        <s v="North East and Yorkshire"/>
        <s v="North West"/>
        <s v="South East"/>
        <s v="South West"/>
      </sharedItems>
    </cacheField>
    <cacheField name="[Measures].[Sum of GA total beds avail]" caption="Sum of GA total beds avail" numFmtId="0" hierarchy="116" level="32767"/>
    <cacheField name="[Winter daily sitreps].[Week long].[Week long]" caption="Week long" numFmtId="0" hierarchy="101" level="1">
      <sharedItems count="8">
        <s v="Week 1"/>
        <s v="Week 2"/>
        <s v="Week 3"/>
        <s v="Week 4"/>
        <s v="Week 5"/>
        <s v="Week 6"/>
        <s v="Week 7"/>
        <s v="Week 8"/>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3"/>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5"/>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oneField="1" hidden="1">
      <fieldsUsage count="1">
        <fieldUsage x="4"/>
      </fieldsUsage>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oneField="1" hidden="1">
      <fieldsUsage count="1">
        <fieldUsage x="1"/>
      </fieldsUsage>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oneField="1" hidden="1">
      <fieldsUsage count="1">
        <fieldUsage x="2"/>
      </fieldsUsage>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5.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80.536169675928" createdVersion="4" refreshedVersion="8" minRefreshableVersion="3" recordCount="0" supportSubquery="1" supportAdvancedDrill="1" xr:uid="{00000000-000A-0000-FFFF-FFFF15010000}">
  <cacheSource type="external" connectionId="3"/>
  <cacheFields count="5">
    <cacheField name="[Winter daily sitreps].[Year].[Year]" caption="Year" numFmtId="0" hierarchy="95" level="1">
      <sharedItems containsSemiMixedTypes="0" containsNonDate="0" containsString="0"/>
    </cacheField>
    <cacheField name="[Measures].[Sum of GA core beds avail]" caption="Sum of GA core beds avail" numFmtId="0" hierarchy="136" level="32767"/>
    <cacheField name="[Measures].[Sum of GA escalation beds avail]" caption="Sum of GA escalation beds avail" numFmtId="0" hierarchy="137" level="32767"/>
    <cacheField name="[Measures].[Sum of GA total beds avail]" caption="Sum of GA total beds avail" numFmtId="0" hierarchy="116" level="32767"/>
    <cacheField name="[Winter daily sitreps].[Date].[Date]" caption="Date" numFmtId="0" hierarchy="69" level="1">
      <sharedItems containsSemiMixedTypes="0" containsNonDate="0" containsDate="1" containsString="0" minDate="2024-11-25T00:00:00" maxDate="2025-01-20T00:00:00" count="56">
        <d v="2024-11-25T00:00:00"/>
        <d v="2024-11-26T00:00:00"/>
        <d v="2024-11-27T00:00:00"/>
        <d v="2024-11-28T00:00:00"/>
        <d v="2024-11-29T00:00:00"/>
        <d v="2024-11-30T00:00:00"/>
        <d v="2024-12-01T00:00:00"/>
        <d v="2024-12-02T00:00:00"/>
        <d v="2024-12-03T00:00:00"/>
        <d v="2024-12-04T00:00:00"/>
        <d v="2024-12-05T00:00:00"/>
        <d v="2024-12-06T00:00:00"/>
        <d v="2024-12-07T00:00:00"/>
        <d v="2024-12-08T00:00:00"/>
        <d v="2024-12-09T00:00:00"/>
        <d v="2024-12-10T00:00:00"/>
        <d v="2024-12-11T00:00:00"/>
        <d v="2024-12-12T00:00:00"/>
        <d v="2024-12-13T00:00:00"/>
        <d v="2024-12-14T00:00:00"/>
        <d v="2024-12-15T00:00:00"/>
        <d v="2024-12-16T00:00:00"/>
        <d v="2024-12-17T00:00:00"/>
        <d v="2024-12-18T00:00:00"/>
        <d v="2024-12-19T00:00:00"/>
        <d v="2024-12-20T00:00:00"/>
        <d v="2024-12-21T00:00:00"/>
        <d v="2024-12-22T00:00:00"/>
        <d v="2024-12-23T00:00:00"/>
        <d v="2024-12-24T00:00:00"/>
        <d v="2024-12-25T00:00:00"/>
        <d v="2024-12-26T00:00:00"/>
        <d v="2024-12-27T00:00:00"/>
        <d v="2024-12-28T00:00:00"/>
        <d v="2024-12-29T00:00:00"/>
        <d v="2024-12-30T00:00:00"/>
        <d v="2024-12-31T00:00:00"/>
        <d v="2025-01-01T00:00:00"/>
        <d v="2025-01-02T00:00:00"/>
        <d v="2025-01-03T00:00:00"/>
        <d v="2025-01-04T00:00:00"/>
        <d v="2025-01-05T00:00:00"/>
        <d v="2025-01-06T00:00:00"/>
        <d v="2025-01-07T00:00:00"/>
        <d v="2025-01-08T00:00:00"/>
        <d v="2025-01-09T00:00:00"/>
        <d v="2025-01-10T00:00:00"/>
        <d v="2025-01-11T00:00:00"/>
        <d v="2025-01-12T00:00:00"/>
        <d v="2025-01-13T00:00:00"/>
        <d v="2025-01-14T00:00:00"/>
        <d v="2025-01-15T00:00:00"/>
        <d v="2025-01-16T00:00:00"/>
        <d v="2025-01-17T00:00:00"/>
        <d v="2025-01-18T00:00:00"/>
        <d v="2025-01-19T00:00:00"/>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2" memberValueDatatype="7" unbalanced="0">
      <fieldsUsage count="2">
        <fieldUsage x="-1"/>
        <fieldUsage x="4"/>
      </fieldsUsage>
    </cacheHierarchy>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oneField="1" hidden="1">
      <fieldsUsage count="1">
        <fieldUsage x="3"/>
      </fieldsUsage>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oneField="1" hidden="1">
      <fieldsUsage count="1">
        <fieldUsage x="1"/>
      </fieldsUsage>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oneField="1" hidden="1">
      <fieldsUsage count="1">
        <fieldUsage x="2"/>
      </fieldsUsage>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6.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80.536170717591" createdVersion="4" refreshedVersion="8" minRefreshableVersion="3" recordCount="0" supportSubquery="1" supportAdvancedDrill="1" xr:uid="{00000000-000A-0000-FFFF-FFFF14010000}">
  <cacheSource type="external" connectionId="3"/>
  <cacheFields count="5">
    <cacheField name="[Winter daily sitreps].[Year].[Year]" caption="Year" numFmtId="0" hierarchy="95" level="1">
      <sharedItems containsSemiMixedTypes="0" containsNonDate="0" containsString="0"/>
    </cacheField>
    <cacheField name="[Winter daily sitreps].[Week].[Week]" caption="Week" numFmtId="0" hierarchy="70" level="1">
      <sharedItems containsSemiMixedTypes="0" containsString="0" containsNumber="1" containsInteger="1" minValue="1" maxValue="8" count="8">
        <n v="1"/>
        <n v="2"/>
        <n v="3"/>
        <n v="4"/>
        <n v="5"/>
        <n v="6"/>
        <n v="7"/>
        <n v="8"/>
      </sharedItems>
    </cacheField>
    <cacheField name="[Measures].[Sum of GA core beds avail]" caption="Sum of GA core beds avail" numFmtId="0" hierarchy="136" level="32767"/>
    <cacheField name="[Measures].[Sum of GA escalation beds avail]" caption="Sum of GA escalation beds avail" numFmtId="0" hierarchy="137" level="32767"/>
    <cacheField name="[Measures].[Sum of GA total beds avail]" caption="Sum of GA total beds avail" numFmtId="0" hierarchy="116"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oneField="1" hidden="1">
      <fieldsUsage count="1">
        <fieldUsage x="4"/>
      </fieldsUsage>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oneField="1" hidden="1">
      <fieldsUsage count="1">
        <fieldUsage x="2"/>
      </fieldsUsage>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oneField="1" hidden="1">
      <fieldsUsage count="1">
        <fieldUsage x="3"/>
      </fieldsUsage>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7.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80.536171874999" createdVersion="4" refreshedVersion="8" minRefreshableVersion="3" recordCount="0" supportSubquery="1" supportAdvancedDrill="1" xr:uid="{00000000-000A-0000-FFFF-FFFF13010000}">
  <cacheSource type="external" connectionId="3"/>
  <cacheFields count="3">
    <cacheField name="[Measures].[Sum of AE diverts]" caption="Sum of AE diverts" numFmtId="0" hierarchy="113" level="32767"/>
    <cacheField name="[Winter daily sitreps].[Year].[Year]" caption="Year" numFmtId="0" hierarchy="95" level="1">
      <sharedItems containsSemiMixedTypes="0" containsNonDate="0" containsString="0"/>
    </cacheField>
    <cacheField name="[Winter daily sitreps].[Date].[Date]" caption="Date" numFmtId="0" hierarchy="69" level="1">
      <sharedItems containsSemiMixedTypes="0" containsNonDate="0" containsDate="1" containsString="0" minDate="2024-11-25T00:00:00" maxDate="2025-01-20T00:00:00" count="56">
        <d v="2024-11-25T00:00:00"/>
        <d v="2024-11-26T00:00:00"/>
        <d v="2024-11-27T00:00:00"/>
        <d v="2024-11-28T00:00:00"/>
        <d v="2024-11-29T00:00:00"/>
        <d v="2024-11-30T00:00:00"/>
        <d v="2024-12-01T00:00:00"/>
        <d v="2024-12-02T00:00:00"/>
        <d v="2024-12-03T00:00:00"/>
        <d v="2024-12-04T00:00:00"/>
        <d v="2024-12-05T00:00:00"/>
        <d v="2024-12-06T00:00:00"/>
        <d v="2024-12-07T00:00:00"/>
        <d v="2024-12-08T00:00:00"/>
        <d v="2024-12-09T00:00:00"/>
        <d v="2024-12-10T00:00:00"/>
        <d v="2024-12-11T00:00:00"/>
        <d v="2024-12-12T00:00:00"/>
        <d v="2024-12-13T00:00:00"/>
        <d v="2024-12-14T00:00:00"/>
        <d v="2024-12-15T00:00:00"/>
        <d v="2024-12-16T00:00:00"/>
        <d v="2024-12-17T00:00:00"/>
        <d v="2024-12-18T00:00:00"/>
        <d v="2024-12-19T00:00:00"/>
        <d v="2024-12-20T00:00:00"/>
        <d v="2024-12-21T00:00:00"/>
        <d v="2024-12-22T00:00:00"/>
        <d v="2024-12-23T00:00:00"/>
        <d v="2024-12-24T00:00:00"/>
        <d v="2024-12-25T00:00:00"/>
        <d v="2024-12-26T00:00:00"/>
        <d v="2024-12-27T00:00:00"/>
        <d v="2024-12-28T00:00:00"/>
        <d v="2024-12-29T00:00:00"/>
        <d v="2024-12-30T00:00:00"/>
        <d v="2024-12-31T00:00:00"/>
        <d v="2025-01-01T00:00:00"/>
        <d v="2025-01-02T00:00:00"/>
        <d v="2025-01-03T00:00:00"/>
        <d v="2025-01-04T00:00:00"/>
        <d v="2025-01-05T00:00:00"/>
        <d v="2025-01-06T00:00:00"/>
        <d v="2025-01-07T00:00:00"/>
        <d v="2025-01-08T00:00:00"/>
        <d v="2025-01-09T00:00:00"/>
        <d v="2025-01-10T00:00:00"/>
        <d v="2025-01-11T00:00:00"/>
        <d v="2025-01-12T00:00:00"/>
        <d v="2025-01-13T00:00:00"/>
        <d v="2025-01-14T00:00:00"/>
        <d v="2025-01-15T00:00:00"/>
        <d v="2025-01-16T00:00:00"/>
        <d v="2025-01-17T00:00:00"/>
        <d v="2025-01-18T00:00:00"/>
        <d v="2025-01-19T00:00:00"/>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2" memberValueDatatype="7" unbalanced="0">
      <fieldsUsage count="2">
        <fieldUsage x="-1"/>
        <fieldUsage x="2"/>
      </fieldsUsage>
    </cacheHierarchy>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1"/>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oneField="1" hidden="1">
      <fieldsUsage count="1">
        <fieldUsage x="0"/>
      </fieldsUsage>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8.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80.536172916669" createdVersion="4" refreshedVersion="8" minRefreshableVersion="3" recordCount="0" supportSubquery="1" supportAdvancedDrill="1" xr:uid="{00000000-000A-0000-FFFF-FFFF12010000}">
  <cacheSource type="external" connectionId="3"/>
  <cacheFields count="3">
    <cacheField name="[Measures].[Sum of AE diverts]" caption="Sum of AE diverts" numFmtId="0" hierarchy="113" level="32767"/>
    <cacheField name="[Winter daily sitreps].[Year].[Year]" caption="Year" numFmtId="0" hierarchy="95" level="1">
      <sharedItems containsSemiMixedTypes="0" containsNonDate="0" containsString="0"/>
    </cacheField>
    <cacheField name="[Winter daily sitreps].[Date].[Date]" caption="Date" numFmtId="0" hierarchy="69" level="1">
      <sharedItems containsSemiMixedTypes="0" containsNonDate="0" containsDate="1" containsString="0" minDate="2024-11-25T00:00:00" maxDate="2025-01-20T00:00:00" count="56">
        <d v="2024-11-25T00:00:00"/>
        <d v="2024-11-26T00:00:00"/>
        <d v="2024-11-27T00:00:00"/>
        <d v="2024-11-28T00:00:00"/>
        <d v="2024-11-29T00:00:00"/>
        <d v="2024-11-30T00:00:00"/>
        <d v="2024-12-01T00:00:00"/>
        <d v="2024-12-02T00:00:00"/>
        <d v="2024-12-03T00:00:00"/>
        <d v="2024-12-04T00:00:00"/>
        <d v="2024-12-05T00:00:00"/>
        <d v="2024-12-06T00:00:00"/>
        <d v="2024-12-07T00:00:00"/>
        <d v="2024-12-08T00:00:00"/>
        <d v="2024-12-09T00:00:00"/>
        <d v="2024-12-10T00:00:00"/>
        <d v="2024-12-11T00:00:00"/>
        <d v="2024-12-12T00:00:00"/>
        <d v="2024-12-13T00:00:00"/>
        <d v="2024-12-14T00:00:00"/>
        <d v="2024-12-15T00:00:00"/>
        <d v="2024-12-16T00:00:00"/>
        <d v="2024-12-17T00:00:00"/>
        <d v="2024-12-18T00:00:00"/>
        <d v="2024-12-19T00:00:00"/>
        <d v="2024-12-20T00:00:00"/>
        <d v="2024-12-21T00:00:00"/>
        <d v="2024-12-22T00:00:00"/>
        <d v="2024-12-23T00:00:00"/>
        <d v="2024-12-24T00:00:00"/>
        <d v="2024-12-25T00:00:00"/>
        <d v="2024-12-26T00:00:00"/>
        <d v="2024-12-27T00:00:00"/>
        <d v="2024-12-28T00:00:00"/>
        <d v="2024-12-29T00:00:00"/>
        <d v="2024-12-30T00:00:00"/>
        <d v="2024-12-31T00:00:00"/>
        <d v="2025-01-01T00:00:00"/>
        <d v="2025-01-02T00:00:00"/>
        <d v="2025-01-03T00:00:00"/>
        <d v="2025-01-04T00:00:00"/>
        <d v="2025-01-05T00:00:00"/>
        <d v="2025-01-06T00:00:00"/>
        <d v="2025-01-07T00:00:00"/>
        <d v="2025-01-08T00:00:00"/>
        <d v="2025-01-09T00:00:00"/>
        <d v="2025-01-10T00:00:00"/>
        <d v="2025-01-11T00:00:00"/>
        <d v="2025-01-12T00:00:00"/>
        <d v="2025-01-13T00:00:00"/>
        <d v="2025-01-14T00:00:00"/>
        <d v="2025-01-15T00:00:00"/>
        <d v="2025-01-16T00:00:00"/>
        <d v="2025-01-17T00:00:00"/>
        <d v="2025-01-18T00:00:00"/>
        <d v="2025-01-19T00:00:00"/>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2" memberValueDatatype="7" unbalanced="0">
      <fieldsUsage count="2">
        <fieldUsage x="-1"/>
        <fieldUsage x="2"/>
      </fieldsUsage>
    </cacheHierarchy>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1"/>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oneField="1" hidden="1">
      <fieldsUsage count="1">
        <fieldUsage x="0"/>
      </fieldsUsage>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9.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80.536174074077" createdVersion="4" refreshedVersion="8" minRefreshableVersion="3" recordCount="0" supportSubquery="1" supportAdvancedDrill="1" xr:uid="{00000000-000A-0000-FFFF-FFFF02010000}">
  <cacheSource type="external" connectionId="3"/>
  <cacheFields count="4">
    <cacheField name="[Measures].[Sum of AE diverts]" caption="Sum of AE diverts" numFmtId="0" hierarchy="113" level="32767"/>
    <cacheField name="[Winter daily sitreps].[Year].[Year]" caption="Year" numFmtId="0" hierarchy="95" level="1">
      <sharedItems containsSemiMixedTypes="0" containsNonDate="0" containsString="0"/>
    </cacheField>
    <cacheField name="[Winter daily sitreps].[Region].[Region]" caption="Region" numFmtId="0" hierarchy="94" level="1">
      <sharedItems count="7">
        <s v="East Of England"/>
        <s v="London"/>
        <s v="Midlands"/>
        <s v="North East and Yorkshire"/>
        <s v="North West"/>
        <s v="South East"/>
        <s v="South West"/>
      </sharedItems>
    </cacheField>
    <cacheField name="[Winter daily sitreps].[Week long].[Week long]" caption="Week long" numFmtId="0" hierarchy="101" level="1">
      <sharedItems count="8">
        <s v="Week 1"/>
        <s v="Week 2"/>
        <s v="Week 3"/>
        <s v="Week 4"/>
        <s v="Week 5"/>
        <s v="Week 6"/>
        <s v="Week 7"/>
        <s v="Week 8"/>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2"/>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1"/>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3"/>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oneField="1" hidden="1">
      <fieldsUsage count="1">
        <fieldUsage x="0"/>
      </fieldsUsage>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50.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80.53617511574" createdVersion="4" refreshedVersion="8" minRefreshableVersion="3" recordCount="0" supportSubquery="1" supportAdvancedDrill="1" xr:uid="{00000000-000A-0000-FFFF-FFFF11010000}">
  <cacheSource type="external" connectionId="3"/>
  <cacheFields count="3">
    <cacheField name="[Measures].[Sum of AE diverts]" caption="Sum of AE diverts" numFmtId="0" hierarchy="113" level="32767"/>
    <cacheField name="[Winter daily sitreps].[Week].[Week]" caption="Week" numFmtId="0" hierarchy="70" level="1">
      <sharedItems containsSemiMixedTypes="0" containsString="0" containsNumber="1" containsInteger="1" minValue="1" maxValue="8" count="8">
        <n v="1"/>
        <n v="2"/>
        <n v="3"/>
        <n v="4"/>
        <n v="5"/>
        <n v="6"/>
        <n v="7"/>
        <n v="8"/>
      </sharedItems>
    </cacheField>
    <cacheField name="[Winter daily sitreps].[Year].[Year]" caption="Year" numFmtId="0" hierarchy="95" level="1">
      <sharedItems containsSemiMixedTypes="0" containsNonDate="0" containsString="0"/>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2"/>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oneField="1" hidden="1">
      <fieldsUsage count="1">
        <fieldUsage x="0"/>
      </fieldsUsage>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Records1.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99">
  <r>
    <m/>
    <x v="0"/>
    <n v="639"/>
    <n v="84"/>
    <n v="85"/>
    <n v="117"/>
    <n v="92"/>
    <n v="108"/>
    <n v="80"/>
    <n v="73"/>
  </r>
  <r>
    <m/>
    <x v="0"/>
    <n v="661"/>
    <n v="67"/>
    <n v="80"/>
    <n v="152"/>
    <n v="114"/>
    <n v="86"/>
    <n v="103"/>
    <n v="59"/>
  </r>
  <r>
    <m/>
    <x v="0"/>
    <n v="590"/>
    <n v="54"/>
    <n v="82"/>
    <n v="129"/>
    <n v="101"/>
    <n v="80"/>
    <n v="85"/>
    <n v="59"/>
  </r>
  <r>
    <m/>
    <x v="0"/>
    <n v="583"/>
    <n v="64"/>
    <n v="75"/>
    <n v="122"/>
    <n v="93"/>
    <n v="67"/>
    <n v="104"/>
    <n v="58"/>
  </r>
  <r>
    <m/>
    <x v="0"/>
    <n v="468"/>
    <n v="47"/>
    <n v="77"/>
    <n v="95"/>
    <n v="62"/>
    <n v="54"/>
    <n v="78"/>
    <n v="55"/>
  </r>
  <r>
    <m/>
    <x v="0"/>
    <n v="498"/>
    <n v="69"/>
    <n v="69"/>
    <n v="76"/>
    <n v="81"/>
    <n v="63"/>
    <n v="93"/>
    <n v="47"/>
  </r>
  <r>
    <m/>
    <x v="0"/>
    <n v="589"/>
    <n v="64"/>
    <n v="68"/>
    <n v="99"/>
    <n v="111"/>
    <n v="65"/>
    <n v="96"/>
    <n v="86"/>
  </r>
  <r>
    <m/>
    <x v="1"/>
    <n v="724"/>
    <n v="82"/>
    <n v="122"/>
    <n v="138"/>
    <n v="102"/>
    <n v="91"/>
    <n v="88"/>
    <n v="101"/>
  </r>
  <r>
    <m/>
    <x v="1"/>
    <n v="779"/>
    <n v="76"/>
    <n v="105"/>
    <n v="136"/>
    <n v="125"/>
    <n v="82"/>
    <n v="113"/>
    <n v="142"/>
  </r>
  <r>
    <m/>
    <x v="1"/>
    <n v="748"/>
    <n v="74"/>
    <n v="122"/>
    <n v="137"/>
    <n v="114"/>
    <n v="87"/>
    <n v="128"/>
    <n v="86"/>
  </r>
  <r>
    <m/>
    <x v="1"/>
    <n v="697"/>
    <n v="82"/>
    <n v="92"/>
    <n v="135"/>
    <n v="94"/>
    <n v="82"/>
    <n v="108"/>
    <n v="104"/>
  </r>
  <r>
    <m/>
    <x v="1"/>
    <n v="607"/>
    <n v="91"/>
    <n v="83"/>
    <n v="115"/>
    <n v="94"/>
    <n v="67"/>
    <n v="102"/>
    <n v="55"/>
  </r>
  <r>
    <m/>
    <x v="1"/>
    <n v="582"/>
    <n v="72"/>
    <n v="71"/>
    <n v="96"/>
    <n v="62"/>
    <n v="83"/>
    <n v="106"/>
    <n v="92"/>
  </r>
  <r>
    <m/>
    <x v="1"/>
    <n v="872"/>
    <n v="100"/>
    <n v="112"/>
    <n v="166"/>
    <n v="151"/>
    <n v="112"/>
    <n v="137"/>
    <n v="94"/>
  </r>
  <r>
    <m/>
    <x v="2"/>
    <n v="965"/>
    <n v="98"/>
    <n v="124"/>
    <n v="179"/>
    <n v="182"/>
    <n v="130"/>
    <n v="129"/>
    <n v="123"/>
  </r>
  <r>
    <m/>
    <x v="2"/>
    <n v="1026"/>
    <n v="123"/>
    <n v="121"/>
    <n v="187"/>
    <n v="159"/>
    <n v="128"/>
    <n v="158"/>
    <n v="150"/>
  </r>
  <r>
    <m/>
    <x v="2"/>
    <n v="963"/>
    <n v="93"/>
    <n v="120"/>
    <n v="207"/>
    <n v="174"/>
    <n v="115"/>
    <n v="151"/>
    <n v="103"/>
  </r>
  <r>
    <m/>
    <x v="2"/>
    <n v="1064"/>
    <n v="107"/>
    <n v="134"/>
    <n v="197"/>
    <n v="176"/>
    <n v="132"/>
    <n v="180"/>
    <n v="138"/>
  </r>
  <r>
    <m/>
    <x v="2"/>
    <n v="834"/>
    <n v="121"/>
    <n v="84"/>
    <n v="160"/>
    <n v="140"/>
    <n v="85"/>
    <n v="135"/>
    <n v="109"/>
  </r>
  <r>
    <m/>
    <x v="2"/>
    <n v="799"/>
    <n v="80"/>
    <n v="114"/>
    <n v="141"/>
    <n v="133"/>
    <n v="68"/>
    <n v="132"/>
    <n v="131"/>
  </r>
  <r>
    <m/>
    <x v="2"/>
    <n v="1176"/>
    <n v="109"/>
    <n v="126"/>
    <n v="182"/>
    <n v="191"/>
    <n v="117"/>
    <n v="263"/>
    <n v="188"/>
  </r>
  <r>
    <m/>
    <x v="3"/>
    <n v="1296"/>
    <n v="166"/>
    <n v="104"/>
    <n v="251"/>
    <n v="181"/>
    <n v="171"/>
    <n v="211"/>
    <n v="212"/>
  </r>
  <r>
    <m/>
    <x v="3"/>
    <n v="1376"/>
    <n v="151"/>
    <n v="181"/>
    <n v="263"/>
    <n v="218"/>
    <n v="143"/>
    <n v="244"/>
    <n v="176"/>
  </r>
  <r>
    <m/>
    <x v="3"/>
    <n v="1293"/>
    <n v="136"/>
    <n v="165"/>
    <n v="255"/>
    <n v="192"/>
    <n v="167"/>
    <n v="227"/>
    <n v="151"/>
  </r>
  <r>
    <m/>
    <x v="3"/>
    <n v="1236"/>
    <n v="130"/>
    <n v="174"/>
    <n v="207"/>
    <n v="193"/>
    <n v="176"/>
    <n v="212"/>
    <n v="144"/>
  </r>
  <r>
    <m/>
    <x v="3"/>
    <n v="899"/>
    <n v="106"/>
    <n v="125"/>
    <n v="184"/>
    <n v="131"/>
    <n v="85"/>
    <n v="167"/>
    <n v="101"/>
  </r>
  <r>
    <m/>
    <x v="3"/>
    <n v="780"/>
    <n v="127"/>
    <n v="107"/>
    <n v="137"/>
    <n v="105"/>
    <n v="72"/>
    <n v="149"/>
    <n v="83"/>
  </r>
  <r>
    <m/>
    <x v="3"/>
    <n v="844"/>
    <n v="72"/>
    <n v="113"/>
    <n v="154"/>
    <n v="124"/>
    <n v="101"/>
    <n v="179"/>
    <n v="101"/>
  </r>
  <r>
    <m/>
    <x v="4"/>
    <n v="988"/>
    <n v="111"/>
    <n v="107"/>
    <n v="171"/>
    <n v="161"/>
    <n v="136"/>
    <n v="195"/>
    <n v="107"/>
  </r>
  <r>
    <m/>
    <x v="4"/>
    <n v="1134"/>
    <n v="113"/>
    <n v="150"/>
    <n v="179"/>
    <n v="196"/>
    <n v="160"/>
    <n v="199"/>
    <n v="137"/>
  </r>
  <r>
    <m/>
    <x v="4"/>
    <n v="1245"/>
    <n v="123"/>
    <n v="156"/>
    <n v="238"/>
    <n v="197"/>
    <n v="159"/>
    <n v="208"/>
    <n v="164"/>
  </r>
  <r>
    <m/>
    <x v="4"/>
    <n v="1225"/>
    <n v="141"/>
    <n v="145"/>
    <n v="250"/>
    <n v="206"/>
    <n v="176"/>
    <n v="177"/>
    <n v="130"/>
  </r>
  <r>
    <m/>
    <x v="4"/>
    <n v="940"/>
    <n v="74"/>
    <n v="139"/>
    <n v="191"/>
    <n v="164"/>
    <n v="115"/>
    <n v="129"/>
    <n v="128"/>
  </r>
  <r>
    <m/>
    <x v="4"/>
    <n v="723"/>
    <n v="84"/>
    <n v="97"/>
    <n v="160"/>
    <n v="122"/>
    <n v="101"/>
    <n v="91"/>
    <n v="68"/>
  </r>
  <r>
    <m/>
    <x v="4"/>
    <n v="784"/>
    <n v="112"/>
    <n v="88"/>
    <n v="157"/>
    <n v="114"/>
    <n v="88"/>
    <n v="130"/>
    <n v="95"/>
  </r>
  <r>
    <m/>
    <x v="5"/>
    <n v="916"/>
    <n v="102"/>
    <n v="97"/>
    <n v="173"/>
    <n v="192"/>
    <n v="138"/>
    <n v="131"/>
    <n v="83"/>
  </r>
  <r>
    <m/>
    <x v="5"/>
    <n v="992"/>
    <n v="106"/>
    <n v="123"/>
    <n v="183"/>
    <n v="176"/>
    <n v="126"/>
    <n v="170"/>
    <n v="108"/>
  </r>
  <r>
    <m/>
    <x v="5"/>
    <n v="922"/>
    <n v="108"/>
    <n v="106"/>
    <n v="186"/>
    <n v="159"/>
    <n v="137"/>
    <n v="131"/>
    <n v="95"/>
  </r>
  <r>
    <m/>
    <x v="5"/>
    <n v="899"/>
    <n v="109"/>
    <n v="119"/>
    <n v="154"/>
    <n v="161"/>
    <n v="112"/>
    <n v="137"/>
    <n v="107"/>
  </r>
  <r>
    <m/>
    <x v="5"/>
    <n v="705"/>
    <n v="76"/>
    <n v="86"/>
    <n v="139"/>
    <n v="149"/>
    <n v="80"/>
    <n v="114"/>
    <n v="61"/>
  </r>
  <r>
    <m/>
    <x v="5"/>
    <n v="628"/>
    <n v="57"/>
    <n v="65"/>
    <n v="123"/>
    <n v="129"/>
    <n v="91"/>
    <n v="105"/>
    <n v="58"/>
  </r>
  <r>
    <m/>
    <x v="5"/>
    <n v="776"/>
    <n v="83"/>
    <n v="89"/>
    <n v="153"/>
    <n v="132"/>
    <n v="124"/>
    <n v="106"/>
    <n v="89"/>
  </r>
  <r>
    <m/>
    <x v="6"/>
    <n v="737"/>
    <n v="86"/>
    <n v="93"/>
    <n v="140"/>
    <n v="147"/>
    <n v="107"/>
    <n v="100"/>
    <n v="64"/>
  </r>
  <r>
    <m/>
    <x v="6"/>
    <n v="661"/>
    <n v="70"/>
    <n v="87"/>
    <n v="133"/>
    <n v="112"/>
    <n v="103"/>
    <n v="101"/>
    <n v="55"/>
  </r>
  <r>
    <m/>
    <x v="6"/>
    <n v="692"/>
    <n v="74"/>
    <n v="72"/>
    <n v="152"/>
    <n v="138"/>
    <n v="95"/>
    <n v="94"/>
    <n v="67"/>
  </r>
  <r>
    <m/>
    <x v="6"/>
    <n v="664"/>
    <n v="64"/>
    <n v="66"/>
    <n v="144"/>
    <n v="125"/>
    <n v="99"/>
    <n v="94"/>
    <n v="72"/>
  </r>
  <r>
    <m/>
    <x v="6"/>
    <n v="510"/>
    <n v="60"/>
    <n v="52"/>
    <n v="119"/>
    <n v="89"/>
    <n v="82"/>
    <n v="63"/>
    <n v="45"/>
  </r>
  <r>
    <m/>
    <x v="6"/>
    <n v="417"/>
    <n v="56"/>
    <n v="50"/>
    <n v="89"/>
    <n v="67"/>
    <n v="67"/>
    <n v="59"/>
    <n v="29"/>
  </r>
  <r>
    <m/>
    <x v="6"/>
    <n v="567"/>
    <n v="75"/>
    <n v="53"/>
    <n v="102"/>
    <n v="115"/>
    <n v="80"/>
    <n v="78"/>
    <n v="64"/>
  </r>
  <r>
    <m/>
    <x v="7"/>
    <n v="599"/>
    <n v="55"/>
    <n v="60"/>
    <n v="121"/>
    <n v="100"/>
    <n v="88"/>
    <n v="114"/>
    <n v="61"/>
  </r>
  <r>
    <m/>
    <x v="7"/>
    <n v="565"/>
    <n v="70"/>
    <n v="59"/>
    <n v="122"/>
    <n v="114"/>
    <n v="78"/>
    <n v="80"/>
    <n v="42"/>
  </r>
  <r>
    <m/>
    <x v="7"/>
    <n v="595"/>
    <n v="64"/>
    <n v="76"/>
    <n v="122"/>
    <n v="99"/>
    <n v="86"/>
    <n v="89"/>
    <n v="59"/>
  </r>
  <r>
    <m/>
    <x v="7"/>
    <n v="618"/>
    <n v="74"/>
    <n v="70"/>
    <n v="122"/>
    <n v="111"/>
    <n v="101"/>
    <n v="79"/>
    <n v="61"/>
  </r>
  <r>
    <m/>
    <x v="7"/>
    <n v="447"/>
    <n v="56"/>
    <n v="50"/>
    <n v="101"/>
    <n v="85"/>
    <n v="68"/>
    <n v="47"/>
    <n v="40"/>
  </r>
  <r>
    <m/>
    <x v="7"/>
    <n v="493"/>
    <n v="50"/>
    <n v="34"/>
    <n v="132"/>
    <n v="68"/>
    <n v="56"/>
    <n v="90"/>
    <n v="63"/>
  </r>
  <r>
    <m/>
    <x v="7"/>
    <n v="590"/>
    <n v="83"/>
    <n v="38"/>
    <n v="105"/>
    <n v="133"/>
    <n v="66"/>
    <n v="102"/>
    <n v="63"/>
  </r>
  <r>
    <m/>
    <x v="8"/>
    <n v="617"/>
    <n v="67"/>
    <n v="63"/>
    <n v="108"/>
    <n v="132"/>
    <n v="56"/>
    <n v="122"/>
    <n v="69"/>
  </r>
  <r>
    <m/>
    <x v="8"/>
    <n v="695"/>
    <n v="95"/>
    <n v="74"/>
    <n v="136"/>
    <n v="135"/>
    <n v="80"/>
    <n v="108"/>
    <n v="67"/>
  </r>
  <r>
    <m/>
    <x v="8"/>
    <n v="706"/>
    <n v="77"/>
    <n v="96"/>
    <n v="164"/>
    <n v="109"/>
    <n v="75"/>
    <n v="100"/>
    <n v="85"/>
  </r>
  <r>
    <m/>
    <x v="8"/>
    <n v="654"/>
    <n v="77"/>
    <n v="83"/>
    <n v="130"/>
    <n v="115"/>
    <n v="67"/>
    <n v="115"/>
    <n v="67"/>
  </r>
  <r>
    <m/>
    <x v="8"/>
    <n v="558"/>
    <n v="72"/>
    <n v="63"/>
    <n v="119"/>
    <n v="115"/>
    <n v="65"/>
    <n v="72"/>
    <n v="52"/>
  </r>
  <r>
    <m/>
    <x v="8"/>
    <n v="562"/>
    <n v="64"/>
    <n v="54"/>
    <n v="100"/>
    <n v="118"/>
    <n v="73"/>
    <n v="102"/>
    <n v="51"/>
  </r>
  <r>
    <m/>
    <x v="8"/>
    <n v="705"/>
    <n v="98"/>
    <n v="58"/>
    <n v="119"/>
    <n v="148"/>
    <n v="69"/>
    <n v="126"/>
    <n v="87"/>
  </r>
  <r>
    <m/>
    <x v="9"/>
    <n v="741"/>
    <n v="111"/>
    <n v="81"/>
    <n v="127"/>
    <n v="142"/>
    <n v="81"/>
    <n v="116"/>
    <n v="83"/>
  </r>
  <r>
    <m/>
    <x v="9"/>
    <n v="752"/>
    <n v="115"/>
    <n v="87"/>
    <n v="125"/>
    <n v="136"/>
    <n v="90"/>
    <n v="106"/>
    <n v="93"/>
  </r>
  <r>
    <m/>
    <x v="9"/>
    <n v="780"/>
    <n v="98"/>
    <n v="105"/>
    <n v="150"/>
    <n v="149"/>
    <n v="75"/>
    <n v="117"/>
    <n v="86"/>
  </r>
  <r>
    <m/>
    <x v="9"/>
    <n v="713"/>
    <n v="92"/>
    <n v="98"/>
    <n v="148"/>
    <n v="101"/>
    <n v="68"/>
    <n v="123"/>
    <n v="83"/>
  </r>
  <r>
    <m/>
    <x v="9"/>
    <n v="573"/>
    <n v="67"/>
    <n v="72"/>
    <n v="115"/>
    <n v="103"/>
    <n v="73"/>
    <n v="77"/>
    <n v="66"/>
  </r>
  <r>
    <m/>
    <x v="9"/>
    <n v="668"/>
    <n v="116"/>
    <n v="74"/>
    <n v="104"/>
    <n v="119"/>
    <n v="58"/>
    <n v="106"/>
    <n v="91"/>
  </r>
  <r>
    <m/>
    <x v="9"/>
    <n v="747"/>
    <n v="140"/>
    <n v="79"/>
    <n v="114"/>
    <n v="127"/>
    <n v="78"/>
    <n v="113"/>
    <n v="96"/>
  </r>
  <r>
    <m/>
    <x v="10"/>
    <n v="825"/>
    <n v="137"/>
    <n v="94"/>
    <n v="147"/>
    <n v="151"/>
    <n v="93"/>
    <n v="130"/>
    <n v="73"/>
  </r>
  <r>
    <m/>
    <x v="10"/>
    <n v="817"/>
    <n v="164"/>
    <n v="94"/>
    <n v="133"/>
    <n v="126"/>
    <n v="88"/>
    <n v="123"/>
    <n v="89"/>
  </r>
  <r>
    <m/>
    <x v="10"/>
    <n v="768"/>
    <n v="67"/>
    <n v="98"/>
    <n v="150"/>
    <n v="152"/>
    <n v="82"/>
    <n v="139"/>
    <n v="80"/>
  </r>
  <r>
    <m/>
    <x v="10"/>
    <n v="818"/>
    <n v="100"/>
    <n v="91"/>
    <n v="155"/>
    <n v="119"/>
    <n v="94"/>
    <n v="165"/>
    <n v="94"/>
  </r>
  <r>
    <m/>
    <x v="10"/>
    <n v="643"/>
    <n v="81"/>
    <n v="76"/>
    <n v="136"/>
    <n v="123"/>
    <n v="67"/>
    <n v="90"/>
    <n v="70"/>
  </r>
  <r>
    <m/>
    <x v="10"/>
    <n v="743"/>
    <n v="108"/>
    <n v="83"/>
    <n v="141"/>
    <n v="135"/>
    <n v="81"/>
    <n v="123"/>
    <n v="72"/>
  </r>
  <r>
    <m/>
    <x v="10"/>
    <n v="866"/>
    <n v="93"/>
    <n v="86"/>
    <n v="161"/>
    <n v="132"/>
    <n v="117"/>
    <n v="178"/>
    <n v="99"/>
  </r>
  <r>
    <m/>
    <x v="11"/>
    <n v="949"/>
    <n v="107"/>
    <n v="120"/>
    <n v="173"/>
    <n v="177"/>
    <n v="127"/>
    <n v="146"/>
    <n v="99"/>
  </r>
  <r>
    <m/>
    <x v="11"/>
    <n v="912"/>
    <n v="120"/>
    <n v="112"/>
    <n v="192"/>
    <n v="144"/>
    <n v="88"/>
    <n v="164"/>
    <n v="92"/>
  </r>
  <r>
    <m/>
    <x v="11"/>
    <n v="978"/>
    <n v="156"/>
    <n v="113"/>
    <n v="178"/>
    <n v="168"/>
    <n v="108"/>
    <n v="159"/>
    <n v="96"/>
  </r>
  <r>
    <m/>
    <x v="11"/>
    <n v="959"/>
    <n v="147"/>
    <n v="119"/>
    <n v="160"/>
    <n v="154"/>
    <n v="113"/>
    <n v="167"/>
    <n v="99"/>
  </r>
  <r>
    <m/>
    <x v="11"/>
    <n v="785"/>
    <n v="98"/>
    <n v="105"/>
    <n v="155"/>
    <n v="145"/>
    <n v="97"/>
    <n v="106"/>
    <n v="79"/>
  </r>
  <r>
    <m/>
    <x v="11"/>
    <n v="749"/>
    <n v="74"/>
    <n v="100"/>
    <n v="145"/>
    <n v="151"/>
    <n v="81"/>
    <n v="134"/>
    <n v="64"/>
  </r>
  <r>
    <m/>
    <x v="11"/>
    <n v="912"/>
    <n v="93"/>
    <n v="118"/>
    <n v="153"/>
    <n v="177"/>
    <n v="101"/>
    <n v="177"/>
    <n v="93"/>
  </r>
  <r>
    <m/>
    <x v="12"/>
    <n v="983"/>
    <n v="110"/>
    <n v="143"/>
    <n v="176"/>
    <n v="182"/>
    <n v="130"/>
    <n v="149"/>
    <n v="93"/>
  </r>
  <r>
    <m/>
    <x v="12"/>
    <n v="967"/>
    <n v="100"/>
    <n v="129"/>
    <n v="196"/>
    <n v="188"/>
    <n v="109"/>
    <n v="161"/>
    <n v="84"/>
  </r>
  <r>
    <m/>
    <x v="12"/>
    <n v="879"/>
    <n v="116"/>
    <n v="131"/>
    <n v="160"/>
    <n v="174"/>
    <n v="91"/>
    <n v="123"/>
    <n v="84"/>
  </r>
  <r>
    <m/>
    <x v="12"/>
    <n v="845"/>
    <n v="78"/>
    <n v="115"/>
    <n v="174"/>
    <n v="166"/>
    <n v="104"/>
    <n v="133"/>
    <n v="75"/>
  </r>
  <r>
    <m/>
    <x v="12"/>
    <n v="665"/>
    <n v="59"/>
    <n v="98"/>
    <n v="150"/>
    <n v="132"/>
    <n v="86"/>
    <n v="93"/>
    <n v="47"/>
  </r>
  <r>
    <m/>
    <x v="12"/>
    <n v="729"/>
    <n v="81"/>
    <n v="93"/>
    <n v="148"/>
    <n v="159"/>
    <n v="77"/>
    <n v="112"/>
    <n v="59"/>
  </r>
  <r>
    <m/>
    <x v="12"/>
    <n v="893"/>
    <n v="87"/>
    <n v="103"/>
    <n v="161"/>
    <n v="179"/>
    <n v="111"/>
    <n v="161"/>
    <n v="91"/>
  </r>
  <r>
    <m/>
    <x v="13"/>
    <n v="933"/>
    <n v="104"/>
    <n v="122"/>
    <n v="166"/>
    <n v="173"/>
    <n v="122"/>
    <n v="155"/>
    <n v="91"/>
  </r>
  <r>
    <m/>
    <x v="13"/>
    <n v="942"/>
    <n v="97"/>
    <n v="138"/>
    <n v="181"/>
    <n v="184"/>
    <n v="118"/>
    <n v="146"/>
    <n v="78"/>
  </r>
  <r>
    <m/>
    <x v="13"/>
    <n v="993"/>
    <n v="114"/>
    <n v="128"/>
    <n v="179"/>
    <n v="173"/>
    <n v="135"/>
    <n v="177"/>
    <n v="87"/>
  </r>
  <r>
    <m/>
    <x v="13"/>
    <n v="947"/>
    <n v="105"/>
    <n v="123"/>
    <n v="182"/>
    <n v="184"/>
    <n v="125"/>
    <n v="136"/>
    <n v="92"/>
  </r>
  <r>
    <m/>
    <x v="13"/>
    <n v="750"/>
    <n v="79"/>
    <n v="92"/>
    <n v="163"/>
    <n v="154"/>
    <n v="93"/>
    <n v="107"/>
    <n v="62"/>
  </r>
  <r>
    <m/>
    <x v="13"/>
    <n v="743"/>
    <n v="68"/>
    <n v="99"/>
    <n v="137"/>
    <n v="154"/>
    <n v="108"/>
    <n v="119"/>
    <n v="58"/>
  </r>
  <r>
    <m/>
    <x v="13"/>
    <n v="874"/>
    <n v="90"/>
    <n v="107"/>
    <n v="164"/>
    <n v="160"/>
    <n v="117"/>
    <n v="146"/>
    <n v="90"/>
  </r>
  <r>
    <m/>
    <x v="14"/>
    <m/>
    <m/>
    <m/>
    <m/>
    <m/>
    <m/>
    <m/>
    <m/>
  </r>
</pivotCacheRecords>
</file>

<file path=xl/pivotCache/pivotCacheRecords2.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99">
  <r>
    <m/>
    <x v="0"/>
    <n v="111"/>
    <n v="6"/>
    <n v="57"/>
    <n v="3"/>
    <n v="7"/>
    <n v="15"/>
    <n v="14"/>
    <n v="9"/>
  </r>
  <r>
    <m/>
    <x v="0"/>
    <n v="117"/>
    <n v="5"/>
    <n v="58"/>
    <n v="7"/>
    <n v="8"/>
    <n v="15"/>
    <n v="18"/>
    <n v="6"/>
  </r>
  <r>
    <m/>
    <x v="0"/>
    <n v="128"/>
    <n v="6"/>
    <n v="58"/>
    <n v="8"/>
    <n v="10"/>
    <n v="15"/>
    <n v="22"/>
    <n v="9"/>
  </r>
  <r>
    <m/>
    <x v="0"/>
    <n v="134"/>
    <n v="6"/>
    <n v="62"/>
    <n v="9"/>
    <n v="16"/>
    <n v="14"/>
    <n v="19"/>
    <n v="8"/>
  </r>
  <r>
    <m/>
    <x v="0"/>
    <n v="135"/>
    <n v="8"/>
    <n v="61"/>
    <n v="12"/>
    <n v="18"/>
    <n v="9"/>
    <n v="19"/>
    <n v="8"/>
  </r>
  <r>
    <m/>
    <x v="0"/>
    <n v="124"/>
    <n v="8"/>
    <n v="55"/>
    <n v="10"/>
    <n v="15"/>
    <n v="10"/>
    <n v="20"/>
    <n v="6"/>
  </r>
  <r>
    <m/>
    <x v="0"/>
    <n v="127"/>
    <n v="8"/>
    <n v="62"/>
    <n v="9"/>
    <n v="15"/>
    <n v="10"/>
    <n v="15"/>
    <n v="8"/>
  </r>
  <r>
    <m/>
    <x v="1"/>
    <n v="129"/>
    <n v="10"/>
    <n v="61"/>
    <n v="7"/>
    <n v="17"/>
    <n v="8"/>
    <n v="17"/>
    <n v="9"/>
  </r>
  <r>
    <m/>
    <x v="1"/>
    <n v="127"/>
    <n v="12"/>
    <n v="58"/>
    <n v="9"/>
    <n v="13"/>
    <n v="7"/>
    <n v="17"/>
    <n v="11"/>
  </r>
  <r>
    <m/>
    <x v="1"/>
    <n v="119"/>
    <n v="12"/>
    <n v="54"/>
    <n v="9"/>
    <n v="13"/>
    <n v="7"/>
    <n v="15"/>
    <n v="9"/>
  </r>
  <r>
    <m/>
    <x v="1"/>
    <n v="118"/>
    <n v="15"/>
    <n v="59"/>
    <n v="4"/>
    <n v="13"/>
    <n v="7"/>
    <n v="13"/>
    <n v="7"/>
  </r>
  <r>
    <m/>
    <x v="1"/>
    <n v="113"/>
    <n v="15"/>
    <n v="57"/>
    <n v="7"/>
    <n v="10"/>
    <n v="7"/>
    <n v="10"/>
    <n v="7"/>
  </r>
  <r>
    <m/>
    <x v="1"/>
    <n v="112"/>
    <n v="16"/>
    <n v="53"/>
    <n v="7"/>
    <n v="11"/>
    <n v="8"/>
    <n v="10"/>
    <n v="7"/>
  </r>
  <r>
    <m/>
    <x v="1"/>
    <n v="118"/>
    <n v="14"/>
    <n v="60"/>
    <n v="7"/>
    <n v="11"/>
    <n v="7"/>
    <n v="13"/>
    <n v="6"/>
  </r>
  <r>
    <m/>
    <x v="2"/>
    <n v="129"/>
    <n v="16"/>
    <n v="63"/>
    <n v="8"/>
    <n v="13"/>
    <n v="12"/>
    <n v="12"/>
    <n v="5"/>
  </r>
  <r>
    <m/>
    <x v="2"/>
    <n v="142"/>
    <n v="19"/>
    <n v="62"/>
    <n v="13"/>
    <n v="13"/>
    <n v="13"/>
    <n v="16"/>
    <n v="6"/>
  </r>
  <r>
    <m/>
    <x v="2"/>
    <n v="150"/>
    <n v="22"/>
    <n v="58"/>
    <n v="14"/>
    <n v="14"/>
    <n v="17"/>
    <n v="18"/>
    <n v="7"/>
  </r>
  <r>
    <m/>
    <x v="2"/>
    <n v="155"/>
    <n v="21"/>
    <n v="62"/>
    <n v="17"/>
    <n v="14"/>
    <n v="16"/>
    <n v="18"/>
    <n v="7"/>
  </r>
  <r>
    <m/>
    <x v="2"/>
    <n v="156"/>
    <n v="24"/>
    <n v="58"/>
    <n v="14"/>
    <n v="18"/>
    <n v="18"/>
    <n v="17"/>
    <n v="7"/>
  </r>
  <r>
    <m/>
    <x v="2"/>
    <n v="163"/>
    <n v="27"/>
    <n v="59"/>
    <n v="15"/>
    <n v="23"/>
    <n v="16"/>
    <n v="16"/>
    <n v="7"/>
  </r>
  <r>
    <m/>
    <x v="2"/>
    <n v="166"/>
    <n v="28"/>
    <n v="60"/>
    <n v="16"/>
    <n v="23"/>
    <n v="14"/>
    <n v="20"/>
    <n v="5"/>
  </r>
  <r>
    <m/>
    <x v="3"/>
    <n v="175"/>
    <n v="25"/>
    <n v="66"/>
    <n v="17"/>
    <n v="26"/>
    <n v="14"/>
    <n v="20"/>
    <n v="7"/>
  </r>
  <r>
    <m/>
    <x v="3"/>
    <n v="171"/>
    <n v="27"/>
    <n v="67"/>
    <n v="15"/>
    <n v="19"/>
    <n v="14"/>
    <n v="20"/>
    <n v="9"/>
  </r>
  <r>
    <m/>
    <x v="3"/>
    <n v="174"/>
    <n v="26"/>
    <n v="71"/>
    <n v="14"/>
    <n v="16"/>
    <n v="15"/>
    <n v="24"/>
    <n v="8"/>
  </r>
  <r>
    <m/>
    <x v="3"/>
    <n v="180"/>
    <n v="27"/>
    <n v="75"/>
    <n v="16"/>
    <n v="21"/>
    <n v="14"/>
    <n v="22"/>
    <n v="5"/>
  </r>
  <r>
    <m/>
    <x v="3"/>
    <n v="178"/>
    <n v="25"/>
    <n v="76"/>
    <n v="20"/>
    <n v="17"/>
    <n v="14"/>
    <n v="19"/>
    <n v="7"/>
  </r>
  <r>
    <m/>
    <x v="3"/>
    <n v="177"/>
    <n v="23"/>
    <n v="76"/>
    <n v="16"/>
    <n v="14"/>
    <n v="14"/>
    <n v="22"/>
    <n v="12"/>
  </r>
  <r>
    <m/>
    <x v="3"/>
    <n v="162"/>
    <n v="18"/>
    <n v="75"/>
    <n v="17"/>
    <n v="14"/>
    <n v="14"/>
    <n v="18"/>
    <n v="6"/>
  </r>
  <r>
    <m/>
    <x v="4"/>
    <n v="178"/>
    <n v="21"/>
    <n v="76"/>
    <n v="17"/>
    <n v="19"/>
    <n v="15"/>
    <n v="19"/>
    <n v="11"/>
  </r>
  <r>
    <m/>
    <x v="4"/>
    <n v="187"/>
    <n v="16"/>
    <n v="77"/>
    <n v="24"/>
    <n v="21"/>
    <n v="18"/>
    <n v="21"/>
    <n v="10"/>
  </r>
  <r>
    <m/>
    <x v="4"/>
    <n v="209"/>
    <n v="23"/>
    <n v="79"/>
    <n v="27"/>
    <n v="25"/>
    <n v="21"/>
    <n v="24"/>
    <n v="10"/>
  </r>
  <r>
    <m/>
    <x v="4"/>
    <n v="213"/>
    <n v="25"/>
    <n v="83"/>
    <n v="25"/>
    <n v="26"/>
    <n v="19"/>
    <n v="22"/>
    <n v="13"/>
  </r>
  <r>
    <m/>
    <x v="4"/>
    <n v="223"/>
    <n v="26"/>
    <n v="93"/>
    <n v="25"/>
    <n v="28"/>
    <n v="19"/>
    <n v="23"/>
    <n v="9"/>
  </r>
  <r>
    <m/>
    <x v="4"/>
    <n v="208"/>
    <n v="13"/>
    <n v="89"/>
    <n v="28"/>
    <n v="26"/>
    <n v="20"/>
    <n v="22"/>
    <n v="10"/>
  </r>
  <r>
    <m/>
    <x v="4"/>
    <n v="220"/>
    <n v="16"/>
    <n v="91"/>
    <n v="28"/>
    <n v="26"/>
    <n v="21"/>
    <n v="24"/>
    <n v="14"/>
  </r>
  <r>
    <m/>
    <x v="5"/>
    <n v="227"/>
    <n v="16"/>
    <n v="92"/>
    <n v="32"/>
    <n v="28"/>
    <n v="23"/>
    <n v="21"/>
    <n v="15"/>
  </r>
  <r>
    <m/>
    <x v="5"/>
    <n v="218"/>
    <n v="14"/>
    <n v="87"/>
    <n v="36"/>
    <n v="28"/>
    <n v="22"/>
    <n v="21"/>
    <n v="10"/>
  </r>
  <r>
    <m/>
    <x v="5"/>
    <n v="212"/>
    <n v="18"/>
    <n v="85"/>
    <n v="32"/>
    <n v="23"/>
    <n v="19"/>
    <n v="21"/>
    <n v="14"/>
  </r>
  <r>
    <m/>
    <x v="5"/>
    <n v="202"/>
    <n v="16"/>
    <n v="83"/>
    <n v="28"/>
    <n v="19"/>
    <n v="17"/>
    <n v="25"/>
    <n v="14"/>
  </r>
  <r>
    <m/>
    <x v="5"/>
    <n v="209"/>
    <n v="17"/>
    <n v="86"/>
    <n v="26"/>
    <n v="24"/>
    <n v="18"/>
    <n v="27"/>
    <n v="11"/>
  </r>
  <r>
    <m/>
    <x v="5"/>
    <n v="202"/>
    <n v="17"/>
    <n v="81"/>
    <n v="29"/>
    <n v="24"/>
    <n v="19"/>
    <n v="23"/>
    <n v="9"/>
  </r>
  <r>
    <m/>
    <x v="5"/>
    <n v="189"/>
    <n v="17"/>
    <n v="78"/>
    <n v="24"/>
    <n v="21"/>
    <n v="18"/>
    <n v="23"/>
    <n v="8"/>
  </r>
  <r>
    <m/>
    <x v="6"/>
    <n v="195"/>
    <n v="24"/>
    <n v="75"/>
    <n v="26"/>
    <n v="23"/>
    <n v="18"/>
    <n v="21"/>
    <n v="8"/>
  </r>
  <r>
    <m/>
    <x v="6"/>
    <n v="191"/>
    <n v="18"/>
    <n v="85"/>
    <n v="20"/>
    <n v="19"/>
    <n v="19"/>
    <n v="22"/>
    <n v="8"/>
  </r>
  <r>
    <m/>
    <x v="6"/>
    <n v="182"/>
    <n v="15"/>
    <n v="83"/>
    <n v="17"/>
    <n v="18"/>
    <n v="18"/>
    <n v="23"/>
    <n v="8"/>
  </r>
  <r>
    <m/>
    <x v="6"/>
    <n v="169"/>
    <n v="13"/>
    <n v="76"/>
    <n v="16"/>
    <n v="16"/>
    <n v="21"/>
    <n v="22"/>
    <n v="5"/>
  </r>
  <r>
    <m/>
    <x v="6"/>
    <n v="166"/>
    <n v="10"/>
    <n v="74"/>
    <n v="20"/>
    <n v="17"/>
    <n v="19"/>
    <n v="20"/>
    <n v="6"/>
  </r>
  <r>
    <m/>
    <x v="6"/>
    <n v="147"/>
    <n v="8"/>
    <n v="68"/>
    <n v="15"/>
    <n v="18"/>
    <n v="17"/>
    <n v="16"/>
    <n v="5"/>
  </r>
  <r>
    <m/>
    <x v="6"/>
    <n v="137"/>
    <n v="10"/>
    <n v="65"/>
    <n v="11"/>
    <n v="11"/>
    <n v="19"/>
    <n v="16"/>
    <n v="5"/>
  </r>
  <r>
    <m/>
    <x v="7"/>
    <n v="153"/>
    <n v="11"/>
    <n v="69"/>
    <n v="16"/>
    <n v="15"/>
    <n v="18"/>
    <n v="18"/>
    <n v="6"/>
  </r>
  <r>
    <m/>
    <x v="7"/>
    <n v="148"/>
    <n v="14"/>
    <n v="66"/>
    <n v="16"/>
    <n v="12"/>
    <n v="14"/>
    <n v="16"/>
    <n v="10"/>
  </r>
  <r>
    <m/>
    <x v="7"/>
    <n v="146"/>
    <n v="12"/>
    <n v="63"/>
    <n v="18"/>
    <n v="15"/>
    <n v="14"/>
    <n v="16"/>
    <n v="8"/>
  </r>
  <r>
    <m/>
    <x v="7"/>
    <n v="142"/>
    <n v="11"/>
    <n v="61"/>
    <n v="21"/>
    <n v="12"/>
    <n v="14"/>
    <n v="16"/>
    <n v="7"/>
  </r>
  <r>
    <m/>
    <x v="7"/>
    <n v="133"/>
    <n v="13"/>
    <n v="61"/>
    <n v="18"/>
    <n v="10"/>
    <n v="11"/>
    <n v="15"/>
    <n v="5"/>
  </r>
  <r>
    <m/>
    <x v="7"/>
    <n v="138"/>
    <n v="13"/>
    <n v="61"/>
    <n v="17"/>
    <n v="10"/>
    <n v="13"/>
    <n v="19"/>
    <n v="5"/>
  </r>
  <r>
    <m/>
    <x v="7"/>
    <n v="146"/>
    <n v="13"/>
    <n v="59"/>
    <n v="24"/>
    <n v="10"/>
    <n v="14"/>
    <n v="20"/>
    <n v="6"/>
  </r>
  <r>
    <m/>
    <x v="8"/>
    <n v="142"/>
    <n v="12"/>
    <n v="60"/>
    <n v="21"/>
    <n v="9"/>
    <n v="13"/>
    <n v="22"/>
    <n v="5"/>
  </r>
  <r>
    <m/>
    <x v="8"/>
    <n v="136"/>
    <n v="13"/>
    <n v="59"/>
    <n v="20"/>
    <n v="11"/>
    <n v="11"/>
    <n v="18"/>
    <n v="4"/>
  </r>
  <r>
    <m/>
    <x v="8"/>
    <n v="126"/>
    <n v="14"/>
    <n v="58"/>
    <n v="15"/>
    <n v="9"/>
    <n v="10"/>
    <n v="17"/>
    <n v="3"/>
  </r>
  <r>
    <m/>
    <x v="8"/>
    <n v="133"/>
    <n v="14"/>
    <n v="60"/>
    <n v="13"/>
    <n v="8"/>
    <n v="14"/>
    <n v="20"/>
    <n v="4"/>
  </r>
  <r>
    <m/>
    <x v="8"/>
    <n v="131"/>
    <n v="18"/>
    <n v="58"/>
    <n v="13"/>
    <n v="9"/>
    <n v="12"/>
    <n v="17"/>
    <n v="4"/>
  </r>
  <r>
    <m/>
    <x v="8"/>
    <n v="140"/>
    <n v="19"/>
    <n v="64"/>
    <n v="14"/>
    <n v="12"/>
    <n v="14"/>
    <n v="14"/>
    <n v="3"/>
  </r>
  <r>
    <m/>
    <x v="8"/>
    <n v="145"/>
    <n v="20"/>
    <n v="68"/>
    <n v="12"/>
    <n v="13"/>
    <n v="13"/>
    <n v="16"/>
    <n v="3"/>
  </r>
  <r>
    <m/>
    <x v="9"/>
    <n v="142"/>
    <n v="22"/>
    <n v="65"/>
    <n v="12"/>
    <n v="12"/>
    <n v="11"/>
    <n v="16"/>
    <n v="4"/>
  </r>
  <r>
    <m/>
    <x v="9"/>
    <n v="136"/>
    <n v="20"/>
    <n v="62"/>
    <n v="12"/>
    <n v="14"/>
    <n v="10"/>
    <n v="13"/>
    <n v="5"/>
  </r>
  <r>
    <m/>
    <x v="9"/>
    <n v="136"/>
    <n v="20"/>
    <n v="57"/>
    <n v="13"/>
    <n v="15"/>
    <n v="10"/>
    <n v="16"/>
    <n v="5"/>
  </r>
  <r>
    <m/>
    <x v="9"/>
    <n v="142"/>
    <n v="18"/>
    <n v="64"/>
    <n v="15"/>
    <n v="14"/>
    <n v="11"/>
    <n v="16"/>
    <n v="4"/>
  </r>
  <r>
    <m/>
    <x v="9"/>
    <n v="139"/>
    <n v="16"/>
    <n v="60"/>
    <n v="17"/>
    <n v="13"/>
    <n v="14"/>
    <n v="14"/>
    <n v="5"/>
  </r>
  <r>
    <m/>
    <x v="9"/>
    <n v="137"/>
    <n v="13"/>
    <n v="54"/>
    <n v="20"/>
    <n v="15"/>
    <n v="13"/>
    <n v="17"/>
    <n v="5"/>
  </r>
  <r>
    <m/>
    <x v="9"/>
    <n v="134"/>
    <n v="11"/>
    <n v="57"/>
    <n v="22"/>
    <n v="13"/>
    <n v="13"/>
    <n v="14"/>
    <n v="4"/>
  </r>
  <r>
    <m/>
    <x v="10"/>
    <n v="128"/>
    <n v="12"/>
    <n v="50"/>
    <n v="25"/>
    <n v="14"/>
    <n v="9"/>
    <n v="12"/>
    <n v="6"/>
  </r>
  <r>
    <m/>
    <x v="10"/>
    <n v="132"/>
    <n v="17"/>
    <n v="49"/>
    <n v="23"/>
    <n v="14"/>
    <n v="7"/>
    <n v="17"/>
    <n v="5"/>
  </r>
  <r>
    <m/>
    <x v="10"/>
    <n v="117"/>
    <n v="13"/>
    <n v="48"/>
    <n v="19"/>
    <n v="10"/>
    <n v="9"/>
    <n v="16"/>
    <n v="2"/>
  </r>
  <r>
    <m/>
    <x v="10"/>
    <n v="118"/>
    <n v="15"/>
    <n v="50"/>
    <n v="17"/>
    <n v="13"/>
    <n v="9"/>
    <n v="13"/>
    <n v="1"/>
  </r>
  <r>
    <m/>
    <x v="10"/>
    <n v="133"/>
    <n v="16"/>
    <n v="53"/>
    <n v="23"/>
    <n v="16"/>
    <n v="9"/>
    <n v="15"/>
    <n v="1"/>
  </r>
  <r>
    <m/>
    <x v="10"/>
    <n v="128"/>
    <n v="15"/>
    <n v="54"/>
    <n v="16"/>
    <n v="20"/>
    <n v="7"/>
    <n v="14"/>
    <n v="2"/>
  </r>
  <r>
    <m/>
    <x v="10"/>
    <n v="123"/>
    <n v="17"/>
    <n v="50"/>
    <n v="17"/>
    <n v="18"/>
    <n v="7"/>
    <n v="12"/>
    <n v="2"/>
  </r>
  <r>
    <m/>
    <x v="11"/>
    <n v="129"/>
    <n v="16"/>
    <n v="52"/>
    <n v="22"/>
    <n v="17"/>
    <n v="9"/>
    <n v="12"/>
    <n v="1"/>
  </r>
  <r>
    <m/>
    <x v="11"/>
    <n v="140"/>
    <n v="16"/>
    <n v="59"/>
    <n v="21"/>
    <n v="18"/>
    <n v="10"/>
    <n v="14"/>
    <n v="2"/>
  </r>
  <r>
    <m/>
    <x v="11"/>
    <n v="137"/>
    <n v="13"/>
    <n v="55"/>
    <n v="19"/>
    <n v="18"/>
    <n v="12"/>
    <n v="14"/>
    <n v="6"/>
  </r>
  <r>
    <m/>
    <x v="11"/>
    <n v="139"/>
    <n v="17"/>
    <n v="52"/>
    <n v="21"/>
    <n v="19"/>
    <n v="14"/>
    <n v="13"/>
    <n v="3"/>
  </r>
  <r>
    <m/>
    <x v="11"/>
    <n v="134"/>
    <n v="18"/>
    <n v="56"/>
    <n v="19"/>
    <n v="18"/>
    <n v="11"/>
    <n v="11"/>
    <n v="1"/>
  </r>
  <r>
    <m/>
    <x v="11"/>
    <n v="137"/>
    <n v="16"/>
    <n v="65"/>
    <n v="16"/>
    <n v="13"/>
    <n v="11"/>
    <n v="14"/>
    <n v="2"/>
  </r>
  <r>
    <m/>
    <x v="11"/>
    <n v="146"/>
    <n v="18"/>
    <n v="63"/>
    <n v="18"/>
    <n v="13"/>
    <n v="14"/>
    <n v="18"/>
    <n v="2"/>
  </r>
  <r>
    <m/>
    <x v="12"/>
    <n v="149"/>
    <n v="16"/>
    <n v="66"/>
    <n v="19"/>
    <n v="20"/>
    <n v="10"/>
    <n v="16"/>
    <n v="2"/>
  </r>
  <r>
    <m/>
    <x v="12"/>
    <n v="154"/>
    <n v="15"/>
    <n v="64"/>
    <n v="21"/>
    <n v="22"/>
    <n v="15"/>
    <n v="13"/>
    <n v="4"/>
  </r>
  <r>
    <m/>
    <x v="12"/>
    <n v="164"/>
    <n v="15"/>
    <n v="70"/>
    <n v="25"/>
    <n v="26"/>
    <n v="15"/>
    <n v="9"/>
    <n v="4"/>
  </r>
  <r>
    <m/>
    <x v="12"/>
    <n v="155"/>
    <n v="17"/>
    <n v="65"/>
    <n v="23"/>
    <n v="25"/>
    <n v="12"/>
    <n v="10"/>
    <n v="3"/>
  </r>
  <r>
    <m/>
    <x v="12"/>
    <n v="156"/>
    <n v="15"/>
    <n v="66"/>
    <n v="20"/>
    <n v="22"/>
    <n v="12"/>
    <n v="15"/>
    <n v="6"/>
  </r>
  <r>
    <m/>
    <x v="12"/>
    <n v="156"/>
    <n v="16"/>
    <n v="67"/>
    <n v="18"/>
    <n v="20"/>
    <n v="15"/>
    <n v="14"/>
    <n v="6"/>
  </r>
  <r>
    <m/>
    <x v="12"/>
    <n v="163"/>
    <n v="13"/>
    <n v="71"/>
    <n v="16"/>
    <n v="22"/>
    <n v="16"/>
    <n v="17"/>
    <n v="8"/>
  </r>
  <r>
    <m/>
    <x v="13"/>
    <n v="168"/>
    <n v="12"/>
    <n v="69"/>
    <n v="23"/>
    <n v="24"/>
    <n v="15"/>
    <n v="17"/>
    <n v="8"/>
  </r>
  <r>
    <m/>
    <x v="13"/>
    <n v="169"/>
    <n v="14"/>
    <n v="67"/>
    <n v="21"/>
    <n v="25"/>
    <n v="18"/>
    <n v="17"/>
    <n v="7"/>
  </r>
  <r>
    <m/>
    <x v="13"/>
    <n v="175"/>
    <n v="13"/>
    <n v="76"/>
    <n v="21"/>
    <n v="24"/>
    <n v="18"/>
    <n v="17"/>
    <n v="6"/>
  </r>
  <r>
    <m/>
    <x v="13"/>
    <n v="166"/>
    <n v="16"/>
    <n v="79"/>
    <n v="18"/>
    <n v="21"/>
    <n v="15"/>
    <n v="11"/>
    <n v="6"/>
  </r>
  <r>
    <m/>
    <x v="13"/>
    <n v="158"/>
    <n v="13"/>
    <n v="74"/>
    <n v="10"/>
    <n v="25"/>
    <n v="18"/>
    <n v="12"/>
    <n v="6"/>
  </r>
  <r>
    <m/>
    <x v="13"/>
    <n v="141"/>
    <n v="13"/>
    <n v="54"/>
    <n v="13"/>
    <n v="21"/>
    <n v="18"/>
    <n v="14"/>
    <n v="8"/>
  </r>
  <r>
    <m/>
    <x v="13"/>
    <n v="147"/>
    <n v="12"/>
    <n v="63"/>
    <n v="16"/>
    <n v="16"/>
    <n v="17"/>
    <n v="13"/>
    <n v="10"/>
  </r>
  <r>
    <m/>
    <x v="14"/>
    <m/>
    <m/>
    <m/>
    <m/>
    <m/>
    <m/>
    <m/>
    <m/>
  </r>
</pivotCacheRecords>
</file>

<file path=xl/pivotCache/pivotCacheRecords3.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99">
  <r>
    <m/>
    <x v="0"/>
    <n v="4775"/>
    <n v="413"/>
    <n v="846"/>
    <n v="950"/>
    <n v="825"/>
    <n v="786"/>
    <n v="634"/>
    <n v="321"/>
  </r>
  <r>
    <m/>
    <x v="0"/>
    <n v="4847"/>
    <n v="431"/>
    <n v="842"/>
    <n v="944"/>
    <n v="828"/>
    <n v="827"/>
    <n v="648"/>
    <n v="327"/>
  </r>
  <r>
    <m/>
    <x v="0"/>
    <n v="4964"/>
    <n v="431"/>
    <n v="866"/>
    <n v="942"/>
    <n v="827"/>
    <n v="900"/>
    <n v="665"/>
    <n v="333"/>
  </r>
  <r>
    <m/>
    <x v="0"/>
    <n v="4990"/>
    <n v="440"/>
    <n v="849"/>
    <n v="959"/>
    <n v="845"/>
    <n v="863"/>
    <n v="691"/>
    <n v="343"/>
  </r>
  <r>
    <m/>
    <x v="0"/>
    <n v="5027"/>
    <n v="434"/>
    <n v="849"/>
    <n v="975"/>
    <n v="850"/>
    <n v="857"/>
    <n v="703"/>
    <n v="359"/>
  </r>
  <r>
    <m/>
    <x v="0"/>
    <n v="5022"/>
    <n v="449"/>
    <n v="823"/>
    <n v="993"/>
    <n v="831"/>
    <n v="860"/>
    <n v="708"/>
    <n v="358"/>
  </r>
  <r>
    <m/>
    <x v="0"/>
    <n v="5155"/>
    <n v="466"/>
    <n v="854"/>
    <n v="986"/>
    <n v="848"/>
    <n v="862"/>
    <n v="743"/>
    <n v="396"/>
  </r>
  <r>
    <m/>
    <x v="1"/>
    <n v="5285"/>
    <n v="477"/>
    <n v="872"/>
    <n v="1018"/>
    <n v="872"/>
    <n v="865"/>
    <n v="769"/>
    <n v="412"/>
  </r>
  <r>
    <m/>
    <x v="1"/>
    <n v="5382"/>
    <n v="512"/>
    <n v="909"/>
    <n v="986"/>
    <n v="907"/>
    <n v="870"/>
    <n v="759"/>
    <n v="439"/>
  </r>
  <r>
    <m/>
    <x v="1"/>
    <n v="5501"/>
    <n v="522"/>
    <n v="915"/>
    <n v="1001"/>
    <n v="901"/>
    <n v="895"/>
    <n v="801"/>
    <n v="466"/>
  </r>
  <r>
    <m/>
    <x v="1"/>
    <n v="5632"/>
    <n v="536"/>
    <n v="916"/>
    <n v="1009"/>
    <n v="904"/>
    <n v="895"/>
    <n v="832"/>
    <n v="540"/>
  </r>
  <r>
    <m/>
    <x v="1"/>
    <n v="5771"/>
    <n v="553"/>
    <n v="958"/>
    <n v="1048"/>
    <n v="893"/>
    <n v="912"/>
    <n v="827"/>
    <n v="580"/>
  </r>
  <r>
    <m/>
    <x v="1"/>
    <n v="5920"/>
    <n v="577"/>
    <n v="983"/>
    <n v="1101"/>
    <n v="914"/>
    <n v="907"/>
    <n v="850"/>
    <n v="588"/>
  </r>
  <r>
    <m/>
    <x v="1"/>
    <n v="6057"/>
    <n v="604"/>
    <n v="990"/>
    <n v="1106"/>
    <n v="945"/>
    <n v="928"/>
    <n v="885"/>
    <n v="599"/>
  </r>
  <r>
    <m/>
    <x v="2"/>
    <n v="6171"/>
    <n v="627"/>
    <n v="1010"/>
    <n v="1114"/>
    <n v="941"/>
    <n v="873"/>
    <n v="954"/>
    <n v="652"/>
  </r>
  <r>
    <m/>
    <x v="2"/>
    <n v="6369"/>
    <n v="686"/>
    <n v="1026"/>
    <n v="1165"/>
    <n v="990"/>
    <n v="964"/>
    <n v="928"/>
    <n v="610"/>
  </r>
  <r>
    <m/>
    <x v="2"/>
    <n v="6720"/>
    <n v="726"/>
    <n v="1026"/>
    <n v="1250"/>
    <n v="1058"/>
    <n v="1011"/>
    <n v="923"/>
    <n v="726"/>
  </r>
  <r>
    <m/>
    <x v="2"/>
    <n v="6924"/>
    <n v="742"/>
    <n v="1062"/>
    <n v="1273"/>
    <n v="1080"/>
    <n v="1039"/>
    <n v="977"/>
    <n v="751"/>
  </r>
  <r>
    <m/>
    <x v="2"/>
    <n v="7157"/>
    <n v="769"/>
    <n v="1087"/>
    <n v="1322"/>
    <n v="1123"/>
    <n v="1070"/>
    <n v="1034"/>
    <n v="752"/>
  </r>
  <r>
    <m/>
    <x v="2"/>
    <n v="7396"/>
    <n v="808"/>
    <n v="1122"/>
    <n v="1379"/>
    <n v="1194"/>
    <n v="1051"/>
    <n v="1044"/>
    <n v="798"/>
  </r>
  <r>
    <m/>
    <x v="2"/>
    <n v="7688"/>
    <n v="833"/>
    <n v="1161"/>
    <n v="1428"/>
    <n v="1244"/>
    <n v="1090"/>
    <n v="1111"/>
    <n v="821"/>
  </r>
  <r>
    <m/>
    <x v="3"/>
    <n v="8006"/>
    <n v="874"/>
    <n v="1217"/>
    <n v="1472"/>
    <n v="1308"/>
    <n v="1103"/>
    <n v="1156"/>
    <n v="876"/>
  </r>
  <r>
    <m/>
    <x v="3"/>
    <n v="8340"/>
    <n v="922"/>
    <n v="1219"/>
    <n v="1524"/>
    <n v="1338"/>
    <n v="1117"/>
    <n v="1259"/>
    <n v="961"/>
  </r>
  <r>
    <m/>
    <x v="3"/>
    <n v="8643"/>
    <n v="966"/>
    <n v="1237"/>
    <n v="1607"/>
    <n v="1332"/>
    <n v="1156"/>
    <n v="1347"/>
    <n v="998"/>
  </r>
  <r>
    <m/>
    <x v="3"/>
    <n v="8919"/>
    <n v="985"/>
    <n v="1299"/>
    <n v="1671"/>
    <n v="1364"/>
    <n v="1169"/>
    <n v="1383"/>
    <n v="1048"/>
  </r>
  <r>
    <m/>
    <x v="3"/>
    <n v="9047"/>
    <n v="1019"/>
    <n v="1340"/>
    <n v="1673"/>
    <n v="1361"/>
    <n v="1213"/>
    <n v="1422"/>
    <n v="1019"/>
  </r>
  <r>
    <m/>
    <x v="3"/>
    <n v="9044"/>
    <n v="1025"/>
    <n v="1338"/>
    <n v="1603"/>
    <n v="1384"/>
    <n v="1221"/>
    <n v="1468"/>
    <n v="1005"/>
  </r>
  <r>
    <m/>
    <x v="3"/>
    <n v="8979"/>
    <n v="989"/>
    <n v="1347"/>
    <n v="1604"/>
    <n v="1364"/>
    <n v="1238"/>
    <n v="1462"/>
    <n v="975"/>
  </r>
  <r>
    <m/>
    <x v="4"/>
    <n v="9178"/>
    <n v="997"/>
    <n v="1357"/>
    <n v="1629"/>
    <n v="1383"/>
    <n v="1255"/>
    <n v="1540"/>
    <n v="1017"/>
  </r>
  <r>
    <m/>
    <x v="4"/>
    <n v="9250"/>
    <n v="925"/>
    <n v="1401"/>
    <n v="1670"/>
    <n v="1426"/>
    <n v="1291"/>
    <n v="1544"/>
    <n v="993"/>
  </r>
  <r>
    <m/>
    <x v="4"/>
    <n v="9459"/>
    <n v="1018"/>
    <n v="1407"/>
    <n v="1691"/>
    <n v="1469"/>
    <n v="1330"/>
    <n v="1569"/>
    <n v="975"/>
  </r>
  <r>
    <m/>
    <x v="4"/>
    <n v="9535"/>
    <n v="1035"/>
    <n v="1502"/>
    <n v="1663"/>
    <n v="1480"/>
    <n v="1341"/>
    <n v="1567"/>
    <n v="947"/>
  </r>
  <r>
    <m/>
    <x v="4"/>
    <n v="9530"/>
    <n v="1005"/>
    <n v="1512"/>
    <n v="1709"/>
    <n v="1498"/>
    <n v="1348"/>
    <n v="1554"/>
    <n v="904"/>
  </r>
  <r>
    <m/>
    <x v="4"/>
    <n v="9360"/>
    <n v="870"/>
    <n v="1498"/>
    <n v="1778"/>
    <n v="1500"/>
    <n v="1332"/>
    <n v="1535"/>
    <n v="847"/>
  </r>
  <r>
    <m/>
    <x v="4"/>
    <n v="9417"/>
    <n v="883"/>
    <n v="1506"/>
    <n v="1809"/>
    <n v="1497"/>
    <n v="1356"/>
    <n v="1523"/>
    <n v="843"/>
  </r>
  <r>
    <m/>
    <x v="5"/>
    <n v="9431"/>
    <n v="892"/>
    <n v="1515"/>
    <n v="1851"/>
    <n v="1502"/>
    <n v="1377"/>
    <n v="1489"/>
    <n v="805"/>
  </r>
  <r>
    <m/>
    <x v="5"/>
    <n v="9291"/>
    <n v="911"/>
    <n v="1407"/>
    <n v="1866"/>
    <n v="1505"/>
    <n v="1369"/>
    <n v="1442"/>
    <n v="791"/>
  </r>
  <r>
    <m/>
    <x v="5"/>
    <n v="9332"/>
    <n v="1002"/>
    <n v="1483"/>
    <n v="1805"/>
    <n v="1580"/>
    <n v="1356"/>
    <n v="1376"/>
    <n v="730"/>
  </r>
  <r>
    <m/>
    <x v="5"/>
    <n v="9072"/>
    <n v="964"/>
    <n v="1438"/>
    <n v="1739"/>
    <n v="1528"/>
    <n v="1353"/>
    <n v="1325"/>
    <n v="725"/>
  </r>
  <r>
    <m/>
    <x v="5"/>
    <n v="8671"/>
    <n v="926"/>
    <n v="1406"/>
    <n v="1698"/>
    <n v="1463"/>
    <n v="1333"/>
    <n v="1192"/>
    <n v="653"/>
  </r>
  <r>
    <m/>
    <x v="5"/>
    <n v="8547"/>
    <n v="919"/>
    <n v="1391"/>
    <n v="1672"/>
    <n v="1399"/>
    <n v="1297"/>
    <n v="1219"/>
    <n v="650"/>
  </r>
  <r>
    <m/>
    <x v="5"/>
    <n v="8396"/>
    <n v="879"/>
    <n v="1360"/>
    <n v="1654"/>
    <n v="1382"/>
    <n v="1279"/>
    <n v="1198"/>
    <n v="644"/>
  </r>
  <r>
    <m/>
    <x v="6"/>
    <n v="8368"/>
    <n v="891"/>
    <n v="1372"/>
    <n v="1648"/>
    <n v="1383"/>
    <n v="1284"/>
    <n v="1177"/>
    <n v="613"/>
  </r>
  <r>
    <m/>
    <x v="6"/>
    <n v="8034"/>
    <n v="862"/>
    <n v="1403"/>
    <n v="1540"/>
    <n v="1337"/>
    <n v="1241"/>
    <n v="1096"/>
    <n v="555"/>
  </r>
  <r>
    <m/>
    <x v="6"/>
    <n v="7743"/>
    <n v="851"/>
    <n v="1340"/>
    <n v="1480"/>
    <n v="1281"/>
    <n v="1236"/>
    <n v="1030"/>
    <n v="525"/>
  </r>
  <r>
    <m/>
    <x v="6"/>
    <n v="7421"/>
    <n v="798"/>
    <n v="1299"/>
    <n v="1413"/>
    <n v="1246"/>
    <n v="1201"/>
    <n v="991"/>
    <n v="473"/>
  </r>
  <r>
    <m/>
    <x v="6"/>
    <n v="7164"/>
    <n v="753"/>
    <n v="1233"/>
    <n v="1393"/>
    <n v="1242"/>
    <n v="1139"/>
    <n v="946"/>
    <n v="458"/>
  </r>
  <r>
    <m/>
    <x v="6"/>
    <n v="6863"/>
    <n v="691"/>
    <n v="1143"/>
    <n v="1341"/>
    <n v="1198"/>
    <n v="1133"/>
    <n v="905"/>
    <n v="452"/>
  </r>
  <r>
    <m/>
    <x v="6"/>
    <n v="6780"/>
    <n v="698"/>
    <n v="1117"/>
    <n v="1324"/>
    <n v="1174"/>
    <n v="1146"/>
    <n v="887"/>
    <n v="434"/>
  </r>
  <r>
    <m/>
    <x v="7"/>
    <n v="6721"/>
    <n v="669"/>
    <n v="1159"/>
    <n v="1318"/>
    <n v="1167"/>
    <n v="1150"/>
    <n v="854"/>
    <n v="404"/>
  </r>
  <r>
    <m/>
    <x v="7"/>
    <n v="6593"/>
    <n v="660"/>
    <n v="1123"/>
    <n v="1318"/>
    <n v="1128"/>
    <n v="1170"/>
    <n v="814"/>
    <n v="380"/>
  </r>
  <r>
    <m/>
    <x v="7"/>
    <n v="6299"/>
    <n v="630"/>
    <n v="1079"/>
    <n v="1193"/>
    <n v="1131"/>
    <n v="1111"/>
    <n v="799"/>
    <n v="356"/>
  </r>
  <r>
    <m/>
    <x v="7"/>
    <n v="5996"/>
    <n v="624"/>
    <n v="1047"/>
    <n v="1164"/>
    <n v="1048"/>
    <n v="1051"/>
    <n v="706"/>
    <n v="356"/>
  </r>
  <r>
    <m/>
    <x v="7"/>
    <n v="5888"/>
    <n v="594"/>
    <n v="1018"/>
    <n v="1144"/>
    <n v="1006"/>
    <n v="1009"/>
    <n v="758"/>
    <n v="359"/>
  </r>
  <r>
    <m/>
    <x v="7"/>
    <n v="5706"/>
    <n v="582"/>
    <n v="993"/>
    <n v="1104"/>
    <n v="980"/>
    <n v="968"/>
    <n v="719"/>
    <n v="360"/>
  </r>
  <r>
    <m/>
    <x v="7"/>
    <n v="5697"/>
    <n v="565"/>
    <n v="977"/>
    <n v="1119"/>
    <n v="975"/>
    <n v="986"/>
    <n v="713"/>
    <n v="362"/>
  </r>
  <r>
    <m/>
    <x v="8"/>
    <n v="5817"/>
    <n v="588"/>
    <n v="967"/>
    <n v="1224"/>
    <n v="968"/>
    <n v="971"/>
    <n v="715"/>
    <n v="384"/>
  </r>
  <r>
    <m/>
    <x v="8"/>
    <n v="5639"/>
    <n v="586"/>
    <n v="955"/>
    <n v="1101"/>
    <n v="974"/>
    <n v="939"/>
    <n v="699"/>
    <n v="385"/>
  </r>
  <r>
    <m/>
    <x v="8"/>
    <n v="5632"/>
    <n v="593"/>
    <n v="950"/>
    <n v="1083"/>
    <n v="975"/>
    <n v="924"/>
    <n v="699"/>
    <n v="408"/>
  </r>
  <r>
    <m/>
    <x v="8"/>
    <n v="5683"/>
    <n v="595"/>
    <n v="937"/>
    <n v="1089"/>
    <n v="997"/>
    <n v="915"/>
    <n v="728"/>
    <n v="422"/>
  </r>
  <r>
    <m/>
    <x v="8"/>
    <n v="5708"/>
    <n v="603"/>
    <n v="943"/>
    <n v="1071"/>
    <n v="1004"/>
    <n v="902"/>
    <n v="752"/>
    <n v="433"/>
  </r>
  <r>
    <m/>
    <x v="8"/>
    <n v="5750"/>
    <n v="608"/>
    <n v="929"/>
    <n v="1086"/>
    <n v="1018"/>
    <n v="879"/>
    <n v="794"/>
    <n v="436"/>
  </r>
  <r>
    <m/>
    <x v="8"/>
    <n v="5834"/>
    <n v="640"/>
    <n v="942"/>
    <n v="1085"/>
    <n v="1040"/>
    <n v="886"/>
    <n v="806"/>
    <n v="435"/>
  </r>
  <r>
    <m/>
    <x v="9"/>
    <n v="5959"/>
    <n v="657"/>
    <n v="947"/>
    <n v="1079"/>
    <n v="1084"/>
    <n v="902"/>
    <n v="824"/>
    <n v="466"/>
  </r>
  <r>
    <m/>
    <x v="9"/>
    <n v="6015"/>
    <n v="687"/>
    <n v="922"/>
    <n v="1060"/>
    <n v="1084"/>
    <n v="914"/>
    <n v="854"/>
    <n v="494"/>
  </r>
  <r>
    <m/>
    <x v="9"/>
    <n v="6055"/>
    <n v="699"/>
    <n v="948"/>
    <n v="1034"/>
    <n v="1087"/>
    <n v="894"/>
    <n v="879"/>
    <n v="514"/>
  </r>
  <r>
    <m/>
    <x v="9"/>
    <n v="6197"/>
    <n v="744"/>
    <n v="972"/>
    <n v="1056"/>
    <n v="1102"/>
    <n v="903"/>
    <n v="890"/>
    <n v="530"/>
  </r>
  <r>
    <m/>
    <x v="9"/>
    <n v="6288"/>
    <n v="739"/>
    <n v="993"/>
    <n v="1090"/>
    <n v="1113"/>
    <n v="906"/>
    <n v="909"/>
    <n v="538"/>
  </r>
  <r>
    <m/>
    <x v="9"/>
    <n v="6203"/>
    <n v="748"/>
    <n v="967"/>
    <n v="1093"/>
    <n v="1069"/>
    <n v="885"/>
    <n v="905"/>
    <n v="536"/>
  </r>
  <r>
    <m/>
    <x v="9"/>
    <n v="6332"/>
    <n v="761"/>
    <n v="961"/>
    <n v="1128"/>
    <n v="1088"/>
    <n v="906"/>
    <n v="932"/>
    <n v="556"/>
  </r>
  <r>
    <m/>
    <x v="10"/>
    <n v="6484"/>
    <n v="792"/>
    <n v="993"/>
    <n v="1147"/>
    <n v="1123"/>
    <n v="910"/>
    <n v="941"/>
    <n v="578"/>
  </r>
  <r>
    <m/>
    <x v="10"/>
    <n v="6405"/>
    <n v="765"/>
    <n v="980"/>
    <n v="1118"/>
    <n v="1112"/>
    <n v="905"/>
    <n v="923"/>
    <n v="602"/>
  </r>
  <r>
    <m/>
    <x v="10"/>
    <n v="6382"/>
    <n v="758"/>
    <n v="992"/>
    <n v="1096"/>
    <n v="1120"/>
    <n v="928"/>
    <n v="908"/>
    <n v="580"/>
  </r>
  <r>
    <m/>
    <x v="10"/>
    <n v="6403"/>
    <n v="771"/>
    <n v="1023"/>
    <n v="1115"/>
    <n v="1092"/>
    <n v="917"/>
    <n v="903"/>
    <n v="582"/>
  </r>
  <r>
    <m/>
    <x v="10"/>
    <n v="6455"/>
    <n v="772"/>
    <n v="1027"/>
    <n v="1126"/>
    <n v="1110"/>
    <n v="911"/>
    <n v="926"/>
    <n v="583"/>
  </r>
  <r>
    <m/>
    <x v="10"/>
    <n v="6473"/>
    <n v="753"/>
    <n v="1008"/>
    <n v="1156"/>
    <n v="1073"/>
    <n v="930"/>
    <n v="972"/>
    <n v="581"/>
  </r>
  <r>
    <m/>
    <x v="10"/>
    <n v="6725"/>
    <n v="778"/>
    <n v="1019"/>
    <n v="1266"/>
    <n v="1097"/>
    <n v="951"/>
    <n v="1017"/>
    <n v="597"/>
  </r>
  <r>
    <m/>
    <x v="11"/>
    <n v="6953"/>
    <n v="812"/>
    <n v="1054"/>
    <n v="1297"/>
    <n v="1132"/>
    <n v="993"/>
    <n v="1061"/>
    <n v="604"/>
  </r>
  <r>
    <m/>
    <x v="11"/>
    <n v="7031"/>
    <n v="756"/>
    <n v="1061"/>
    <n v="1348"/>
    <n v="1150"/>
    <n v="1026"/>
    <n v="1089"/>
    <n v="601"/>
  </r>
  <r>
    <m/>
    <x v="11"/>
    <n v="7209"/>
    <n v="777"/>
    <n v="1104"/>
    <n v="1369"/>
    <n v="1174"/>
    <n v="1086"/>
    <n v="1078"/>
    <n v="621"/>
  </r>
  <r>
    <m/>
    <x v="11"/>
    <n v="7277"/>
    <n v="792"/>
    <n v="1123"/>
    <n v="1420"/>
    <n v="1188"/>
    <n v="1049"/>
    <n v="1098"/>
    <n v="607"/>
  </r>
  <r>
    <m/>
    <x v="11"/>
    <n v="7371"/>
    <n v="793"/>
    <n v="1122"/>
    <n v="1434"/>
    <n v="1220"/>
    <n v="1061"/>
    <n v="1140"/>
    <n v="601"/>
  </r>
  <r>
    <m/>
    <x v="11"/>
    <n v="7484"/>
    <n v="797"/>
    <n v="1118"/>
    <n v="1475"/>
    <n v="1242"/>
    <n v="1061"/>
    <n v="1195"/>
    <n v="596"/>
  </r>
  <r>
    <m/>
    <x v="11"/>
    <n v="7665"/>
    <n v="819"/>
    <n v="1166"/>
    <n v="1500"/>
    <n v="1271"/>
    <n v="1070"/>
    <n v="1219"/>
    <n v="620"/>
  </r>
  <r>
    <m/>
    <x v="12"/>
    <n v="7919"/>
    <n v="810"/>
    <n v="1206"/>
    <n v="1538"/>
    <n v="1346"/>
    <n v="1120"/>
    <n v="1275"/>
    <n v="624"/>
  </r>
  <r>
    <m/>
    <x v="12"/>
    <n v="7906"/>
    <n v="795"/>
    <n v="1204"/>
    <n v="1519"/>
    <n v="1360"/>
    <n v="1148"/>
    <n v="1278"/>
    <n v="602"/>
  </r>
  <r>
    <m/>
    <x v="12"/>
    <n v="8015"/>
    <n v="793"/>
    <n v="1264"/>
    <n v="1539"/>
    <n v="1414"/>
    <n v="1162"/>
    <n v="1274"/>
    <n v="569"/>
  </r>
  <r>
    <m/>
    <x v="12"/>
    <n v="8107"/>
    <n v="797"/>
    <n v="1289"/>
    <n v="1581"/>
    <n v="1406"/>
    <n v="1256"/>
    <n v="1225"/>
    <n v="553"/>
  </r>
  <r>
    <m/>
    <x v="12"/>
    <n v="7598"/>
    <n v="791"/>
    <n v="1265"/>
    <n v="1554"/>
    <n v="1380"/>
    <n v="847"/>
    <n v="1226"/>
    <n v="535"/>
  </r>
  <r>
    <m/>
    <x v="12"/>
    <n v="7486"/>
    <n v="743"/>
    <n v="1255"/>
    <n v="1557"/>
    <n v="1372"/>
    <n v="828"/>
    <n v="1204"/>
    <n v="527"/>
  </r>
  <r>
    <m/>
    <x v="12"/>
    <n v="7580"/>
    <n v="749"/>
    <n v="1239"/>
    <n v="1535"/>
    <n v="1455"/>
    <n v="871"/>
    <n v="1212"/>
    <n v="519"/>
  </r>
  <r>
    <m/>
    <x v="13"/>
    <n v="7622"/>
    <n v="759"/>
    <n v="1273"/>
    <n v="1541"/>
    <n v="1432"/>
    <n v="879"/>
    <n v="1213"/>
    <n v="525"/>
  </r>
  <r>
    <m/>
    <x v="13"/>
    <n v="7598"/>
    <n v="769"/>
    <n v="1264"/>
    <n v="1510"/>
    <n v="1432"/>
    <n v="923"/>
    <n v="1181"/>
    <n v="519"/>
  </r>
  <r>
    <m/>
    <x v="13"/>
    <n v="7507"/>
    <n v="768"/>
    <n v="1251"/>
    <n v="1467"/>
    <n v="1440"/>
    <n v="871"/>
    <n v="1184"/>
    <n v="526"/>
  </r>
  <r>
    <m/>
    <x v="13"/>
    <n v="7522"/>
    <n v="748"/>
    <n v="1301"/>
    <n v="1441"/>
    <n v="1407"/>
    <n v="924"/>
    <n v="1172"/>
    <n v="529"/>
  </r>
  <r>
    <m/>
    <x v="13"/>
    <n v="7468"/>
    <n v="751"/>
    <n v="1281"/>
    <n v="1428"/>
    <n v="1402"/>
    <n v="916"/>
    <n v="1145"/>
    <n v="545"/>
  </r>
  <r>
    <m/>
    <x v="13"/>
    <n v="7330"/>
    <n v="772"/>
    <n v="1223"/>
    <n v="1345"/>
    <n v="1372"/>
    <n v="925"/>
    <n v="1145"/>
    <n v="548"/>
  </r>
  <r>
    <m/>
    <x v="13"/>
    <n v="7470"/>
    <n v="771"/>
    <n v="1289"/>
    <n v="1369"/>
    <n v="1384"/>
    <n v="924"/>
    <n v="1177"/>
    <n v="556"/>
  </r>
  <r>
    <m/>
    <x v="14"/>
    <m/>
    <m/>
    <m/>
    <m/>
    <m/>
    <m/>
    <m/>
    <m/>
  </r>
</pivotCacheRecords>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47.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48.xml"/></Relationships>
</file>

<file path=xl/pivotTables/_rels/pivotTable3.xml.rels><?xml version="1.0" encoding="UTF-8" standalone="yes"?>
<Relationships xmlns="http://schemas.openxmlformats.org/package/2006/relationships"><Relationship Id="rId1" Type="http://schemas.openxmlformats.org/officeDocument/2006/relationships/pivotCacheDefinition" Target="../pivotCache/pivotCacheDefinition49.xml"/></Relationships>
</file>

<file path=xl/pivotTables/_rels/pivotTable4.xml.rels><?xml version="1.0" encoding="UTF-8" standalone="yes"?>
<Relationships xmlns="http://schemas.openxmlformats.org/package/2006/relationships"><Relationship Id="rId1" Type="http://schemas.openxmlformats.org/officeDocument/2006/relationships/pivotCacheDefinition" Target="../pivotCache/pivotCacheDefinition50.xml"/></Relationships>
</file>

<file path=xl/pivotTables/_rels/pivotTable5.xml.rels><?xml version="1.0" encoding="UTF-8" standalone="yes"?>
<Relationships xmlns="http://schemas.openxmlformats.org/package/2006/relationships"><Relationship Id="rId1" Type="http://schemas.openxmlformats.org/officeDocument/2006/relationships/pivotCacheDefinition" Target="../pivotCache/pivotCacheDefinition46.xml"/></Relationships>
</file>

<file path=xl/pivotTables/_rels/pivotTable6.xml.rels><?xml version="1.0" encoding="UTF-8" standalone="yes"?>
<Relationships xmlns="http://schemas.openxmlformats.org/package/2006/relationships"><Relationship Id="rId1" Type="http://schemas.openxmlformats.org/officeDocument/2006/relationships/pivotCacheDefinition" Target="../pivotCache/pivotCacheDefinition45.xml"/></Relationships>
</file>

<file path=xl/pivotTables/_rels/pivotTable7.xml.rels><?xml version="1.0" encoding="UTF-8" standalone="yes"?>
<Relationships xmlns="http://schemas.openxmlformats.org/package/2006/relationships"><Relationship Id="rId1" Type="http://schemas.openxmlformats.org/officeDocument/2006/relationships/pivotCacheDefinition" Target="../pivotCache/pivotCacheDefinition43.xml"/></Relationships>
</file>

<file path=xl/pivotTables/_rels/pivotTable8.xml.rels><?xml version="1.0" encoding="UTF-8" standalone="yes"?>
<Relationships xmlns="http://schemas.openxmlformats.org/package/2006/relationships"><Relationship Id="rId1" Type="http://schemas.openxmlformats.org/officeDocument/2006/relationships/pivotCacheDefinition" Target="../pivotCache/pivotCacheDefinition44.xml"/></Relationships>
</file>

<file path=xl/pivotTables/_rels/pivotTable9.xml.rels><?xml version="1.0" encoding="UTF-8" standalone="yes"?>
<Relationships xmlns="http://schemas.openxmlformats.org/package/2006/relationships"><Relationship Id="rId1" Type="http://schemas.openxmlformats.org/officeDocument/2006/relationships/pivotCacheDefinition" Target="../pivotCache/pivotCacheDefinition30.xml"/></Relationships>
</file>

<file path=xl/pivotTables/_rels/pivotTable10.xml.rels><?xml version="1.0" encoding="UTF-8" standalone="yes"?>
<Relationships xmlns="http://schemas.openxmlformats.org/package/2006/relationships"><Relationship Id="rId1" Type="http://schemas.openxmlformats.org/officeDocument/2006/relationships/pivotCacheDefinition" Target="../pivotCache/pivotCacheDefinition31.xml"/></Relationships>
</file>

<file path=xl/pivotTables/_rels/pivotTable11.xml.rels><?xml version="1.0" encoding="UTF-8" standalone="yes"?>
<Relationships xmlns="http://schemas.openxmlformats.org/package/2006/relationships"><Relationship Id="rId1" Type="http://schemas.openxmlformats.org/officeDocument/2006/relationships/pivotCacheDefinition" Target="../pivotCache/pivotCacheDefinition29.xml"/></Relationships>
</file>

<file path=xl/pivotTables/_rels/pivotTable12.xml.rels><?xml version="1.0" encoding="UTF-8" standalone="yes"?>
<Relationships xmlns="http://schemas.openxmlformats.org/package/2006/relationships"><Relationship Id="rId1" Type="http://schemas.openxmlformats.org/officeDocument/2006/relationships/pivotCacheDefinition" Target="../pivotCache/pivotCacheDefinition33.xml"/></Relationships>
</file>

<file path=xl/pivotTables/_rels/pivotTable13.xml.rels><?xml version="1.0" encoding="UTF-8" standalone="yes"?>
<Relationships xmlns="http://schemas.openxmlformats.org/package/2006/relationships"><Relationship Id="rId1" Type="http://schemas.openxmlformats.org/officeDocument/2006/relationships/pivotCacheDefinition" Target="../pivotCache/pivotCacheDefinition34.xml"/></Relationships>
</file>

<file path=xl/pivotTables/_rels/pivotTable14.xml.rels><?xml version="1.0" encoding="UTF-8" standalone="yes"?>
<Relationships xmlns="http://schemas.openxmlformats.org/package/2006/relationships"><Relationship Id="rId1" Type="http://schemas.openxmlformats.org/officeDocument/2006/relationships/pivotCacheDefinition" Target="../pivotCache/pivotCacheDefinition32.xml"/></Relationships>
</file>

<file path=xl/pivotTables/_rels/pivotTable15.xml.rels><?xml version="1.0" encoding="UTF-8" standalone="yes"?>
<Relationships xmlns="http://schemas.openxmlformats.org/package/2006/relationships"><Relationship Id="rId1" Type="http://schemas.openxmlformats.org/officeDocument/2006/relationships/pivotCacheDefinition" Target="../pivotCache/pivotCacheDefinition35.xml"/></Relationships>
</file>

<file path=xl/pivotTables/_rels/pivotTable16.xml.rels><?xml version="1.0" encoding="UTF-8" standalone="yes"?>
<Relationships xmlns="http://schemas.openxmlformats.org/package/2006/relationships"><Relationship Id="rId1" Type="http://schemas.openxmlformats.org/officeDocument/2006/relationships/pivotCacheDefinition" Target="../pivotCache/pivotCacheDefinition36.xml"/></Relationships>
</file>

<file path=xl/pivotTables/_rels/pivotTable17.xml.rels><?xml version="1.0" encoding="UTF-8" standalone="yes"?>
<Relationships xmlns="http://schemas.openxmlformats.org/package/2006/relationships"><Relationship Id="rId1" Type="http://schemas.openxmlformats.org/officeDocument/2006/relationships/pivotCacheDefinition" Target="../pivotCache/pivotCacheDefinition40.xml"/></Relationships>
</file>

<file path=xl/pivotTables/_rels/pivotTable18.xml.rels><?xml version="1.0" encoding="UTF-8" standalone="yes"?>
<Relationships xmlns="http://schemas.openxmlformats.org/package/2006/relationships"><Relationship Id="rId1" Type="http://schemas.openxmlformats.org/officeDocument/2006/relationships/pivotCacheDefinition" Target="../pivotCache/pivotCacheDefinition38.xml"/></Relationships>
</file>

<file path=xl/pivotTables/_rels/pivotTable19.xml.rels><?xml version="1.0" encoding="UTF-8" standalone="yes"?>
<Relationships xmlns="http://schemas.openxmlformats.org/package/2006/relationships"><Relationship Id="rId1" Type="http://schemas.openxmlformats.org/officeDocument/2006/relationships/pivotCacheDefinition" Target="../pivotCache/pivotCacheDefinition39.xml"/></Relationships>
</file>

<file path=xl/pivotTables/_rels/pivotTable20.xml.rels><?xml version="1.0" encoding="UTF-8" standalone="yes"?>
<Relationships xmlns="http://schemas.openxmlformats.org/package/2006/relationships"><Relationship Id="rId1" Type="http://schemas.openxmlformats.org/officeDocument/2006/relationships/pivotCacheDefinition" Target="../pivotCache/pivotCacheDefinition41.xml"/></Relationships>
</file>

<file path=xl/pivotTables/_rels/pivotTable21.xml.rels><?xml version="1.0" encoding="UTF-8" standalone="yes"?>
<Relationships xmlns="http://schemas.openxmlformats.org/package/2006/relationships"><Relationship Id="rId1" Type="http://schemas.openxmlformats.org/officeDocument/2006/relationships/pivotCacheDefinition" Target="../pivotCache/pivotCacheDefinition42.xml"/></Relationships>
</file>

<file path=xl/pivotTables/_rels/pivotTable22.xml.rels><?xml version="1.0" encoding="UTF-8" standalone="yes"?>
<Relationships xmlns="http://schemas.openxmlformats.org/package/2006/relationships"><Relationship Id="rId1" Type="http://schemas.openxmlformats.org/officeDocument/2006/relationships/pivotCacheDefinition" Target="../pivotCache/pivotCacheDefinition37.xml"/></Relationships>
</file>

<file path=xl/pivotTables/_rels/pivotTable23.xml.rels><?xml version="1.0" encoding="UTF-8" standalone="yes"?>
<Relationships xmlns="http://schemas.openxmlformats.org/package/2006/relationships"><Relationship Id="rId1" Type="http://schemas.openxmlformats.org/officeDocument/2006/relationships/pivotCacheDefinition" Target="../pivotCache/pivotCacheDefinition24.xml"/></Relationships>
</file>

<file path=xl/pivotTables/_rels/pivotTable24.xml.rels><?xml version="1.0" encoding="UTF-8" standalone="yes"?>
<Relationships xmlns="http://schemas.openxmlformats.org/package/2006/relationships"><Relationship Id="rId1" Type="http://schemas.openxmlformats.org/officeDocument/2006/relationships/pivotCacheDefinition" Target="../pivotCache/pivotCacheDefinition22.xml"/></Relationships>
</file>

<file path=xl/pivotTables/_rels/pivotTable25.xml.rels><?xml version="1.0" encoding="UTF-8" standalone="yes"?>
<Relationships xmlns="http://schemas.openxmlformats.org/package/2006/relationships"><Relationship Id="rId1" Type="http://schemas.openxmlformats.org/officeDocument/2006/relationships/pivotCacheDefinition" Target="../pivotCache/pivotCacheDefinition21.xml"/></Relationships>
</file>

<file path=xl/pivotTables/_rels/pivotTable26.xml.rels><?xml version="1.0" encoding="UTF-8" standalone="yes"?>
<Relationships xmlns="http://schemas.openxmlformats.org/package/2006/relationships"><Relationship Id="rId1" Type="http://schemas.openxmlformats.org/officeDocument/2006/relationships/pivotCacheDefinition" Target="../pivotCache/pivotCacheDefinition23.xml"/></Relationships>
</file>

<file path=xl/pivotTables/_rels/pivotTable27.xml.rels><?xml version="1.0" encoding="UTF-8" standalone="yes"?>
<Relationships xmlns="http://schemas.openxmlformats.org/package/2006/relationships"><Relationship Id="rId1" Type="http://schemas.openxmlformats.org/officeDocument/2006/relationships/pivotCacheDefinition" Target="../pivotCache/pivotCacheDefinition27.xml"/></Relationships>
</file>

<file path=xl/pivotTables/_rels/pivotTable28.xml.rels><?xml version="1.0" encoding="UTF-8" standalone="yes"?>
<Relationships xmlns="http://schemas.openxmlformats.org/package/2006/relationships"><Relationship Id="rId1" Type="http://schemas.openxmlformats.org/officeDocument/2006/relationships/pivotCacheDefinition" Target="../pivotCache/pivotCacheDefinition28.xml"/></Relationships>
</file>

<file path=xl/pivotTables/_rels/pivotTable29.xml.rels><?xml version="1.0" encoding="UTF-8" standalone="yes"?>
<Relationships xmlns="http://schemas.openxmlformats.org/package/2006/relationships"><Relationship Id="rId1" Type="http://schemas.openxmlformats.org/officeDocument/2006/relationships/pivotCacheDefinition" Target="../pivotCache/pivotCacheDefinition25.xml"/></Relationships>
</file>

<file path=xl/pivotTables/_rels/pivotTable30.xml.rels><?xml version="1.0" encoding="UTF-8" standalone="yes"?>
<Relationships xmlns="http://schemas.openxmlformats.org/package/2006/relationships"><Relationship Id="rId1" Type="http://schemas.openxmlformats.org/officeDocument/2006/relationships/pivotCacheDefinition" Target="../pivotCache/pivotCacheDefinition26.xml"/></Relationships>
</file>

<file path=xl/pivotTables/_rels/pivotTable31.xml.rels><?xml version="1.0" encoding="UTF-8" standalone="yes"?>
<Relationships xmlns="http://schemas.openxmlformats.org/package/2006/relationships"><Relationship Id="rId1" Type="http://schemas.openxmlformats.org/officeDocument/2006/relationships/pivotCacheDefinition" Target="../pivotCache/pivotCacheDefinition17.xml"/></Relationships>
</file>

<file path=xl/pivotTables/_rels/pivotTable32.xml.rels><?xml version="1.0" encoding="UTF-8" standalone="yes"?>
<Relationships xmlns="http://schemas.openxmlformats.org/package/2006/relationships"><Relationship Id="rId1" Type="http://schemas.openxmlformats.org/officeDocument/2006/relationships/pivotCacheDefinition" Target="../pivotCache/pivotCacheDefinition18.xml"/></Relationships>
</file>

<file path=xl/pivotTables/_rels/pivotTable33.xml.rels><?xml version="1.0" encoding="UTF-8" standalone="yes"?>
<Relationships xmlns="http://schemas.openxmlformats.org/package/2006/relationships"><Relationship Id="rId1" Type="http://schemas.openxmlformats.org/officeDocument/2006/relationships/pivotCacheDefinition" Target="../pivotCache/pivotCacheDefinition20.xml"/></Relationships>
</file>

<file path=xl/pivotTables/_rels/pivotTable34.xml.rels><?xml version="1.0" encoding="UTF-8" standalone="yes"?>
<Relationships xmlns="http://schemas.openxmlformats.org/package/2006/relationships"><Relationship Id="rId1" Type="http://schemas.openxmlformats.org/officeDocument/2006/relationships/pivotCacheDefinition" Target="../pivotCache/pivotCacheDefinition19.xml"/></Relationships>
</file>

<file path=xl/pivotTables/_rels/pivotTable35.xml.rels><?xml version="1.0" encoding="UTF-8" standalone="yes"?>
<Relationships xmlns="http://schemas.openxmlformats.org/package/2006/relationships"><Relationship Id="rId1" Type="http://schemas.openxmlformats.org/officeDocument/2006/relationships/pivotCacheDefinition" Target="../pivotCache/pivotCacheDefinition5.xml"/></Relationships>
</file>

<file path=xl/pivotTables/_rels/pivotTable36.xml.rels><?xml version="1.0" encoding="UTF-8" standalone="yes"?>
<Relationships xmlns="http://schemas.openxmlformats.org/package/2006/relationships"><Relationship Id="rId1" Type="http://schemas.openxmlformats.org/officeDocument/2006/relationships/pivotCacheDefinition" Target="../pivotCache/pivotCacheDefinition4.xml"/></Relationships>
</file>

<file path=xl/pivotTables/_rels/pivotTable37.xml.rels><?xml version="1.0" encoding="UTF-8" standalone="yes"?>
<Relationships xmlns="http://schemas.openxmlformats.org/package/2006/relationships"><Relationship Id="rId1" Type="http://schemas.openxmlformats.org/officeDocument/2006/relationships/pivotCacheDefinition" Target="../pivotCache/pivotCacheDefinition6.xml"/></Relationships>
</file>

<file path=xl/pivotTables/_rels/pivotTable38.xml.rels><?xml version="1.0" encoding="UTF-8" standalone="yes"?>
<Relationships xmlns="http://schemas.openxmlformats.org/package/2006/relationships"><Relationship Id="rId1" Type="http://schemas.openxmlformats.org/officeDocument/2006/relationships/pivotCacheDefinition" Target="../pivotCache/pivotCacheDefinition3.xml"/></Relationships>
</file>

<file path=xl/pivotTables/_rels/pivotTable39.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40.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41.xml.rels><?xml version="1.0" encoding="UTF-8" standalone="yes"?>
<Relationships xmlns="http://schemas.openxmlformats.org/package/2006/relationships"><Relationship Id="rId1" Type="http://schemas.openxmlformats.org/officeDocument/2006/relationships/pivotCacheDefinition" Target="../pivotCache/pivotCacheDefinition10.xml"/></Relationships>
</file>

<file path=xl/pivotTables/_rels/pivotTable42.xml.rels><?xml version="1.0" encoding="UTF-8" standalone="yes"?>
<Relationships xmlns="http://schemas.openxmlformats.org/package/2006/relationships"><Relationship Id="rId1" Type="http://schemas.openxmlformats.org/officeDocument/2006/relationships/pivotCacheDefinition" Target="../pivotCache/pivotCacheDefinition8.xml"/></Relationships>
</file>

<file path=xl/pivotTables/_rels/pivotTable43.xml.rels><?xml version="1.0" encoding="UTF-8" standalone="yes"?>
<Relationships xmlns="http://schemas.openxmlformats.org/package/2006/relationships"><Relationship Id="rId1" Type="http://schemas.openxmlformats.org/officeDocument/2006/relationships/pivotCacheDefinition" Target="../pivotCache/pivotCacheDefinition9.xml"/></Relationships>
</file>

<file path=xl/pivotTables/_rels/pivotTable44.xml.rels><?xml version="1.0" encoding="UTF-8" standalone="yes"?>
<Relationships xmlns="http://schemas.openxmlformats.org/package/2006/relationships"><Relationship Id="rId1" Type="http://schemas.openxmlformats.org/officeDocument/2006/relationships/pivotCacheDefinition" Target="../pivotCache/pivotCacheDefinition7.xml"/></Relationships>
</file>

<file path=xl/pivotTables/_rels/pivotTable45.xml.rels><?xml version="1.0" encoding="UTF-8" standalone="yes"?>
<Relationships xmlns="http://schemas.openxmlformats.org/package/2006/relationships"><Relationship Id="rId1" Type="http://schemas.openxmlformats.org/officeDocument/2006/relationships/pivotCacheDefinition" Target="../pivotCache/pivotCacheDefinition15.xml"/></Relationships>
</file>

<file path=xl/pivotTables/_rels/pivotTable46.xml.rels><?xml version="1.0" encoding="UTF-8" standalone="yes"?>
<Relationships xmlns="http://schemas.openxmlformats.org/package/2006/relationships"><Relationship Id="rId1" Type="http://schemas.openxmlformats.org/officeDocument/2006/relationships/pivotCacheDefinition" Target="../pivotCache/pivotCacheDefinition16.xml"/></Relationships>
</file>

<file path=xl/pivotTables/_rels/pivotTable47.xml.rels><?xml version="1.0" encoding="UTF-8" standalone="yes"?>
<Relationships xmlns="http://schemas.openxmlformats.org/package/2006/relationships"><Relationship Id="rId1" Type="http://schemas.openxmlformats.org/officeDocument/2006/relationships/pivotCacheDefinition" Target="../pivotCache/pivotCacheDefinition14.xml"/></Relationships>
</file>

<file path=xl/pivotTables/_rels/pivotTable48.xml.rels><?xml version="1.0" encoding="UTF-8" standalone="yes"?>
<Relationships xmlns="http://schemas.openxmlformats.org/package/2006/relationships"><Relationship Id="rId1" Type="http://schemas.openxmlformats.org/officeDocument/2006/relationships/pivotCacheDefinition" Target="../pivotCache/pivotCacheDefinition13.xml"/></Relationships>
</file>

<file path=xl/pivotTables/_rels/pivotTable49.xml.rels><?xml version="1.0" encoding="UTF-8" standalone="yes"?>
<Relationships xmlns="http://schemas.openxmlformats.org/package/2006/relationships"><Relationship Id="rId1" Type="http://schemas.openxmlformats.org/officeDocument/2006/relationships/pivotCacheDefinition" Target="../pivotCache/pivotCacheDefinition12.xml"/></Relationships>
</file>

<file path=xl/pivotTables/_rels/pivotTable50.xml.rels><?xml version="1.0" encoding="UTF-8" standalone="yes"?>
<Relationships xmlns="http://schemas.openxmlformats.org/package/2006/relationships"><Relationship Id="rId1" Type="http://schemas.openxmlformats.org/officeDocument/2006/relationships/pivotCacheDefinition" Target="../pivotCache/pivotCacheDefinition11.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00000000-0007-0000-0100-000001000000}" name="PivotTable6" cacheId="46" applyNumberFormats="0" applyBorderFormats="0" applyFontFormats="0" applyPatternFormats="0" applyAlignmentFormats="0" applyWidthHeightFormats="1" dataCaption="Values" tag="70907dcb-9db8-4617-8784-43e18385953c" updatedVersion="8" minRefreshableVersion="3" useAutoFormatting="1" subtotalHiddenItems="1" rowGrandTotals="0" colGrandTotals="0" itemPrintTitles="1" createdVersion="4" indent="0" outline="1" outlineData="1" multipleFieldFilters="0">
  <location ref="AF5:AG61" firstHeaderRow="1" firstDataRow="1" firstDataCol="1" rowPageCount="1" colPageCount="1"/>
  <pivotFields count="3">
    <pivotField dataField="1" showAll="0"/>
    <pivotField axis="axisPage" allDrilled="1" showAll="0" dataSourceSort="1" defaultAttributeDrillState="1">
      <items count="1">
        <item t="default"/>
      </items>
    </pivotField>
    <pivotField axis="axisRow" allDrilled="1" showAll="0" dataSourceSort="1" defaultAttributeDrillState="1">
      <items count="57">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t="default"/>
      </items>
    </pivotField>
  </pivotFields>
  <rowFields count="1">
    <field x="2"/>
  </rowFields>
  <rowItems count="56">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i>
      <x v="47"/>
    </i>
    <i>
      <x v="48"/>
    </i>
    <i>
      <x v="49"/>
    </i>
    <i>
      <x v="50"/>
    </i>
    <i>
      <x v="51"/>
    </i>
    <i>
      <x v="52"/>
    </i>
    <i>
      <x v="53"/>
    </i>
    <i>
      <x v="54"/>
    </i>
    <i>
      <x v="55"/>
    </i>
  </rowItems>
  <colItems count="1">
    <i/>
  </colItems>
  <pageFields count="1">
    <pageField fld="1" hier="95" name="[Winter daily sitreps].[Year].&amp;[2024/25]" cap="2024/25"/>
  </pageFields>
  <dataFields count="1">
    <dataField name="Sum of AE diverts" fld="0"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69"/>
  </row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00000000-0007-0000-0100-000000000000}" name="PivotTable4" cacheId="47" applyNumberFormats="0" applyBorderFormats="0" applyFontFormats="0" applyPatternFormats="0" applyAlignmentFormats="0" applyWidthHeightFormats="1" dataCaption="Values" tag="9d06cd80-18ab-4970-aab5-c7eca71eb3db" updatedVersion="8" minRefreshableVersion="3" useAutoFormatting="1" subtotalHiddenItems="1" rowGrandTotals="0" colGrandTotals="0" itemPrintTitles="1" createdVersion="4" indent="0" outline="1" outlineData="1" multipleFieldFilters="0">
  <location ref="AA5:AB61" firstHeaderRow="1" firstDataRow="1" firstDataCol="1" rowPageCount="1" colPageCount="1"/>
  <pivotFields count="3">
    <pivotField dataField="1" showAll="0"/>
    <pivotField axis="axisPage" allDrilled="1" showAll="0" dataSourceSort="1" defaultAttributeDrillState="1">
      <items count="1">
        <item t="default"/>
      </items>
    </pivotField>
    <pivotField axis="axisRow" allDrilled="1" showAll="0" dataSourceSort="1" defaultAttributeDrillState="1">
      <items count="57">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t="default"/>
      </items>
    </pivotField>
  </pivotFields>
  <rowFields count="1">
    <field x="2"/>
  </rowFields>
  <rowItems count="56">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i>
      <x v="47"/>
    </i>
    <i>
      <x v="48"/>
    </i>
    <i>
      <x v="49"/>
    </i>
    <i>
      <x v="50"/>
    </i>
    <i>
      <x v="51"/>
    </i>
    <i>
      <x v="52"/>
    </i>
    <i>
      <x v="53"/>
    </i>
    <i>
      <x v="54"/>
    </i>
    <i>
      <x v="55"/>
    </i>
  </rowItems>
  <colItems count="1">
    <i/>
  </colItems>
  <pageFields count="1">
    <pageField fld="1" hier="95" name="[Winter daily sitreps].[Year].&amp;[2024/25]" cap="2024/25"/>
  </pageFields>
  <dataFields count="1">
    <dataField name="Sum of AE diverts" fld="0"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69"/>
  </row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3.xml><?xml version="1.0" encoding="utf-8"?>
<pivotTableDefinition xmlns="http://schemas.openxmlformats.org/spreadsheetml/2006/main" xmlns:mc="http://schemas.openxmlformats.org/markup-compatibility/2006" xmlns:xr="http://schemas.microsoft.com/office/spreadsheetml/2014/revision" mc:Ignorable="xr" xr:uid="{00000000-0007-0000-0100-000003000000}" name="PivotTable9" cacheId="48" applyNumberFormats="0" applyBorderFormats="0" applyFontFormats="0" applyPatternFormats="0" applyAlignmentFormats="0" applyWidthHeightFormats="1" dataCaption="Values" tag="7cdba49d-4c8e-4517-a4e1-6ff5fedbb3a1" updatedVersion="8" minRefreshableVersion="3" useAutoFormatting="1" subtotalHiddenItems="1" itemPrintTitles="1" createdVersion="4" indent="0" outline="1" outlineData="1" multipleFieldFilters="0">
  <location ref="E5:M15" firstHeaderRow="1" firstDataRow="2" firstDataCol="1" rowPageCount="1" colPageCount="1"/>
  <pivotFields count="4">
    <pivotField dataField="1" showAll="0"/>
    <pivotField axis="axisPage" allDrilled="1" showAll="0" dataSourceSort="1" defaultAttributeDrillState="1">
      <items count="1">
        <item t="default"/>
      </items>
    </pivotField>
    <pivotField axis="axisCol" allDrilled="1" showAll="0" sortType="ascending" defaultAttributeDrillState="1">
      <items count="8">
        <item x="0"/>
        <item x="1"/>
        <item x="2"/>
        <item x="3"/>
        <item x="4"/>
        <item x="5"/>
        <item x="6"/>
        <item t="default"/>
      </items>
    </pivotField>
    <pivotField axis="axisRow" allDrilled="1" showAll="0" dataSourceSort="1" defaultAttributeDrillState="1">
      <items count="9">
        <item x="0"/>
        <item x="1"/>
        <item x="2"/>
        <item x="3"/>
        <item x="4"/>
        <item x="5"/>
        <item x="6"/>
        <item x="7"/>
        <item t="default"/>
      </items>
    </pivotField>
  </pivotFields>
  <rowFields count="1">
    <field x="3"/>
  </rowFields>
  <rowItems count="9">
    <i>
      <x/>
    </i>
    <i>
      <x v="1"/>
    </i>
    <i>
      <x v="2"/>
    </i>
    <i>
      <x v="3"/>
    </i>
    <i>
      <x v="4"/>
    </i>
    <i>
      <x v="5"/>
    </i>
    <i>
      <x v="6"/>
    </i>
    <i>
      <x v="7"/>
    </i>
    <i t="grand">
      <x/>
    </i>
  </rowItems>
  <colFields count="1">
    <field x="2"/>
  </colFields>
  <colItems count="8">
    <i>
      <x/>
    </i>
    <i>
      <x v="1"/>
    </i>
    <i>
      <x v="2"/>
    </i>
    <i>
      <x v="3"/>
    </i>
    <i>
      <x v="4"/>
    </i>
    <i>
      <x v="5"/>
    </i>
    <i>
      <x v="6"/>
    </i>
    <i t="grand">
      <x/>
    </i>
  </colItems>
  <pageFields count="1">
    <pageField fld="1" hier="95" name="[Winter daily sitreps].[Year].&amp;[2024/25]" cap="2024/25"/>
  </pageFields>
  <dataFields count="1">
    <dataField name="Sum of AE diverts" fld="0"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1">
    <colHierarchyUsage hierarchyUsage="94"/>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4.xml><?xml version="1.0" encoding="utf-8"?>
<pivotTableDefinition xmlns="http://schemas.openxmlformats.org/spreadsheetml/2006/main" xmlns:mc="http://schemas.openxmlformats.org/markup-compatibility/2006" xmlns:xr="http://schemas.microsoft.com/office/spreadsheetml/2014/revision" mc:Ignorable="xr" xr:uid="{00000000-0007-0000-0100-000002000000}" name="PivotTable8" cacheId="49" applyNumberFormats="0" applyBorderFormats="0" applyFontFormats="0" applyPatternFormats="0" applyAlignmentFormats="0" applyWidthHeightFormats="1" dataCaption="Values" tag="c1f45b27-5377-4b85-a5cc-8347f81f52db" updatedVersion="8" minRefreshableVersion="3" useAutoFormatting="1" subtotalHiddenItems="1" itemPrintTitles="1" createdVersion="4" indent="0" outline="1" outlineData="1" multipleFieldFilters="0">
  <location ref="B5:C14" firstHeaderRow="1" firstDataRow="1" firstDataCol="1" rowPageCount="1" colPageCount="1"/>
  <pivotFields count="3">
    <pivotField dataField="1" showAll="0"/>
    <pivotField axis="axisRow" allDrilled="1" showAll="0" dataSourceSort="1" defaultAttributeDrillState="1">
      <items count="9">
        <item x="0"/>
        <item x="1"/>
        <item x="2"/>
        <item x="3"/>
        <item x="4"/>
        <item x="5"/>
        <item x="6"/>
        <item x="7"/>
        <item t="default"/>
      </items>
    </pivotField>
    <pivotField axis="axisPage" allDrilled="1" showAll="0" dataSourceSort="1" defaultAttributeDrillState="1">
      <items count="1">
        <item t="default"/>
      </items>
    </pivotField>
  </pivotFields>
  <rowFields count="1">
    <field x="1"/>
  </rowFields>
  <rowItems count="9">
    <i>
      <x/>
    </i>
    <i>
      <x v="1"/>
    </i>
    <i>
      <x v="2"/>
    </i>
    <i>
      <x v="3"/>
    </i>
    <i>
      <x v="4"/>
    </i>
    <i>
      <x v="5"/>
    </i>
    <i>
      <x v="6"/>
    </i>
    <i>
      <x v="7"/>
    </i>
    <i t="grand">
      <x/>
    </i>
  </rowItems>
  <colItems count="1">
    <i/>
  </colItems>
  <pageFields count="1">
    <pageField fld="2" hier="95" name="[Winter daily sitreps].[Year].&amp;[2024/25]" cap="2024/25"/>
  </pageFields>
  <dataFields count="1">
    <dataField name="Sum of AE diverts" fld="0"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5.xml><?xml version="1.0" encoding="utf-8"?>
<pivotTableDefinition xmlns="http://schemas.openxmlformats.org/spreadsheetml/2006/main" xmlns:mc="http://schemas.openxmlformats.org/markup-compatibility/2006" xmlns:xr="http://schemas.microsoft.com/office/spreadsheetml/2014/revision" mc:Ignorable="xr" xr:uid="{00000000-0007-0000-0200-000000000000}" name="PivotTable10" cacheId="45" applyNumberFormats="0" applyBorderFormats="0" applyFontFormats="0" applyPatternFormats="0" applyAlignmentFormats="0" applyWidthHeightFormats="1" dataCaption="Values" tag="28dedf1c-92d5-4d53-b4e5-4da17111bb79" updatedVersion="8" minRefreshableVersion="3" useAutoFormatting="1" subtotalHiddenItems="1" itemPrintTitles="1" createdVersion="4" indent="0" outline="1" outlineData="1" multipleFieldFilters="0">
  <location ref="B5:E14" firstHeaderRow="0" firstDataRow="1" firstDataCol="1" rowPageCount="1" colPageCount="1"/>
  <pivotFields count="5">
    <pivotField axis="axisPage" allDrilled="1" showAll="0" dataSourceSort="1" defaultAttributeDrillState="1">
      <items count="1">
        <item t="default"/>
      </items>
    </pivotField>
    <pivotField axis="axisRow" allDrilled="1" showAll="0" dataSourceSort="1" defaultAttributeDrillState="1">
      <items count="9">
        <item x="0"/>
        <item x="1"/>
        <item x="2"/>
        <item x="3"/>
        <item x="4"/>
        <item x="5"/>
        <item x="6"/>
        <item x="7"/>
        <item t="default"/>
      </items>
    </pivotField>
    <pivotField dataField="1" showAll="0"/>
    <pivotField dataField="1" showAll="0"/>
    <pivotField dataField="1" showAll="0"/>
  </pivotFields>
  <rowFields count="1">
    <field x="1"/>
  </rowFields>
  <rowItems count="9">
    <i>
      <x/>
    </i>
    <i>
      <x v="1"/>
    </i>
    <i>
      <x v="2"/>
    </i>
    <i>
      <x v="3"/>
    </i>
    <i>
      <x v="4"/>
    </i>
    <i>
      <x v="5"/>
    </i>
    <i>
      <x v="6"/>
    </i>
    <i>
      <x v="7"/>
    </i>
    <i t="grand">
      <x/>
    </i>
  </rowItems>
  <colFields count="1">
    <field x="-2"/>
  </colFields>
  <colItems count="3">
    <i>
      <x/>
    </i>
    <i i="1">
      <x v="1"/>
    </i>
    <i i="2">
      <x v="2"/>
    </i>
  </colItems>
  <pageFields count="1">
    <pageField fld="0" hier="95" name="[Winter daily sitreps].[Year].&amp;[2024/25]" cap="2024/25"/>
  </pageFields>
  <dataFields count="3">
    <dataField name="Core" fld="2" baseField="0" baseItem="0"/>
    <dataField name="Escalation" fld="3" baseField="0" baseItem="0"/>
    <dataField name="Total" fld="4"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Total"/>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Core"/>
    <pivotHierarchy dragToRow="0" dragToCol="0" dragToPage="0" dragToData="1" caption="Escalation"/>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6.xml><?xml version="1.0" encoding="utf-8"?>
<pivotTableDefinition xmlns="http://schemas.openxmlformats.org/spreadsheetml/2006/main" xmlns:mc="http://schemas.openxmlformats.org/markup-compatibility/2006" xmlns:xr="http://schemas.microsoft.com/office/spreadsheetml/2014/revision" mc:Ignorable="xr" xr:uid="{00000000-0007-0000-0200-000001000000}" name="PivotTable11" cacheId="44" applyNumberFormats="0" applyBorderFormats="0" applyFontFormats="0" applyPatternFormats="0" applyAlignmentFormats="0" applyWidthHeightFormats="1" dataCaption="Values" tag="e0ec11de-981b-4052-a8fe-1e8cd442aade" updatedVersion="8" minRefreshableVersion="3" useAutoFormatting="1" subtotalHiddenItems="1" rowGrandTotals="0" colGrandTotals="0" itemPrintTitles="1" createdVersion="4" indent="0" outline="1" outlineData="1" multipleFieldFilters="0">
  <location ref="L5:O61" firstHeaderRow="0" firstDataRow="1" firstDataCol="1" rowPageCount="1" colPageCount="1"/>
  <pivotFields count="5">
    <pivotField axis="axisPage" allDrilled="1" showAll="0" dataSourceSort="1" defaultSubtotal="0" defaultAttributeDrillState="1"/>
    <pivotField dataField="1" showAll="0"/>
    <pivotField dataField="1" showAll="0"/>
    <pivotField dataField="1" showAll="0"/>
    <pivotField axis="axisRow" allDrilled="1" showAll="0" dataSourceSort="1" defaultSubtotal="0" defaultAttributeDrillState="1">
      <items count="56">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s>
    </pivotField>
  </pivotFields>
  <rowFields count="1">
    <field x="4"/>
  </rowFields>
  <rowItems count="56">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i>
      <x v="47"/>
    </i>
    <i>
      <x v="48"/>
    </i>
    <i>
      <x v="49"/>
    </i>
    <i>
      <x v="50"/>
    </i>
    <i>
      <x v="51"/>
    </i>
    <i>
      <x v="52"/>
    </i>
    <i>
      <x v="53"/>
    </i>
    <i>
      <x v="54"/>
    </i>
    <i>
      <x v="55"/>
    </i>
  </rowItems>
  <colFields count="1">
    <field x="-2"/>
  </colFields>
  <colItems count="3">
    <i>
      <x/>
    </i>
    <i i="1">
      <x v="1"/>
    </i>
    <i i="2">
      <x v="2"/>
    </i>
  </colItems>
  <pageFields count="1">
    <pageField fld="0" hier="95" name="[Winter daily sitreps].[Year].&amp;[2024/25]" cap="2024/25"/>
  </pageFields>
  <dataFields count="3">
    <dataField name="Core" fld="1" baseField="0" baseItem="0"/>
    <dataField name="Escalation" fld="2" baseField="0" baseItem="0"/>
    <dataField name="Total"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Total"/>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Core"/>
    <pivotHierarchy dragToRow="0" dragToCol="0" dragToPage="0" dragToData="1" caption="Escalation"/>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69"/>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7.xml><?xml version="1.0" encoding="utf-8"?>
<pivotTableDefinition xmlns="http://schemas.openxmlformats.org/spreadsheetml/2006/main" xmlns:mc="http://schemas.openxmlformats.org/markup-compatibility/2006" xmlns:xr="http://schemas.microsoft.com/office/spreadsheetml/2014/revision" mc:Ignorable="xr" xr:uid="{00000000-0007-0000-0200-000003000000}" name="PivotTable13" cacheId="42" applyNumberFormats="0" applyBorderFormats="0" applyFontFormats="0" applyPatternFormats="0" applyAlignmentFormats="0" applyWidthHeightFormats="1" dataCaption="Values" tag="f3125be8-0268-4aab-a20c-9359a97ff270" updatedVersion="8" minRefreshableVersion="3" useAutoFormatting="1" subtotalHiddenItems="1" rowGrandTotals="0" itemPrintTitles="1" createdVersion="4" indent="0" outline="1" outlineData="1" multipleFieldFilters="0">
  <location ref="BG6:BJ62" firstHeaderRow="0" firstDataRow="1" firstDataCol="1" rowPageCount="1" colPageCount="1"/>
  <pivotFields count="5">
    <pivotField axis="axisPage" allDrilled="1" showAll="0" dataSourceSort="1" defaultAttributeDrillState="1">
      <items count="1">
        <item t="default"/>
      </items>
    </pivotField>
    <pivotField dataField="1" showAll="0"/>
    <pivotField dataField="1" showAll="0"/>
    <pivotField dataField="1" showAll="0"/>
    <pivotField axis="axisRow" allDrilled="1" showAll="0" dataSourceSort="1" defaultAttributeDrillState="1">
      <items count="57">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t="default"/>
      </items>
    </pivotField>
  </pivotFields>
  <rowFields count="1">
    <field x="4"/>
  </rowFields>
  <rowItems count="56">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i>
      <x v="47"/>
    </i>
    <i>
      <x v="48"/>
    </i>
    <i>
      <x v="49"/>
    </i>
    <i>
      <x v="50"/>
    </i>
    <i>
      <x v="51"/>
    </i>
    <i>
      <x v="52"/>
    </i>
    <i>
      <x v="53"/>
    </i>
    <i>
      <x v="54"/>
    </i>
    <i>
      <x v="55"/>
    </i>
  </rowItems>
  <colFields count="1">
    <field x="-2"/>
  </colFields>
  <colItems count="3">
    <i>
      <x/>
    </i>
    <i i="1">
      <x v="1"/>
    </i>
    <i i="2">
      <x v="2"/>
    </i>
  </colItems>
  <pageFields count="1">
    <pageField fld="0" hier="95" name="[Winter daily sitreps].[Year].&amp;[2024/25]" cap="2024/25"/>
  </pageFields>
  <dataFields count="3">
    <dataField name="Core" fld="1" baseField="0" baseItem="0"/>
    <dataField name="Escalation" fld="2" baseField="0" baseItem="0"/>
    <dataField name="Total"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Total"/>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Core"/>
    <pivotHierarchy dragToRow="0" dragToCol="0" dragToPage="0" dragToData="1" caption="Escalation"/>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69"/>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8.xml><?xml version="1.0" encoding="utf-8"?>
<pivotTableDefinition xmlns="http://schemas.openxmlformats.org/spreadsheetml/2006/main" xmlns:mc="http://schemas.openxmlformats.org/markup-compatibility/2006" xmlns:xr="http://schemas.microsoft.com/office/spreadsheetml/2014/revision" mc:Ignorable="xr" xr:uid="{00000000-0007-0000-0200-000002000000}" name="PivotTable12" cacheId="43" applyNumberFormats="0" applyBorderFormats="0" applyFontFormats="0" applyPatternFormats="0" applyAlignmentFormats="0" applyWidthHeightFormats="1" dataCaption="Values" tag="ed642629-01ce-41a1-89dc-5dcfa0219d0f" updatedVersion="8" minRefreshableVersion="3" useAutoFormatting="1" subtotalHiddenItems="1" itemPrintTitles="1" createdVersion="4" indent="0" outline="1" outlineData="1" multipleFieldFilters="0">
  <location ref="W5:AU16" firstHeaderRow="1" firstDataRow="3" firstDataCol="1" rowPageCount="1" colPageCount="1"/>
  <pivotFields count="6">
    <pivotField axis="axisPage" allDrilled="1" showAll="0" dataSourceSort="1" defaultAttributeDrillState="1">
      <items count="1">
        <item t="default"/>
      </items>
    </pivotField>
    <pivotField dataField="1" showAll="0"/>
    <pivotField dataField="1" showAll="0"/>
    <pivotField axis="axisCol" allDrilled="1" showAll="0" sortType="ascending" defaultAttributeDrillState="1">
      <items count="8">
        <item x="0"/>
        <item x="1"/>
        <item x="2"/>
        <item x="3"/>
        <item x="4"/>
        <item x="5"/>
        <item x="6"/>
        <item t="default"/>
      </items>
    </pivotField>
    <pivotField dataField="1" showAll="0"/>
    <pivotField axis="axisRow" allDrilled="1" showAll="0" dataSourceSort="1" defaultAttributeDrillState="1">
      <items count="9">
        <item x="0"/>
        <item x="1"/>
        <item x="2"/>
        <item x="3"/>
        <item x="4"/>
        <item x="5"/>
        <item x="6"/>
        <item x="7"/>
        <item t="default"/>
      </items>
    </pivotField>
  </pivotFields>
  <rowFields count="1">
    <field x="5"/>
  </rowFields>
  <rowItems count="9">
    <i>
      <x/>
    </i>
    <i>
      <x v="1"/>
    </i>
    <i>
      <x v="2"/>
    </i>
    <i>
      <x v="3"/>
    </i>
    <i>
      <x v="4"/>
    </i>
    <i>
      <x v="5"/>
    </i>
    <i>
      <x v="6"/>
    </i>
    <i>
      <x v="7"/>
    </i>
    <i t="grand">
      <x/>
    </i>
  </rowItems>
  <colFields count="2">
    <field x="3"/>
    <field x="-2"/>
  </colFields>
  <colItems count="24">
    <i>
      <x/>
      <x/>
    </i>
    <i r="1" i="1">
      <x v="1"/>
    </i>
    <i r="1" i="2">
      <x v="2"/>
    </i>
    <i>
      <x v="1"/>
      <x/>
    </i>
    <i r="1" i="1">
      <x v="1"/>
    </i>
    <i r="1" i="2">
      <x v="2"/>
    </i>
    <i>
      <x v="2"/>
      <x/>
    </i>
    <i r="1" i="1">
      <x v="1"/>
    </i>
    <i r="1" i="2">
      <x v="2"/>
    </i>
    <i>
      <x v="3"/>
      <x/>
    </i>
    <i r="1" i="1">
      <x v="1"/>
    </i>
    <i r="1" i="2">
      <x v="2"/>
    </i>
    <i>
      <x v="4"/>
      <x/>
    </i>
    <i r="1" i="1">
      <x v="1"/>
    </i>
    <i r="1" i="2">
      <x v="2"/>
    </i>
    <i>
      <x v="5"/>
      <x/>
    </i>
    <i r="1" i="1">
      <x v="1"/>
    </i>
    <i r="1" i="2">
      <x v="2"/>
    </i>
    <i>
      <x v="6"/>
      <x/>
    </i>
    <i r="1" i="1">
      <x v="1"/>
    </i>
    <i r="1" i="2">
      <x v="2"/>
    </i>
    <i t="grand">
      <x/>
    </i>
    <i t="grand" i="1">
      <x/>
    </i>
    <i t="grand" i="2">
      <x/>
    </i>
  </colItems>
  <pageFields count="1">
    <pageField fld="0" hier="95" name="[Winter daily sitreps].[Year].&amp;[2024/25]" cap="2024/25"/>
  </pageFields>
  <dataFields count="3">
    <dataField name="Core" fld="1" baseField="0" baseItem="0"/>
    <dataField name="Escalation" fld="2" baseField="0" baseItem="0"/>
    <dataField name="Total" fld="4"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Total"/>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Core"/>
    <pivotHierarchy dragToRow="0" dragToCol="0" dragToPage="0" dragToData="1" caption="Escalation"/>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2">
    <colHierarchyUsage hierarchyUsage="94"/>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9.xml><?xml version="1.0" encoding="utf-8"?>
<pivotTableDefinition xmlns="http://schemas.openxmlformats.org/spreadsheetml/2006/main" xmlns:mc="http://schemas.openxmlformats.org/markup-compatibility/2006" xmlns:xr="http://schemas.microsoft.com/office/spreadsheetml/2014/revision" mc:Ignorable="xr" xr:uid="{00000000-0007-0000-0300-000001000000}" name="PivotTable15" cacheId="29" applyNumberFormats="0" applyBorderFormats="0" applyFontFormats="0" applyPatternFormats="0" applyAlignmentFormats="0" applyWidthHeightFormats="1" dataCaption="Values" tag="a352aa7b-46c6-4630-a505-e65dd965d25a" updatedVersion="8" minRefreshableVersion="3" useAutoFormatting="1" subtotalHiddenItems="1" itemPrintTitles="1" createdVersion="4" indent="0" outline="1" outlineData="1" multipleFieldFilters="0">
  <location ref="I5:Y16" firstHeaderRow="1" firstDataRow="3" firstDataCol="1" rowPageCount="1" colPageCount="1"/>
  <pivotFields count="5">
    <pivotField axis="axisPage" allDrilled="1" showAll="0" dataSourceSort="1" defaultAttributeDrillState="1">
      <items count="1">
        <item t="default"/>
      </items>
    </pivotField>
    <pivotField dataField="1" showAll="0"/>
    <pivotField dataField="1" showAll="0"/>
    <pivotField axis="axisCol" allDrilled="1" showAll="0" dataSourceSort="1" defaultAttributeDrillState="1">
      <items count="8">
        <item x="0"/>
        <item x="1"/>
        <item x="2"/>
        <item x="3"/>
        <item x="4"/>
        <item x="5"/>
        <item x="6"/>
        <item t="default"/>
      </items>
    </pivotField>
    <pivotField axis="axisRow" allDrilled="1" showAll="0" dataSourceSort="1" defaultAttributeDrillState="1">
      <items count="9">
        <item x="0"/>
        <item x="1"/>
        <item x="2"/>
        <item x="3"/>
        <item x="4"/>
        <item x="5"/>
        <item x="6"/>
        <item x="7"/>
        <item t="default"/>
      </items>
    </pivotField>
  </pivotFields>
  <rowFields count="1">
    <field x="4"/>
  </rowFields>
  <rowItems count="9">
    <i>
      <x/>
    </i>
    <i>
      <x v="1"/>
    </i>
    <i>
      <x v="2"/>
    </i>
    <i>
      <x v="3"/>
    </i>
    <i>
      <x v="4"/>
    </i>
    <i>
      <x v="5"/>
    </i>
    <i>
      <x v="6"/>
    </i>
    <i>
      <x v="7"/>
    </i>
    <i t="grand">
      <x/>
    </i>
  </rowItems>
  <colFields count="2">
    <field x="3"/>
    <field x="-2"/>
  </colFields>
  <colItems count="16">
    <i>
      <x/>
      <x/>
    </i>
    <i r="1" i="1">
      <x v="1"/>
    </i>
    <i>
      <x v="1"/>
      <x/>
    </i>
    <i r="1" i="1">
      <x v="1"/>
    </i>
    <i>
      <x v="2"/>
      <x/>
    </i>
    <i r="1" i="1">
      <x v="1"/>
    </i>
    <i>
      <x v="3"/>
      <x/>
    </i>
    <i r="1" i="1">
      <x v="1"/>
    </i>
    <i>
      <x v="4"/>
      <x/>
    </i>
    <i r="1" i="1">
      <x v="1"/>
    </i>
    <i>
      <x v="5"/>
      <x/>
    </i>
    <i r="1" i="1">
      <x v="1"/>
    </i>
    <i>
      <x v="6"/>
      <x/>
    </i>
    <i r="1" i="1">
      <x v="1"/>
    </i>
    <i t="grand">
      <x/>
    </i>
    <i t="grand" i="1">
      <x/>
    </i>
  </colItems>
  <pageFields count="1">
    <pageField fld="0" hier="95" name="[Winter daily sitreps].[Year].&amp;[2024/25]" cap="2024/25"/>
  </pageFields>
  <dataFields count="2">
    <dataField name="Available" fld="1" baseField="0" baseItem="0"/>
    <dataField name="Occupied" fld="2"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2">
    <colHierarchyUsage hierarchyUsage="94"/>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10.xml><?xml version="1.0" encoding="utf-8"?>
<pivotTableDefinition xmlns="http://schemas.openxmlformats.org/spreadsheetml/2006/main" xmlns:mc="http://schemas.openxmlformats.org/markup-compatibility/2006" xmlns:xr="http://schemas.microsoft.com/office/spreadsheetml/2014/revision" mc:Ignorable="xr" xr:uid="{00000000-0007-0000-0300-000000000000}" name="PivotTable14" cacheId="30" applyNumberFormats="0" applyBorderFormats="0" applyFontFormats="0" applyPatternFormats="0" applyAlignmentFormats="0" applyWidthHeightFormats="1" dataCaption="Values" tag="8eedc978-07e8-48d8-81c4-2d336553a92f" updatedVersion="8" minRefreshableVersion="3" useAutoFormatting="1" subtotalHiddenItems="1" itemPrintTitles="1" createdVersion="4" indent="0" outline="1" outlineData="1" multipleFieldFilters="0">
  <location ref="B5:D14" firstHeaderRow="0" firstDataRow="1" firstDataCol="1" rowPageCount="1" colPageCount="1"/>
  <pivotFields count="4">
    <pivotField axis="axisPage" allDrilled="1" showAll="0" dataSourceSort="1" defaultAttributeDrillState="1">
      <items count="1">
        <item t="default"/>
      </items>
    </pivotField>
    <pivotField dataField="1" showAll="0"/>
    <pivotField dataField="1" showAll="0"/>
    <pivotField axis="axisRow" allDrilled="1" showAll="0" dataSourceSort="1" defaultAttributeDrillState="1">
      <items count="9">
        <item x="0"/>
        <item x="1"/>
        <item x="2"/>
        <item x="3"/>
        <item x="4"/>
        <item x="5"/>
        <item x="6"/>
        <item x="7"/>
        <item t="default"/>
      </items>
    </pivotField>
  </pivotFields>
  <rowFields count="1">
    <field x="3"/>
  </rowFields>
  <rowItems count="9">
    <i>
      <x/>
    </i>
    <i>
      <x v="1"/>
    </i>
    <i>
      <x v="2"/>
    </i>
    <i>
      <x v="3"/>
    </i>
    <i>
      <x v="4"/>
    </i>
    <i>
      <x v="5"/>
    </i>
    <i>
      <x v="6"/>
    </i>
    <i>
      <x v="7"/>
    </i>
    <i t="grand">
      <x/>
    </i>
  </rowItems>
  <colFields count="1">
    <field x="-2"/>
  </colFields>
  <colItems count="2">
    <i>
      <x/>
    </i>
    <i i="1">
      <x v="1"/>
    </i>
  </colItems>
  <pageFields count="1">
    <pageField fld="0" hier="95" name="[Winter daily sitreps].[Year].&amp;[2024/25]" cap="2024/25"/>
  </pageFields>
  <dataFields count="2">
    <dataField name="Available" fld="1" baseField="0" baseItem="0"/>
    <dataField name="Occupied" fld="2"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11.xml><?xml version="1.0" encoding="utf-8"?>
<pivotTableDefinition xmlns="http://schemas.openxmlformats.org/spreadsheetml/2006/main" xmlns:mc="http://schemas.openxmlformats.org/markup-compatibility/2006" xmlns:xr="http://schemas.microsoft.com/office/spreadsheetml/2014/revision" mc:Ignorable="xr" xr:uid="{00000000-0007-0000-0300-000002000000}" name="PivotTable16" cacheId="28" applyNumberFormats="0" applyBorderFormats="0" applyFontFormats="0" applyPatternFormats="0" applyAlignmentFormats="0" applyWidthHeightFormats="1" dataCaption="Values" tag="75108420-684c-4036-bdfe-dfd1f973e47b" updatedVersion="8" minRefreshableVersion="3" useAutoFormatting="1" subtotalHiddenItems="1" colGrandTotals="0" itemPrintTitles="1" createdVersion="4" indent="0" outline="1" outlineData="1" multipleFieldFilters="0">
  <location ref="AL5:CX144" firstHeaderRow="1" firstDataRow="3" firstDataCol="1" rowPageCount="1" colPageCount="1"/>
  <pivotFields count="5">
    <pivotField axis="axisPage" allDrilled="1" showAll="0" dataSourceSort="1" defaultAttributeDrillState="1">
      <items count="1">
        <item t="default"/>
      </items>
    </pivotField>
    <pivotField axis="axisRow" allDrilled="1" showAll="0" dataSourceSort="1" defaultAttributeDrillState="1">
      <items count="137">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t="default"/>
      </items>
    </pivotField>
    <pivotField axis="axisCol" allDrilled="1" showAll="0" dataSourceSort="1" defaultAttributeDrillState="1">
      <items count="8">
        <item x="0"/>
        <item x="1"/>
        <item x="2"/>
        <item x="3"/>
        <item x="4"/>
        <item x="5"/>
        <item x="6"/>
        <item t="default"/>
      </items>
    </pivotField>
    <pivotField axis="axisCol" allDrilled="1" showAll="0" defaultAttributeDrillState="1">
      <items count="15">
        <item s="1" x="0"/>
        <item s="1" x="1"/>
        <item s="1" x="2"/>
        <item s="1" x="3"/>
        <item s="1" x="4"/>
        <item s="1" x="5"/>
        <item s="1" x="6"/>
        <item s="1" x="7"/>
        <item s="1" x="13"/>
        <item s="1" x="8"/>
        <item s="1" x="9"/>
        <item s="1" x="10"/>
        <item s="1" x="11"/>
        <item s="1" x="12"/>
        <item t="default"/>
      </items>
    </pivotField>
    <pivotField dataField="1" showAll="0"/>
  </pivotFields>
  <rowFields count="1">
    <field x="1"/>
  </rowFields>
  <rowItems count="137">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i>
      <x v="47"/>
    </i>
    <i>
      <x v="48"/>
    </i>
    <i>
      <x v="49"/>
    </i>
    <i>
      <x v="50"/>
    </i>
    <i>
      <x v="51"/>
    </i>
    <i>
      <x v="52"/>
    </i>
    <i>
      <x v="53"/>
    </i>
    <i>
      <x v="54"/>
    </i>
    <i>
      <x v="55"/>
    </i>
    <i>
      <x v="56"/>
    </i>
    <i>
      <x v="57"/>
    </i>
    <i>
      <x v="58"/>
    </i>
    <i>
      <x v="59"/>
    </i>
    <i>
      <x v="60"/>
    </i>
    <i>
      <x v="61"/>
    </i>
    <i>
      <x v="62"/>
    </i>
    <i>
      <x v="63"/>
    </i>
    <i>
      <x v="64"/>
    </i>
    <i>
      <x v="65"/>
    </i>
    <i>
      <x v="66"/>
    </i>
    <i>
      <x v="67"/>
    </i>
    <i>
      <x v="68"/>
    </i>
    <i>
      <x v="69"/>
    </i>
    <i>
      <x v="70"/>
    </i>
    <i>
      <x v="71"/>
    </i>
    <i>
      <x v="72"/>
    </i>
    <i>
      <x v="73"/>
    </i>
    <i>
      <x v="74"/>
    </i>
    <i>
      <x v="75"/>
    </i>
    <i>
      <x v="76"/>
    </i>
    <i>
      <x v="77"/>
    </i>
    <i>
      <x v="78"/>
    </i>
    <i>
      <x v="79"/>
    </i>
    <i>
      <x v="80"/>
    </i>
    <i>
      <x v="81"/>
    </i>
    <i>
      <x v="82"/>
    </i>
    <i>
      <x v="83"/>
    </i>
    <i>
      <x v="84"/>
    </i>
    <i>
      <x v="85"/>
    </i>
    <i>
      <x v="86"/>
    </i>
    <i>
      <x v="87"/>
    </i>
    <i>
      <x v="88"/>
    </i>
    <i>
      <x v="89"/>
    </i>
    <i>
      <x v="90"/>
    </i>
    <i>
      <x v="91"/>
    </i>
    <i>
      <x v="92"/>
    </i>
    <i>
      <x v="93"/>
    </i>
    <i>
      <x v="94"/>
    </i>
    <i>
      <x v="95"/>
    </i>
    <i>
      <x v="96"/>
    </i>
    <i>
      <x v="97"/>
    </i>
    <i>
      <x v="98"/>
    </i>
    <i>
      <x v="99"/>
    </i>
    <i>
      <x v="100"/>
    </i>
    <i>
      <x v="101"/>
    </i>
    <i>
      <x v="102"/>
    </i>
    <i>
      <x v="103"/>
    </i>
    <i>
      <x v="104"/>
    </i>
    <i>
      <x v="105"/>
    </i>
    <i>
      <x v="106"/>
    </i>
    <i>
      <x v="107"/>
    </i>
    <i>
      <x v="108"/>
    </i>
    <i>
      <x v="109"/>
    </i>
    <i>
      <x v="110"/>
    </i>
    <i>
      <x v="111"/>
    </i>
    <i>
      <x v="112"/>
    </i>
    <i>
      <x v="113"/>
    </i>
    <i>
      <x v="114"/>
    </i>
    <i>
      <x v="115"/>
    </i>
    <i>
      <x v="116"/>
    </i>
    <i>
      <x v="117"/>
    </i>
    <i>
      <x v="118"/>
    </i>
    <i>
      <x v="119"/>
    </i>
    <i>
      <x v="120"/>
    </i>
    <i>
      <x v="121"/>
    </i>
    <i>
      <x v="122"/>
    </i>
    <i>
      <x v="123"/>
    </i>
    <i>
      <x v="124"/>
    </i>
    <i>
      <x v="125"/>
    </i>
    <i>
      <x v="126"/>
    </i>
    <i>
      <x v="127"/>
    </i>
    <i>
      <x v="128"/>
    </i>
    <i>
      <x v="129"/>
    </i>
    <i>
      <x v="130"/>
    </i>
    <i>
      <x v="131"/>
    </i>
    <i>
      <x v="132"/>
    </i>
    <i>
      <x v="133"/>
    </i>
    <i>
      <x v="134"/>
    </i>
    <i>
      <x v="135"/>
    </i>
    <i t="grand">
      <x/>
    </i>
  </rowItems>
  <colFields count="2">
    <field x="3"/>
    <field x="2"/>
  </colFields>
  <colItems count="64">
    <i>
      <x/>
      <x/>
    </i>
    <i r="1">
      <x v="1"/>
    </i>
    <i r="1">
      <x v="2"/>
    </i>
    <i r="1">
      <x v="3"/>
    </i>
    <i r="1">
      <x v="4"/>
    </i>
    <i r="1">
      <x v="5"/>
    </i>
    <i r="1">
      <x v="6"/>
    </i>
    <i t="default">
      <x/>
    </i>
    <i>
      <x v="1"/>
      <x/>
    </i>
    <i r="1">
      <x v="1"/>
    </i>
    <i r="1">
      <x v="2"/>
    </i>
    <i r="1">
      <x v="3"/>
    </i>
    <i r="1">
      <x v="4"/>
    </i>
    <i r="1">
      <x v="5"/>
    </i>
    <i r="1">
      <x v="6"/>
    </i>
    <i t="default">
      <x v="1"/>
    </i>
    <i>
      <x v="2"/>
      <x/>
    </i>
    <i r="1">
      <x v="1"/>
    </i>
    <i r="1">
      <x v="2"/>
    </i>
    <i r="1">
      <x v="3"/>
    </i>
    <i r="1">
      <x v="4"/>
    </i>
    <i r="1">
      <x v="5"/>
    </i>
    <i r="1">
      <x v="6"/>
    </i>
    <i t="default">
      <x v="2"/>
    </i>
    <i>
      <x v="3"/>
      <x/>
    </i>
    <i r="1">
      <x v="1"/>
    </i>
    <i r="1">
      <x v="2"/>
    </i>
    <i r="1">
      <x v="3"/>
    </i>
    <i r="1">
      <x v="4"/>
    </i>
    <i r="1">
      <x v="5"/>
    </i>
    <i r="1">
      <x v="6"/>
    </i>
    <i t="default">
      <x v="3"/>
    </i>
    <i>
      <x v="4"/>
      <x/>
    </i>
    <i r="1">
      <x v="1"/>
    </i>
    <i r="1">
      <x v="2"/>
    </i>
    <i r="1">
      <x v="3"/>
    </i>
    <i r="1">
      <x v="4"/>
    </i>
    <i r="1">
      <x v="5"/>
    </i>
    <i r="1">
      <x v="6"/>
    </i>
    <i t="default">
      <x v="4"/>
    </i>
    <i>
      <x v="5"/>
      <x/>
    </i>
    <i r="1">
      <x v="1"/>
    </i>
    <i r="1">
      <x v="2"/>
    </i>
    <i r="1">
      <x v="3"/>
    </i>
    <i r="1">
      <x v="4"/>
    </i>
    <i r="1">
      <x v="5"/>
    </i>
    <i r="1">
      <x v="6"/>
    </i>
    <i t="default">
      <x v="5"/>
    </i>
    <i>
      <x v="6"/>
      <x/>
    </i>
    <i r="1">
      <x v="1"/>
    </i>
    <i r="1">
      <x v="2"/>
    </i>
    <i r="1">
      <x v="3"/>
    </i>
    <i r="1">
      <x v="4"/>
    </i>
    <i r="1">
      <x v="5"/>
    </i>
    <i r="1">
      <x v="6"/>
    </i>
    <i t="default">
      <x v="6"/>
    </i>
    <i>
      <x v="7"/>
      <x/>
    </i>
    <i r="1">
      <x v="1"/>
    </i>
    <i r="1">
      <x v="2"/>
    </i>
    <i r="1">
      <x v="3"/>
    </i>
    <i r="1">
      <x v="4"/>
    </i>
    <i r="1">
      <x v="5"/>
    </i>
    <i r="1">
      <x v="6"/>
    </i>
    <i t="default">
      <x v="7"/>
    </i>
  </colItems>
  <pageFields count="1">
    <pageField fld="0" hier="95" name="[Winter daily sitreps].[Year].&amp;[2024/25]" cap="2024/25"/>
  </pageFields>
  <dataFields count="1">
    <dataField name="Average of GA bed occupancy" fld="4" baseField="1" baseItem="6" numFmtId="164"/>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GA bed occupancy"/>
    <pivotHierarchy dragToRow="0" dragToCol="0" dragToPage="0" dragToData="1" caption="Average of GA bed occupancy"/>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68"/>
  </rowHierarchiesUsage>
  <colHierarchiesUsage count="2">
    <colHierarchyUsage hierarchyUsage="101"/>
    <colHierarchyUsage hierarchyUsage="71"/>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12.xml><?xml version="1.0" encoding="utf-8"?>
<pivotTableDefinition xmlns="http://schemas.openxmlformats.org/spreadsheetml/2006/main" xmlns:mc="http://schemas.openxmlformats.org/markup-compatibility/2006" xmlns:xr="http://schemas.microsoft.com/office/spreadsheetml/2014/revision" mc:Ignorable="xr" xr:uid="{00000000-0007-0000-0400-000001000000}" name="PivotTable3" cacheId="32" applyNumberFormats="0" applyBorderFormats="0" applyFontFormats="0" applyPatternFormats="0" applyAlignmentFormats="0" applyWidthHeightFormats="1" dataCaption="Values" tag="ecb01006-d778-4523-bb61-3a857638a5df" updatedVersion="8" minRefreshableVersion="3" useAutoFormatting="1" subtotalHiddenItems="1" itemPrintTitles="1" createdVersion="4" indent="0" outline="1" outlineData="1" multipleFieldFilters="0">
  <location ref="V5:AD15" firstHeaderRow="1" firstDataRow="2" firstDataCol="1" rowPageCount="1" colPageCount="1"/>
  <pivotFields count="4">
    <pivotField axis="axisPage" allDrilled="1" showAll="0" dataSourceSort="1" defaultAttributeDrillState="1">
      <items count="1">
        <item t="default"/>
      </items>
    </pivotField>
    <pivotField axis="axisCol" allDrilled="1" showAll="0" dataSourceSort="1" defaultAttributeDrillState="1">
      <items count="8">
        <item x="0"/>
        <item x="1"/>
        <item x="2"/>
        <item x="3"/>
        <item x="4"/>
        <item x="5"/>
        <item x="6"/>
        <item t="default"/>
      </items>
    </pivotField>
    <pivotField axis="axisRow" allDrilled="1" showAll="0" dataSourceSort="1" defaultAttributeDrillState="1">
      <items count="9">
        <item x="0"/>
        <item x="1"/>
        <item x="2"/>
        <item x="3"/>
        <item x="4"/>
        <item x="5"/>
        <item x="6"/>
        <item x="7"/>
        <item t="default"/>
      </items>
    </pivotField>
    <pivotField dataField="1" showAll="0"/>
  </pivotFields>
  <rowFields count="1">
    <field x="2"/>
  </rowFields>
  <rowItems count="9">
    <i>
      <x/>
    </i>
    <i>
      <x v="1"/>
    </i>
    <i>
      <x v="2"/>
    </i>
    <i>
      <x v="3"/>
    </i>
    <i>
      <x v="4"/>
    </i>
    <i>
      <x v="5"/>
    </i>
    <i>
      <x v="6"/>
    </i>
    <i>
      <x v="7"/>
    </i>
    <i t="grand">
      <x/>
    </i>
  </rowItems>
  <colFields count="1">
    <field x="1"/>
  </colFields>
  <colItems count="8">
    <i>
      <x/>
    </i>
    <i>
      <x v="1"/>
    </i>
    <i>
      <x v="2"/>
    </i>
    <i>
      <x v="3"/>
    </i>
    <i>
      <x v="4"/>
    </i>
    <i>
      <x v="5"/>
    </i>
    <i>
      <x v="6"/>
    </i>
    <i t="grand">
      <x/>
    </i>
  </colItems>
  <pageFields count="1">
    <pageField fld="0" hier="95" name="[Winter daily sitreps].[Year].&amp;[2024/25]" cap="2024/25"/>
  </pageFields>
  <dataFields count="1">
    <dataField name="Sum of Beds occ over 21 days"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pivotHierarchy dragToRow="0" dragToCol="0" dragToPage="0" dragToData="1"/>
    <pivotHierarchy dragToRow="0" dragToCol="0" dragToPage="0" dragToData="1"/>
    <pivotHierarchy dragToRow="0" dragToCol="0" dragToPage="0" dragToData="1" caption="Sum of Beds occ over 7 days"/>
    <pivotHierarchy dragToRow="0" dragToCol="0" dragToPage="0" dragToData="1" caption="Sum of Beds occ over 21 days"/>
    <pivotHierarchy dragToRow="0" dragToCol="0" dragToPage="0" dragToData="1" caption="Sum of Beds occ over 21 day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1">
    <colHierarchyUsage hierarchyUsage="94"/>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13.xml><?xml version="1.0" encoding="utf-8"?>
<pivotTableDefinition xmlns="http://schemas.openxmlformats.org/spreadsheetml/2006/main" xmlns:mc="http://schemas.openxmlformats.org/markup-compatibility/2006" xmlns:xr="http://schemas.microsoft.com/office/spreadsheetml/2014/revision" mc:Ignorable="xr" xr:uid="{00000000-0007-0000-0400-000000000000}" name="PivotTable2" cacheId="33" applyNumberFormats="0" applyBorderFormats="0" applyFontFormats="0" applyPatternFormats="0" applyAlignmentFormats="0" applyWidthHeightFormats="1" dataCaption="Values" tag="68ce7bb5-b9a1-4618-b6f2-2507f223e533" updatedVersion="8" minRefreshableVersion="3" useAutoFormatting="1" subtotalHiddenItems="1" itemPrintTitles="1" createdVersion="4" indent="0" outline="1" outlineData="1" multipleFieldFilters="0">
  <location ref="B5:J15" firstHeaderRow="1" firstDataRow="2" firstDataCol="1" rowPageCount="1" colPageCount="1"/>
  <pivotFields count="4">
    <pivotField axis="axisPage" allDrilled="1" showAll="0" dataSourceSort="1" defaultAttributeDrillState="1">
      <items count="1">
        <item t="default"/>
      </items>
    </pivotField>
    <pivotField axis="axisCol" allDrilled="1" showAll="0" dataSourceSort="1" defaultAttributeDrillState="1">
      <items count="8">
        <item x="0"/>
        <item x="1"/>
        <item x="2"/>
        <item x="3"/>
        <item x="4"/>
        <item x="5"/>
        <item x="6"/>
        <item t="default"/>
      </items>
    </pivotField>
    <pivotField axis="axisRow" allDrilled="1" showAll="0" dataSourceSort="1" defaultAttributeDrillState="1">
      <items count="9">
        <item x="0"/>
        <item x="1"/>
        <item x="2"/>
        <item x="3"/>
        <item x="4"/>
        <item x="5"/>
        <item x="6"/>
        <item x="7"/>
        <item t="default"/>
      </items>
    </pivotField>
    <pivotField dataField="1" showAll="0"/>
  </pivotFields>
  <rowFields count="1">
    <field x="2"/>
  </rowFields>
  <rowItems count="9">
    <i>
      <x/>
    </i>
    <i>
      <x v="1"/>
    </i>
    <i>
      <x v="2"/>
    </i>
    <i>
      <x v="3"/>
    </i>
    <i>
      <x v="4"/>
    </i>
    <i>
      <x v="5"/>
    </i>
    <i>
      <x v="6"/>
    </i>
    <i>
      <x v="7"/>
    </i>
    <i t="grand">
      <x/>
    </i>
  </rowItems>
  <colFields count="1">
    <field x="1"/>
  </colFields>
  <colItems count="8">
    <i>
      <x/>
    </i>
    <i>
      <x v="1"/>
    </i>
    <i>
      <x v="2"/>
    </i>
    <i>
      <x v="3"/>
    </i>
    <i>
      <x v="4"/>
    </i>
    <i>
      <x v="5"/>
    </i>
    <i>
      <x v="6"/>
    </i>
    <i t="grand">
      <x/>
    </i>
  </colItems>
  <pageFields count="1">
    <pageField fld="0" hier="95" name="[Winter daily sitreps].[Year].&amp;[2024/25]" cap="2024/25"/>
  </pageFields>
  <dataFields count="1">
    <dataField name="Sum of Beds occ over 7 days"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pivotHierarchy dragToRow="0" dragToCol="0" dragToPage="0" dragToData="1"/>
    <pivotHierarchy dragToRow="0" dragToCol="0" dragToPage="0" dragToData="1"/>
    <pivotHierarchy dragToRow="0" dragToCol="0" dragToPage="0" dragToData="1" caption="Sum of Beds occ over 7 day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1">
    <colHierarchyUsage hierarchyUsage="94"/>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14.xml><?xml version="1.0" encoding="utf-8"?>
<pivotTableDefinition xmlns="http://schemas.openxmlformats.org/spreadsheetml/2006/main" xmlns:mc="http://schemas.openxmlformats.org/markup-compatibility/2006" xmlns:xr="http://schemas.microsoft.com/office/spreadsheetml/2014/revision" mc:Ignorable="xr" xr:uid="{00000000-0007-0000-0400-000002000000}" name="PivotTable7" cacheId="31" applyNumberFormats="0" applyBorderFormats="0" applyFontFormats="0" applyPatternFormats="0" applyAlignmentFormats="0" applyWidthHeightFormats="1" dataCaption="Values" tag="9ee8705f-742d-43e2-b9ad-e7b8f313e376" updatedVersion="8" minRefreshableVersion="3" useAutoFormatting="1" subtotalHiddenItems="1" itemPrintTitles="1" createdVersion="4" indent="0" outline="1" outlineData="1" multipleFieldFilters="0">
  <location ref="AQ6:AY16" firstHeaderRow="1" firstDataRow="2" firstDataCol="1" rowPageCount="1" colPageCount="1"/>
  <pivotFields count="4">
    <pivotField dataField="1" showAll="0"/>
    <pivotField axis="axisPage" allDrilled="1" showAll="0" dataSourceSort="1" defaultAttributeDrillState="1">
      <items count="1">
        <item t="default"/>
      </items>
    </pivotField>
    <pivotField axis="axisCol" allDrilled="1" showAll="0" dataSourceSort="1" defaultAttributeDrillState="1">
      <items count="8">
        <item x="0"/>
        <item x="1"/>
        <item x="2"/>
        <item x="3"/>
        <item x="4"/>
        <item x="5"/>
        <item x="6"/>
        <item t="default"/>
      </items>
    </pivotField>
    <pivotField axis="axisRow" allDrilled="1" showAll="0" dataSourceSort="1" defaultAttributeDrillState="1">
      <items count="9">
        <item x="0"/>
        <item x="1"/>
        <item x="2"/>
        <item x="3"/>
        <item x="4"/>
        <item x="5"/>
        <item x="6"/>
        <item x="7"/>
        <item t="default"/>
      </items>
    </pivotField>
  </pivotFields>
  <rowFields count="1">
    <field x="3"/>
  </rowFields>
  <rowItems count="9">
    <i>
      <x/>
    </i>
    <i>
      <x v="1"/>
    </i>
    <i>
      <x v="2"/>
    </i>
    <i>
      <x v="3"/>
    </i>
    <i>
      <x v="4"/>
    </i>
    <i>
      <x v="5"/>
    </i>
    <i>
      <x v="6"/>
    </i>
    <i>
      <x v="7"/>
    </i>
    <i t="grand">
      <x/>
    </i>
  </rowItems>
  <colFields count="1">
    <field x="2"/>
  </colFields>
  <colItems count="8">
    <i>
      <x/>
    </i>
    <i>
      <x v="1"/>
    </i>
    <i>
      <x v="2"/>
    </i>
    <i>
      <x v="3"/>
    </i>
    <i>
      <x v="4"/>
    </i>
    <i>
      <x v="5"/>
    </i>
    <i>
      <x v="6"/>
    </i>
    <i t="grand">
      <x/>
    </i>
  </colItems>
  <pageFields count="1">
    <pageField fld="1" hier="95" name="[Winter daily sitreps].[Year].&amp;[2024/25]" cap="2024/25"/>
  </pageFields>
  <dataFields count="1">
    <dataField name="Sum of Beds occ over 14 days 2" fld="0"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Beds occ over 14 days 2"/>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1">
    <colHierarchyUsage hierarchyUsage="94"/>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15.xml><?xml version="1.0" encoding="utf-8"?>
<pivotTableDefinition xmlns="http://schemas.openxmlformats.org/spreadsheetml/2006/main" xmlns:mc="http://schemas.openxmlformats.org/markup-compatibility/2006" xmlns:xr="http://schemas.microsoft.com/office/spreadsheetml/2014/revision" mc:Ignorable="xr" xr:uid="{00000000-0007-0000-0500-000007000000}" name="PivotTable24" cacheId="34" applyNumberFormats="0" applyBorderFormats="0" applyFontFormats="0" applyPatternFormats="0" applyAlignmentFormats="0" applyWidthHeightFormats="1" dataCaption="Values" tag="6a6694bf-2579-4d47-ad99-0cf669c79fb5" updatedVersion="8" minRefreshableVersion="3" useAutoFormatting="1" subtotalHiddenItems="1" rowGrandTotals="0" colGrandTotals="0" itemPrintTitles="1" createdVersion="4" indent="0" outline="1" outlineData="1" multipleFieldFilters="0">
  <location ref="CR5:CS61" firstHeaderRow="1" firstDataRow="1" firstDataCol="1" rowPageCount="1" colPageCount="1"/>
  <pivotFields count="3">
    <pivotField axis="axisPage" allDrilled="1" showAll="0" dataSourceSort="1" defaultAttributeDrillState="1">
      <items count="1">
        <item t="default"/>
      </items>
    </pivotField>
    <pivotField axis="axisRow" allDrilled="1" showAll="0" dataSourceSort="1" defaultAttributeDrillState="1">
      <items count="57">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t="default"/>
      </items>
    </pivotField>
    <pivotField dataField="1" showAll="0"/>
  </pivotFields>
  <rowFields count="1">
    <field x="1"/>
  </rowFields>
  <rowItems count="56">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i>
      <x v="47"/>
    </i>
    <i>
      <x v="48"/>
    </i>
    <i>
      <x v="49"/>
    </i>
    <i>
      <x v="50"/>
    </i>
    <i>
      <x v="51"/>
    </i>
    <i>
      <x v="52"/>
    </i>
    <i>
      <x v="53"/>
    </i>
    <i>
      <x v="54"/>
    </i>
    <i>
      <x v="55"/>
    </i>
  </rowItems>
  <colItems count="1">
    <i/>
  </colItems>
  <pageFields count="1">
    <pageField fld="0" hier="95" name="[Winter daily sitreps].[Year].&amp;[2024/25]" cap="2024/25"/>
  </pageFields>
  <dataFields count="1">
    <dataField name="Sum of Beds closed norovius unocc" fld="2"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caption="Sum of Beds closed norovius un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69"/>
  </row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16.xml><?xml version="1.0" encoding="utf-8"?>
<pivotTableDefinition xmlns="http://schemas.openxmlformats.org/spreadsheetml/2006/main" xmlns:mc="http://schemas.openxmlformats.org/markup-compatibility/2006" xmlns:xr="http://schemas.microsoft.com/office/spreadsheetml/2014/revision" mc:Ignorable="xr" xr:uid="{00000000-0007-0000-0500-000006000000}" name="PivotTable23" cacheId="35" applyNumberFormats="0" applyBorderFormats="0" applyFontFormats="0" applyPatternFormats="0" applyAlignmentFormats="0" applyWidthHeightFormats="1" dataCaption="Values" tag="2d9d57d6-241a-4b7d-8007-23756dbf9354" updatedVersion="8" minRefreshableVersion="3" useAutoFormatting="1" subtotalHiddenItems="1" rowGrandTotals="0" colGrandTotals="0" itemPrintTitles="1" createdVersion="4" indent="0" outline="1" outlineData="1" multipleFieldFilters="0">
  <location ref="CA5:CI142" firstHeaderRow="1" firstDataRow="2" firstDataCol="1" rowPageCount="1" colPageCount="1"/>
  <pivotFields count="4">
    <pivotField axis="axisPage" allDrilled="1" showAll="0" dataSourceSort="1" defaultAttributeDrillState="1">
      <items count="1">
        <item t="default"/>
      </items>
    </pivotField>
    <pivotField axis="axisCol" allDrilled="1" showAll="0" defaultAttributeDrillState="1">
      <items count="15">
        <item s="1" x="0"/>
        <item s="1" x="1"/>
        <item s="1" x="2"/>
        <item s="1" x="3"/>
        <item s="1" x="4"/>
        <item s="1" x="5"/>
        <item s="1" x="6"/>
        <item s="1" x="7"/>
        <item s="1" x="13"/>
        <item s="1" x="8"/>
        <item s="1" x="9"/>
        <item s="1" x="10"/>
        <item s="1" x="11"/>
        <item s="1" x="12"/>
        <item t="default"/>
      </items>
    </pivotField>
    <pivotField axis="axisRow" allDrilled="1" showAll="0" dataSourceSort="1" defaultAttributeDrillState="1">
      <items count="137">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t="default"/>
      </items>
    </pivotField>
    <pivotField dataField="1" showAll="0"/>
  </pivotFields>
  <rowFields count="1">
    <field x="2"/>
  </rowFields>
  <rowItems count="136">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i>
      <x v="47"/>
    </i>
    <i>
      <x v="48"/>
    </i>
    <i>
      <x v="49"/>
    </i>
    <i>
      <x v="50"/>
    </i>
    <i>
      <x v="51"/>
    </i>
    <i>
      <x v="52"/>
    </i>
    <i>
      <x v="53"/>
    </i>
    <i>
      <x v="54"/>
    </i>
    <i>
      <x v="55"/>
    </i>
    <i>
      <x v="56"/>
    </i>
    <i>
      <x v="57"/>
    </i>
    <i>
      <x v="58"/>
    </i>
    <i>
      <x v="59"/>
    </i>
    <i>
      <x v="60"/>
    </i>
    <i>
      <x v="61"/>
    </i>
    <i>
      <x v="62"/>
    </i>
    <i>
      <x v="63"/>
    </i>
    <i>
      <x v="64"/>
    </i>
    <i>
      <x v="65"/>
    </i>
    <i>
      <x v="66"/>
    </i>
    <i>
      <x v="67"/>
    </i>
    <i>
      <x v="68"/>
    </i>
    <i>
      <x v="69"/>
    </i>
    <i>
      <x v="70"/>
    </i>
    <i>
      <x v="71"/>
    </i>
    <i>
      <x v="72"/>
    </i>
    <i>
      <x v="73"/>
    </i>
    <i>
      <x v="74"/>
    </i>
    <i>
      <x v="75"/>
    </i>
    <i>
      <x v="76"/>
    </i>
    <i>
      <x v="77"/>
    </i>
    <i>
      <x v="78"/>
    </i>
    <i>
      <x v="79"/>
    </i>
    <i>
      <x v="80"/>
    </i>
    <i>
      <x v="81"/>
    </i>
    <i>
      <x v="82"/>
    </i>
    <i>
      <x v="83"/>
    </i>
    <i>
      <x v="84"/>
    </i>
    <i>
      <x v="85"/>
    </i>
    <i>
      <x v="86"/>
    </i>
    <i>
      <x v="87"/>
    </i>
    <i>
      <x v="88"/>
    </i>
    <i>
      <x v="89"/>
    </i>
    <i>
      <x v="90"/>
    </i>
    <i>
      <x v="91"/>
    </i>
    <i>
      <x v="92"/>
    </i>
    <i>
      <x v="93"/>
    </i>
    <i>
      <x v="94"/>
    </i>
    <i>
      <x v="95"/>
    </i>
    <i>
      <x v="96"/>
    </i>
    <i>
      <x v="97"/>
    </i>
    <i>
      <x v="98"/>
    </i>
    <i>
      <x v="99"/>
    </i>
    <i>
      <x v="100"/>
    </i>
    <i>
      <x v="101"/>
    </i>
    <i>
      <x v="102"/>
    </i>
    <i>
      <x v="103"/>
    </i>
    <i>
      <x v="104"/>
    </i>
    <i>
      <x v="105"/>
    </i>
    <i>
      <x v="106"/>
    </i>
    <i>
      <x v="107"/>
    </i>
    <i>
      <x v="108"/>
    </i>
    <i>
      <x v="109"/>
    </i>
    <i>
      <x v="110"/>
    </i>
    <i>
      <x v="111"/>
    </i>
    <i>
      <x v="112"/>
    </i>
    <i>
      <x v="113"/>
    </i>
    <i>
      <x v="114"/>
    </i>
    <i>
      <x v="115"/>
    </i>
    <i>
      <x v="116"/>
    </i>
    <i>
      <x v="117"/>
    </i>
    <i>
      <x v="118"/>
    </i>
    <i>
      <x v="119"/>
    </i>
    <i>
      <x v="120"/>
    </i>
    <i>
      <x v="121"/>
    </i>
    <i>
      <x v="122"/>
    </i>
    <i>
      <x v="123"/>
    </i>
    <i>
      <x v="124"/>
    </i>
    <i>
      <x v="125"/>
    </i>
    <i>
      <x v="126"/>
    </i>
    <i>
      <x v="127"/>
    </i>
    <i>
      <x v="128"/>
    </i>
    <i>
      <x v="129"/>
    </i>
    <i>
      <x v="130"/>
    </i>
    <i>
      <x v="131"/>
    </i>
    <i>
      <x v="132"/>
    </i>
    <i>
      <x v="133"/>
    </i>
    <i>
      <x v="134"/>
    </i>
    <i>
      <x v="135"/>
    </i>
  </rowItems>
  <colFields count="1">
    <field x="1"/>
  </colFields>
  <colItems count="8">
    <i>
      <x/>
    </i>
    <i>
      <x v="1"/>
    </i>
    <i>
      <x v="2"/>
    </i>
    <i>
      <x v="3"/>
    </i>
    <i>
      <x v="4"/>
    </i>
    <i>
      <x v="5"/>
    </i>
    <i>
      <x v="6"/>
    </i>
    <i>
      <x v="7"/>
    </i>
  </colItems>
  <pageFields count="1">
    <pageField fld="0" hier="95" name="[Winter daily sitreps].[Year].&amp;[2024/25]" cap="2024/25"/>
  </pageFields>
  <dataFields count="1">
    <dataField name="Sum of Beds closed norovius unocc"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caption="Sum of Beds closed norovius un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68"/>
  </rowHierarchiesUsage>
  <colHierarchiesUsage count="1">
    <colHierarchyUsage hierarchyUsage="101"/>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17.xml><?xml version="1.0" encoding="utf-8"?>
<pivotTableDefinition xmlns="http://schemas.openxmlformats.org/spreadsheetml/2006/main" xmlns:mc="http://schemas.openxmlformats.org/markup-compatibility/2006" xmlns:xr="http://schemas.microsoft.com/office/spreadsheetml/2014/revision" mc:Ignorable="xr" xr:uid="{00000000-0007-0000-0500-000002000000}" name="PivotTable19" cacheId="39" applyNumberFormats="0" applyBorderFormats="0" applyFontFormats="0" applyPatternFormats="0" applyAlignmentFormats="0" applyWidthHeightFormats="1" dataCaption="Values" tag="e2de2b40-f58f-4522-b985-c9b08a98f818" updatedVersion="8" minRefreshableVersion="3" useAutoFormatting="1" subtotalHiddenItems="1" rowGrandTotals="0" colGrandTotals="0" itemPrintTitles="1" createdVersion="4" indent="0" outline="1" outlineData="1" multipleFieldFilters="0">
  <location ref="AC5:AK142" firstHeaderRow="1" firstDataRow="2" firstDataCol="1" rowPageCount="1" colPageCount="1"/>
  <pivotFields count="4">
    <pivotField axis="axisPage" allDrilled="1" showAll="0" dataSourceSort="1" defaultAttributeDrillState="1">
      <items count="1">
        <item t="default"/>
      </items>
    </pivotField>
    <pivotField dataField="1" showAll="0"/>
    <pivotField axis="axisCol" allDrilled="1" showAll="0" defaultAttributeDrillState="1">
      <items count="9">
        <item x="0"/>
        <item x="1"/>
        <item x="2"/>
        <item x="3"/>
        <item x="4"/>
        <item x="5"/>
        <item x="6"/>
        <item x="7"/>
        <item t="default"/>
      </items>
    </pivotField>
    <pivotField axis="axisRow" allDrilled="1" showAll="0" dataSourceSort="1" defaultAttributeDrillState="1">
      <items count="137">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t="default"/>
      </items>
    </pivotField>
  </pivotFields>
  <rowFields count="1">
    <field x="3"/>
  </rowFields>
  <rowItems count="136">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i>
      <x v="47"/>
    </i>
    <i>
      <x v="48"/>
    </i>
    <i>
      <x v="49"/>
    </i>
    <i>
      <x v="50"/>
    </i>
    <i>
      <x v="51"/>
    </i>
    <i>
      <x v="52"/>
    </i>
    <i>
      <x v="53"/>
    </i>
    <i>
      <x v="54"/>
    </i>
    <i>
      <x v="55"/>
    </i>
    <i>
      <x v="56"/>
    </i>
    <i>
      <x v="57"/>
    </i>
    <i>
      <x v="58"/>
    </i>
    <i>
      <x v="59"/>
    </i>
    <i>
      <x v="60"/>
    </i>
    <i>
      <x v="61"/>
    </i>
    <i>
      <x v="62"/>
    </i>
    <i>
      <x v="63"/>
    </i>
    <i>
      <x v="64"/>
    </i>
    <i>
      <x v="65"/>
    </i>
    <i>
      <x v="66"/>
    </i>
    <i>
      <x v="67"/>
    </i>
    <i>
      <x v="68"/>
    </i>
    <i>
      <x v="69"/>
    </i>
    <i>
      <x v="70"/>
    </i>
    <i>
      <x v="71"/>
    </i>
    <i>
      <x v="72"/>
    </i>
    <i>
      <x v="73"/>
    </i>
    <i>
      <x v="74"/>
    </i>
    <i>
      <x v="75"/>
    </i>
    <i>
      <x v="76"/>
    </i>
    <i>
      <x v="77"/>
    </i>
    <i>
      <x v="78"/>
    </i>
    <i>
      <x v="79"/>
    </i>
    <i>
      <x v="80"/>
    </i>
    <i>
      <x v="81"/>
    </i>
    <i>
      <x v="82"/>
    </i>
    <i>
      <x v="83"/>
    </i>
    <i>
      <x v="84"/>
    </i>
    <i>
      <x v="85"/>
    </i>
    <i>
      <x v="86"/>
    </i>
    <i>
      <x v="87"/>
    </i>
    <i>
      <x v="88"/>
    </i>
    <i>
      <x v="89"/>
    </i>
    <i>
      <x v="90"/>
    </i>
    <i>
      <x v="91"/>
    </i>
    <i>
      <x v="92"/>
    </i>
    <i>
      <x v="93"/>
    </i>
    <i>
      <x v="94"/>
    </i>
    <i>
      <x v="95"/>
    </i>
    <i>
      <x v="96"/>
    </i>
    <i>
      <x v="97"/>
    </i>
    <i>
      <x v="98"/>
    </i>
    <i>
      <x v="99"/>
    </i>
    <i>
      <x v="100"/>
    </i>
    <i>
      <x v="101"/>
    </i>
    <i>
      <x v="102"/>
    </i>
    <i>
      <x v="103"/>
    </i>
    <i>
      <x v="104"/>
    </i>
    <i>
      <x v="105"/>
    </i>
    <i>
      <x v="106"/>
    </i>
    <i>
      <x v="107"/>
    </i>
    <i>
      <x v="108"/>
    </i>
    <i>
      <x v="109"/>
    </i>
    <i>
      <x v="110"/>
    </i>
    <i>
      <x v="111"/>
    </i>
    <i>
      <x v="112"/>
    </i>
    <i>
      <x v="113"/>
    </i>
    <i>
      <x v="114"/>
    </i>
    <i>
      <x v="115"/>
    </i>
    <i>
      <x v="116"/>
    </i>
    <i>
      <x v="117"/>
    </i>
    <i>
      <x v="118"/>
    </i>
    <i>
      <x v="119"/>
    </i>
    <i>
      <x v="120"/>
    </i>
    <i>
      <x v="121"/>
    </i>
    <i>
      <x v="122"/>
    </i>
    <i>
      <x v="123"/>
    </i>
    <i>
      <x v="124"/>
    </i>
    <i>
      <x v="125"/>
    </i>
    <i>
      <x v="126"/>
    </i>
    <i>
      <x v="127"/>
    </i>
    <i>
      <x v="128"/>
    </i>
    <i>
      <x v="129"/>
    </i>
    <i>
      <x v="130"/>
    </i>
    <i>
      <x v="131"/>
    </i>
    <i>
      <x v="132"/>
    </i>
    <i>
      <x v="133"/>
    </i>
    <i>
      <x v="134"/>
    </i>
    <i>
      <x v="135"/>
    </i>
  </rowItems>
  <colFields count="1">
    <field x="2"/>
  </colFields>
  <colItems count="8">
    <i>
      <x/>
    </i>
    <i>
      <x v="1"/>
    </i>
    <i>
      <x v="2"/>
    </i>
    <i>
      <x v="3"/>
    </i>
    <i>
      <x v="4"/>
    </i>
    <i>
      <x v="5"/>
    </i>
    <i>
      <x v="6"/>
    </i>
    <i>
      <x v="7"/>
    </i>
  </colItems>
  <pageFields count="1">
    <pageField fld="0" hier="95" name="[Winter daily sitreps].[Year].&amp;[2024/25]" cap="2024/25"/>
  </pageFields>
  <dataFields count="1">
    <dataField name="Sum of Beds closed norovirus" fld="1"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68"/>
  </rowHierarchiesUsage>
  <colHierarchiesUsage count="1">
    <colHierarchyUsage hierarchyUsage="101"/>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18.xml><?xml version="1.0" encoding="utf-8"?>
<pivotTableDefinition xmlns="http://schemas.openxmlformats.org/spreadsheetml/2006/main" xmlns:mc="http://schemas.openxmlformats.org/markup-compatibility/2006" xmlns:xr="http://schemas.microsoft.com/office/spreadsheetml/2014/revision" mc:Ignorable="xr" xr:uid="{00000000-0007-0000-0500-000004000000}" name="PivotTable21" cacheId="37" applyNumberFormats="0" applyBorderFormats="0" applyFontFormats="0" applyPatternFormats="0" applyAlignmentFormats="0" applyWidthHeightFormats="1" dataCaption="Values" tag="fb069d29-b488-44cf-b4dd-a64c1834045e" updatedVersion="8" minRefreshableVersion="3" useAutoFormatting="1" subtotalHiddenItems="1" rowGrandTotals="0" colGrandTotals="0" itemPrintTitles="1" createdVersion="4" indent="0" outline="1" outlineData="1" multipleFieldFilters="0">
  <location ref="AY5:AZ13" firstHeaderRow="1" firstDataRow="1" firstDataCol="1" rowPageCount="1" colPageCount="1"/>
  <pivotFields count="3">
    <pivotField axis="axisPage" allDrilled="1" showAll="0" dataSourceSort="1" defaultAttributeDrillState="1">
      <items count="1">
        <item t="default"/>
      </items>
    </pivotField>
    <pivotField axis="axisRow" allDrilled="1" showAll="0" dataSourceSort="1" defaultAttributeDrillState="1">
      <items count="9">
        <item x="0"/>
        <item x="1"/>
        <item x="2"/>
        <item x="3"/>
        <item x="4"/>
        <item x="5"/>
        <item x="6"/>
        <item x="7"/>
        <item t="default"/>
      </items>
    </pivotField>
    <pivotField dataField="1" showAll="0"/>
  </pivotFields>
  <rowFields count="1">
    <field x="1"/>
  </rowFields>
  <rowItems count="8">
    <i>
      <x/>
    </i>
    <i>
      <x v="1"/>
    </i>
    <i>
      <x v="2"/>
    </i>
    <i>
      <x v="3"/>
    </i>
    <i>
      <x v="4"/>
    </i>
    <i>
      <x v="5"/>
    </i>
    <i>
      <x v="6"/>
    </i>
    <i>
      <x v="7"/>
    </i>
  </rowItems>
  <colItems count="1">
    <i/>
  </colItems>
  <pageFields count="1">
    <pageField fld="0" hier="95" name="[Winter daily sitreps].[Year].&amp;[2024/25]" cap="2024/25"/>
  </pageFields>
  <dataFields count="1">
    <dataField name="Sum of Beds closed norovius unocc" fld="2"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caption="Sum of Beds closed norovius un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19.xml><?xml version="1.0" encoding="utf-8"?>
<pivotTableDefinition xmlns="http://schemas.openxmlformats.org/spreadsheetml/2006/main" xmlns:mc="http://schemas.openxmlformats.org/markup-compatibility/2006" xmlns:xr="http://schemas.microsoft.com/office/spreadsheetml/2014/revision" mc:Ignorable="xr" xr:uid="{00000000-0007-0000-0500-000003000000}" name="PivotTable20" cacheId="38" applyNumberFormats="0" applyBorderFormats="0" applyFontFormats="0" applyPatternFormats="0" applyAlignmentFormats="0" applyWidthHeightFormats="1" dataCaption="Values" tag="7ec86bb0-3bf3-4944-b894-a8057789e36b" updatedVersion="8" minRefreshableVersion="3" useAutoFormatting="1" subtotalHiddenItems="1" rowGrandTotals="0" colGrandTotals="0" itemPrintTitles="1" createdVersion="4" indent="0" outline="1" outlineData="1" multipleFieldFilters="0">
  <location ref="AS5:AT61" firstHeaderRow="1" firstDataRow="1" firstDataCol="1" rowPageCount="1" colPageCount="1"/>
  <pivotFields count="3">
    <pivotField axis="axisPage" allDrilled="1" showAll="0" dataSourceSort="1" defaultAttributeDrillState="1">
      <items count="1">
        <item t="default"/>
      </items>
    </pivotField>
    <pivotField axis="axisRow" allDrilled="1" showAll="0" dataSourceSort="1" defaultAttributeDrillState="1">
      <items count="57">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t="default"/>
      </items>
    </pivotField>
    <pivotField dataField="1" showAll="0"/>
  </pivotFields>
  <rowFields count="1">
    <field x="1"/>
  </rowFields>
  <rowItems count="56">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i>
      <x v="47"/>
    </i>
    <i>
      <x v="48"/>
    </i>
    <i>
      <x v="49"/>
    </i>
    <i>
      <x v="50"/>
    </i>
    <i>
      <x v="51"/>
    </i>
    <i>
      <x v="52"/>
    </i>
    <i>
      <x v="53"/>
    </i>
    <i>
      <x v="54"/>
    </i>
    <i>
      <x v="55"/>
    </i>
  </rowItems>
  <colItems count="1">
    <i/>
  </colItems>
  <pageFields count="1">
    <pageField fld="0" hier="95" name="[Winter daily sitreps].[Year].&amp;[2024/25]" cap="2024/25"/>
  </pageFields>
  <dataFields count="1">
    <dataField name="Sum of Beds closed norovirus" fld="2"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69"/>
  </row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20.xml><?xml version="1.0" encoding="utf-8"?>
<pivotTableDefinition xmlns="http://schemas.openxmlformats.org/spreadsheetml/2006/main" xmlns:mc="http://schemas.openxmlformats.org/markup-compatibility/2006" xmlns:xr="http://schemas.microsoft.com/office/spreadsheetml/2014/revision" mc:Ignorable="xr" xr:uid="{00000000-0007-0000-0500-000001000000}" name="PivotTable18" cacheId="40" applyNumberFormats="0" applyBorderFormats="0" applyFontFormats="0" applyPatternFormats="0" applyAlignmentFormats="0" applyWidthHeightFormats="1" dataCaption="Values" tag="8602e907-ddc4-40bb-89ca-8369de914bb2" updatedVersion="8" minRefreshableVersion="3" useAutoFormatting="1" subtotalHiddenItems="1" itemPrintTitles="1" createdVersion="4" indent="0" outline="1" outlineData="1" multipleFieldFilters="0">
  <location ref="G5:O15" firstHeaderRow="1" firstDataRow="2" firstDataCol="1" rowPageCount="1" colPageCount="1"/>
  <pivotFields count="4">
    <pivotField axis="axisPage" allDrilled="1" showAll="0" dataSourceSort="1" defaultAttributeDrillState="1">
      <items count="1">
        <item t="default"/>
      </items>
    </pivotField>
    <pivotField dataField="1" showAll="0"/>
    <pivotField axis="axisRow" allDrilled="1" showAll="0" dataSourceSort="1" defaultAttributeDrillState="1">
      <items count="9">
        <item x="0"/>
        <item x="1"/>
        <item x="2"/>
        <item x="3"/>
        <item x="4"/>
        <item x="5"/>
        <item x="6"/>
        <item x="7"/>
        <item t="default"/>
      </items>
    </pivotField>
    <pivotField axis="axisCol" allDrilled="1" showAll="0" dataSourceSort="1" defaultAttributeDrillState="1">
      <items count="8">
        <item x="0"/>
        <item x="1"/>
        <item x="2"/>
        <item x="3"/>
        <item x="4"/>
        <item x="5"/>
        <item x="6"/>
        <item t="default"/>
      </items>
    </pivotField>
  </pivotFields>
  <rowFields count="1">
    <field x="2"/>
  </rowFields>
  <rowItems count="9">
    <i>
      <x/>
    </i>
    <i>
      <x v="1"/>
    </i>
    <i>
      <x v="2"/>
    </i>
    <i>
      <x v="3"/>
    </i>
    <i>
      <x v="4"/>
    </i>
    <i>
      <x v="5"/>
    </i>
    <i>
      <x v="6"/>
    </i>
    <i>
      <x v="7"/>
    </i>
    <i t="grand">
      <x/>
    </i>
  </rowItems>
  <colFields count="1">
    <field x="3"/>
  </colFields>
  <colItems count="8">
    <i>
      <x/>
    </i>
    <i>
      <x v="1"/>
    </i>
    <i>
      <x v="2"/>
    </i>
    <i>
      <x v="3"/>
    </i>
    <i>
      <x v="4"/>
    </i>
    <i>
      <x v="5"/>
    </i>
    <i>
      <x v="6"/>
    </i>
    <i t="grand">
      <x/>
    </i>
  </colItems>
  <pageFields count="1">
    <pageField fld="0" hier="95" name="[Winter daily sitreps].[Year].&amp;[2024/25]" cap="2024/25"/>
  </pageFields>
  <dataFields count="1">
    <dataField name="Sum of Beds closed norovirus" fld="1"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1">
    <colHierarchyUsage hierarchyUsage="94"/>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21.xml><?xml version="1.0" encoding="utf-8"?>
<pivotTableDefinition xmlns="http://schemas.openxmlformats.org/spreadsheetml/2006/main" xmlns:mc="http://schemas.openxmlformats.org/markup-compatibility/2006" xmlns:xr="http://schemas.microsoft.com/office/spreadsheetml/2014/revision" mc:Ignorable="xr" xr:uid="{00000000-0007-0000-0500-000000000000}" name="PivotTable17" cacheId="41" applyNumberFormats="0" applyBorderFormats="0" applyFontFormats="0" applyPatternFormats="0" applyAlignmentFormats="0" applyWidthHeightFormats="1" dataCaption="Values" tag="97b77543-1b1d-432f-8c12-86d5d61267bb" updatedVersion="8" minRefreshableVersion="3" useAutoFormatting="1" subtotalHiddenItems="1" rowGrandTotals="0" colGrandTotals="0" itemPrintTitles="1" createdVersion="4" indent="0" outline="1" outlineData="1" multipleFieldFilters="0">
  <location ref="B5:C13" firstHeaderRow="1" firstDataRow="1" firstDataCol="1" rowPageCount="1" colPageCount="1"/>
  <pivotFields count="3">
    <pivotField axis="axisPage" allDrilled="1" showAll="0" dataSourceSort="1" defaultAttributeDrillState="1">
      <items count="1">
        <item t="default"/>
      </items>
    </pivotField>
    <pivotField axis="axisRow" allDrilled="1" showAll="0" dataSourceSort="1" defaultAttributeDrillState="1">
      <items count="9">
        <item x="0"/>
        <item x="1"/>
        <item x="2"/>
        <item x="3"/>
        <item x="4"/>
        <item x="5"/>
        <item x="6"/>
        <item x="7"/>
        <item t="default"/>
      </items>
    </pivotField>
    <pivotField dataField="1" showAll="0"/>
  </pivotFields>
  <rowFields count="1">
    <field x="1"/>
  </rowFields>
  <rowItems count="8">
    <i>
      <x/>
    </i>
    <i>
      <x v="1"/>
    </i>
    <i>
      <x v="2"/>
    </i>
    <i>
      <x v="3"/>
    </i>
    <i>
      <x v="4"/>
    </i>
    <i>
      <x v="5"/>
    </i>
    <i>
      <x v="6"/>
    </i>
    <i>
      <x v="7"/>
    </i>
  </rowItems>
  <colItems count="1">
    <i/>
  </colItems>
  <pageFields count="1">
    <pageField fld="0" hier="95" name="[Winter daily sitreps].[Year].&amp;[2024/25]" cap="2024/25"/>
  </pageFields>
  <dataFields count="1">
    <dataField name="Sum of Beds closed norovirus" fld="2"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22.xml><?xml version="1.0" encoding="utf-8"?>
<pivotTableDefinition xmlns="http://schemas.openxmlformats.org/spreadsheetml/2006/main" xmlns:mc="http://schemas.openxmlformats.org/markup-compatibility/2006" xmlns:xr="http://schemas.microsoft.com/office/spreadsheetml/2014/revision" mc:Ignorable="xr" xr:uid="{00000000-0007-0000-0500-000005000000}" name="PivotTable22" cacheId="36" applyNumberFormats="0" applyBorderFormats="0" applyFontFormats="0" applyPatternFormats="0" applyAlignmentFormats="0" applyWidthHeightFormats="1" dataCaption="Values" tag="f6e7f0b5-4ed5-4fba-bac3-7097d79e854c" updatedVersion="8" minRefreshableVersion="3" useAutoFormatting="1" subtotalHiddenItems="1" itemPrintTitles="1" createdVersion="4" indent="0" outline="1" outlineData="1" multipleFieldFilters="0">
  <location ref="BD5:BL15" firstHeaderRow="1" firstDataRow="2" firstDataCol="1" rowPageCount="1" colPageCount="1"/>
  <pivotFields count="4">
    <pivotField axis="axisPage" allDrilled="1" showAll="0" dataSourceSort="1" defaultAttributeDrillState="1">
      <items count="1">
        <item t="default"/>
      </items>
    </pivotField>
    <pivotField axis="axisRow" allDrilled="1" showAll="0" dataSourceSort="1" defaultAttributeDrillState="1">
      <items count="9">
        <item x="0"/>
        <item x="1"/>
        <item x="2"/>
        <item x="3"/>
        <item x="4"/>
        <item x="5"/>
        <item x="6"/>
        <item x="7"/>
        <item t="default"/>
      </items>
    </pivotField>
    <pivotField axis="axisCol" allDrilled="1" showAll="0" dataSourceSort="1" defaultAttributeDrillState="1">
      <items count="8">
        <item x="0"/>
        <item x="1"/>
        <item x="2"/>
        <item x="3"/>
        <item x="4"/>
        <item x="5"/>
        <item x="6"/>
        <item t="default"/>
      </items>
    </pivotField>
    <pivotField dataField="1" showAll="0"/>
  </pivotFields>
  <rowFields count="1">
    <field x="1"/>
  </rowFields>
  <rowItems count="9">
    <i>
      <x/>
    </i>
    <i>
      <x v="1"/>
    </i>
    <i>
      <x v="2"/>
    </i>
    <i>
      <x v="3"/>
    </i>
    <i>
      <x v="4"/>
    </i>
    <i>
      <x v="5"/>
    </i>
    <i>
      <x v="6"/>
    </i>
    <i>
      <x v="7"/>
    </i>
    <i t="grand">
      <x/>
    </i>
  </rowItems>
  <colFields count="1">
    <field x="2"/>
  </colFields>
  <colItems count="8">
    <i>
      <x/>
    </i>
    <i>
      <x v="1"/>
    </i>
    <i>
      <x v="2"/>
    </i>
    <i>
      <x v="3"/>
    </i>
    <i>
      <x v="4"/>
    </i>
    <i>
      <x v="5"/>
    </i>
    <i>
      <x v="6"/>
    </i>
    <i t="grand">
      <x/>
    </i>
  </colItems>
  <pageFields count="1">
    <pageField fld="0" hier="95" name="[Winter daily sitreps].[Year].&amp;[2024/25]" cap="2024/25"/>
  </pageFields>
  <dataFields count="1">
    <dataField name="Sum of Beds closed norovius unocc"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caption="Sum of Beds closed norovius un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1">
    <colHierarchyUsage hierarchyUsage="94"/>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23.xml><?xml version="1.0" encoding="utf-8"?>
<pivotTableDefinition xmlns="http://schemas.openxmlformats.org/spreadsheetml/2006/main" xmlns:mc="http://schemas.openxmlformats.org/markup-compatibility/2006" xmlns:xr="http://schemas.microsoft.com/office/spreadsheetml/2014/revision" mc:Ignorable="xr" xr:uid="{00000000-0007-0000-0600-000000000000}" name="PivotTable25" cacheId="23" applyNumberFormats="0" applyBorderFormats="0" applyFontFormats="0" applyPatternFormats="0" applyAlignmentFormats="0" applyWidthHeightFormats="1" dataCaption="Values" tag="61ac615e-4002-46a2-afd6-5601e05c1057" updatedVersion="8" minRefreshableVersion="3" useAutoFormatting="1" subtotalHiddenItems="1" rowGrandTotals="0" colGrandTotals="0" itemPrintTitles="1" createdVersion="4" indent="0" outline="1" outlineData="1" multipleFieldFilters="0">
  <location ref="C5:E13" firstHeaderRow="0" firstDataRow="1" firstDataCol="1" rowPageCount="1" colPageCount="1"/>
  <pivotFields count="4">
    <pivotField axis="axisPage" allDrilled="1" showAll="0" dataSourceSort="1" defaultAttributeDrillState="1">
      <items count="1">
        <item t="default"/>
      </items>
    </pivotField>
    <pivotField axis="axisRow" allDrilled="1" showAll="0" dataSourceSort="1" defaultAttributeDrillState="1">
      <items count="9">
        <item x="0"/>
        <item x="1"/>
        <item x="2"/>
        <item x="3"/>
        <item x="4"/>
        <item x="5"/>
        <item x="6"/>
        <item x="7"/>
        <item t="default"/>
      </items>
    </pivotField>
    <pivotField dataField="1" showAll="0"/>
    <pivotField dataField="1" showAll="0"/>
  </pivotFields>
  <rowFields count="1">
    <field x="1"/>
  </rowFields>
  <rowItems count="8">
    <i>
      <x/>
    </i>
    <i>
      <x v="1"/>
    </i>
    <i>
      <x v="2"/>
    </i>
    <i>
      <x v="3"/>
    </i>
    <i>
      <x v="4"/>
    </i>
    <i>
      <x v="5"/>
    </i>
    <i>
      <x v="6"/>
    </i>
    <i>
      <x v="7"/>
    </i>
  </rowItems>
  <colFields count="1">
    <field x="-2"/>
  </colFields>
  <colItems count="2">
    <i>
      <x/>
    </i>
    <i i="1">
      <x v="1"/>
    </i>
  </colItems>
  <pageFields count="1">
    <pageField fld="0" hier="95" name="[Winter daily sitreps].[Year].&amp;[2024/25]" cap="2024/25"/>
  </pageFields>
  <dataFields count="2">
    <dataField name="Avail" fld="2" baseField="0" baseItem="0"/>
    <dataField name="Occ"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24.xml><?xml version="1.0" encoding="utf-8"?>
<pivotTableDefinition xmlns="http://schemas.openxmlformats.org/spreadsheetml/2006/main" xmlns:mc="http://schemas.openxmlformats.org/markup-compatibility/2006" xmlns:xr="http://schemas.microsoft.com/office/spreadsheetml/2014/revision" mc:Ignorable="xr" xr:uid="{00000000-0007-0000-0600-000002000000}" name="PivotTable27" cacheId="21" applyNumberFormats="0" applyBorderFormats="0" applyFontFormats="0" applyPatternFormats="0" applyAlignmentFormats="0" applyWidthHeightFormats="1" dataCaption="Values" tag="dd0981dd-8639-45ae-b501-a497897f676e" updatedVersion="8" minRefreshableVersion="3" useAutoFormatting="1" subtotalHiddenItems="1" rowGrandTotals="0" colGrandTotals="0" itemPrintTitles="1" createdVersion="4" indent="0" outline="1" outlineData="1" multipleFieldFilters="0">
  <location ref="AN5:AP13" firstHeaderRow="0" firstDataRow="1" firstDataCol="1" rowPageCount="1" colPageCount="1"/>
  <pivotFields count="4">
    <pivotField axis="axisPage" allDrilled="1" showAll="0" dataSourceSort="1" defaultAttributeDrillState="1">
      <items count="1">
        <item t="default"/>
      </items>
    </pivotField>
    <pivotField axis="axisRow" allDrilled="1" showAll="0" dataSourceSort="1" defaultAttributeDrillState="1">
      <items count="9">
        <item x="0"/>
        <item x="1"/>
        <item x="2"/>
        <item x="3"/>
        <item x="4"/>
        <item x="5"/>
        <item x="6"/>
        <item x="7"/>
        <item t="default"/>
      </items>
    </pivotField>
    <pivotField dataField="1" showAll="0"/>
    <pivotField dataField="1" showAll="0"/>
  </pivotFields>
  <rowFields count="1">
    <field x="1"/>
  </rowFields>
  <rowItems count="8">
    <i>
      <x/>
    </i>
    <i>
      <x v="1"/>
    </i>
    <i>
      <x v="2"/>
    </i>
    <i>
      <x v="3"/>
    </i>
    <i>
      <x v="4"/>
    </i>
    <i>
      <x v="5"/>
    </i>
    <i>
      <x v="6"/>
    </i>
    <i>
      <x v="7"/>
    </i>
  </rowItems>
  <colFields count="1">
    <field x="-2"/>
  </colFields>
  <colItems count="2">
    <i>
      <x/>
    </i>
    <i i="1">
      <x v="1"/>
    </i>
  </colItems>
  <pageFields count="1">
    <pageField fld="0" hier="95" name="[Winter daily sitreps].[Year].&amp;[2024/25]" cap="2024/25"/>
  </pageFields>
  <dataFields count="2">
    <dataField name="Avail" fld="2" baseField="0" baseItem="0"/>
    <dataField name="Occ"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25.xml><?xml version="1.0" encoding="utf-8"?>
<pivotTableDefinition xmlns="http://schemas.openxmlformats.org/spreadsheetml/2006/main" xmlns:mc="http://schemas.openxmlformats.org/markup-compatibility/2006" xmlns:xr="http://schemas.microsoft.com/office/spreadsheetml/2014/revision" mc:Ignorable="xr" xr:uid="{00000000-0007-0000-0600-000003000000}" name="PivotTable28" cacheId="20" applyNumberFormats="0" applyBorderFormats="0" applyFontFormats="0" applyPatternFormats="0" applyAlignmentFormats="0" applyWidthHeightFormats="1" dataCaption="Values" tag="b9575012-05ef-4632-bede-b87d05a4d489" updatedVersion="8" minRefreshableVersion="3" useAutoFormatting="1" subtotalHiddenItems="1" itemPrintTitles="1" createdVersion="4" indent="0" outline="1" outlineData="1" multipleFieldFilters="0">
  <location ref="AT5:BJ16" firstHeaderRow="1" firstDataRow="3" firstDataCol="1" rowPageCount="1" colPageCount="1"/>
  <pivotFields count="5">
    <pivotField axis="axisPage" allDrilled="1" showAll="0" dataSourceSort="1" defaultAttributeDrillState="1">
      <items count="1">
        <item t="default"/>
      </items>
    </pivotField>
    <pivotField dataField="1" showAll="0"/>
    <pivotField dataField="1" showAll="0"/>
    <pivotField axis="axisRow" allDrilled="1" showAll="0" dataSourceSort="1" defaultAttributeDrillState="1">
      <items count="9">
        <item x="0"/>
        <item x="1"/>
        <item x="2"/>
        <item x="3"/>
        <item x="4"/>
        <item x="5"/>
        <item x="6"/>
        <item x="7"/>
        <item t="default"/>
      </items>
    </pivotField>
    <pivotField axis="axisCol" allDrilled="1" showAll="0" dataSourceSort="1" defaultAttributeDrillState="1">
      <items count="8">
        <item x="0"/>
        <item x="1"/>
        <item x="2"/>
        <item x="3"/>
        <item x="4"/>
        <item x="5"/>
        <item x="6"/>
        <item t="default"/>
      </items>
    </pivotField>
  </pivotFields>
  <rowFields count="1">
    <field x="3"/>
  </rowFields>
  <rowItems count="9">
    <i>
      <x/>
    </i>
    <i>
      <x v="1"/>
    </i>
    <i>
      <x v="2"/>
    </i>
    <i>
      <x v="3"/>
    </i>
    <i>
      <x v="4"/>
    </i>
    <i>
      <x v="5"/>
    </i>
    <i>
      <x v="6"/>
    </i>
    <i>
      <x v="7"/>
    </i>
    <i t="grand">
      <x/>
    </i>
  </rowItems>
  <colFields count="2">
    <field x="4"/>
    <field x="-2"/>
  </colFields>
  <colItems count="16">
    <i>
      <x/>
      <x/>
    </i>
    <i r="1" i="1">
      <x v="1"/>
    </i>
    <i>
      <x v="1"/>
      <x/>
    </i>
    <i r="1" i="1">
      <x v="1"/>
    </i>
    <i>
      <x v="2"/>
      <x/>
    </i>
    <i r="1" i="1">
      <x v="1"/>
    </i>
    <i>
      <x v="3"/>
      <x/>
    </i>
    <i r="1" i="1">
      <x v="1"/>
    </i>
    <i>
      <x v="4"/>
      <x/>
    </i>
    <i r="1" i="1">
      <x v="1"/>
    </i>
    <i>
      <x v="5"/>
      <x/>
    </i>
    <i r="1" i="1">
      <x v="1"/>
    </i>
    <i>
      <x v="6"/>
      <x/>
    </i>
    <i r="1" i="1">
      <x v="1"/>
    </i>
    <i t="grand">
      <x/>
    </i>
    <i t="grand" i="1">
      <x/>
    </i>
  </colItems>
  <pageFields count="1">
    <pageField fld="0" hier="95" name="[Winter daily sitreps].[Year].&amp;[2024/25]" cap="2024/25"/>
  </pageFields>
  <dataFields count="2">
    <dataField name="Avail" fld="1" baseField="0" baseItem="0"/>
    <dataField name="Occ" fld="2"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2">
    <colHierarchyUsage hierarchyUsage="94"/>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26.xml><?xml version="1.0" encoding="utf-8"?>
<pivotTableDefinition xmlns="http://schemas.openxmlformats.org/spreadsheetml/2006/main" xmlns:mc="http://schemas.openxmlformats.org/markup-compatibility/2006" xmlns:xr="http://schemas.microsoft.com/office/spreadsheetml/2014/revision" mc:Ignorable="xr" xr:uid="{00000000-0007-0000-0600-000001000000}" name="PivotTable26" cacheId="22" applyNumberFormats="0" applyBorderFormats="0" applyFontFormats="0" applyPatternFormats="0" applyAlignmentFormats="0" applyWidthHeightFormats="1" dataCaption="Values" tag="c1fa9d37-cafa-4c6c-bd29-455cc7cea9b3" updatedVersion="8" minRefreshableVersion="3" useAutoFormatting="1" subtotalHiddenItems="1" itemPrintTitles="1" createdVersion="4" indent="0" outline="1" outlineData="1" multipleFieldFilters="0">
  <location ref="I5:Y16" firstHeaderRow="1" firstDataRow="3" firstDataCol="1" rowPageCount="1" colPageCount="1"/>
  <pivotFields count="5">
    <pivotField axis="axisPage" allDrilled="1" showAll="0" dataSourceSort="1" defaultAttributeDrillState="1">
      <items count="1">
        <item t="default"/>
      </items>
    </pivotField>
    <pivotField dataField="1" showAll="0"/>
    <pivotField dataField="1" showAll="0"/>
    <pivotField axis="axisRow" allDrilled="1" showAll="0" dataSourceSort="1" defaultAttributeDrillState="1">
      <items count="9">
        <item x="0"/>
        <item x="1"/>
        <item x="2"/>
        <item x="3"/>
        <item x="4"/>
        <item x="5"/>
        <item x="6"/>
        <item x="7"/>
        <item t="default"/>
      </items>
    </pivotField>
    <pivotField axis="axisCol" allDrilled="1" showAll="0" dataSourceSort="1" defaultAttributeDrillState="1">
      <items count="8">
        <item x="0"/>
        <item x="1"/>
        <item x="2"/>
        <item x="3"/>
        <item x="4"/>
        <item x="5"/>
        <item x="6"/>
        <item t="default"/>
      </items>
    </pivotField>
  </pivotFields>
  <rowFields count="1">
    <field x="3"/>
  </rowFields>
  <rowItems count="9">
    <i>
      <x/>
    </i>
    <i>
      <x v="1"/>
    </i>
    <i>
      <x v="2"/>
    </i>
    <i>
      <x v="3"/>
    </i>
    <i>
      <x v="4"/>
    </i>
    <i>
      <x v="5"/>
    </i>
    <i>
      <x v="6"/>
    </i>
    <i>
      <x v="7"/>
    </i>
    <i t="grand">
      <x/>
    </i>
  </rowItems>
  <colFields count="2">
    <field x="4"/>
    <field x="-2"/>
  </colFields>
  <colItems count="16">
    <i>
      <x/>
      <x/>
    </i>
    <i r="1" i="1">
      <x v="1"/>
    </i>
    <i>
      <x v="1"/>
      <x/>
    </i>
    <i r="1" i="1">
      <x v="1"/>
    </i>
    <i>
      <x v="2"/>
      <x/>
    </i>
    <i r="1" i="1">
      <x v="1"/>
    </i>
    <i>
      <x v="3"/>
      <x/>
    </i>
    <i r="1" i="1">
      <x v="1"/>
    </i>
    <i>
      <x v="4"/>
      <x/>
    </i>
    <i r="1" i="1">
      <x v="1"/>
    </i>
    <i>
      <x v="5"/>
      <x/>
    </i>
    <i r="1" i="1">
      <x v="1"/>
    </i>
    <i>
      <x v="6"/>
      <x/>
    </i>
    <i r="1" i="1">
      <x v="1"/>
    </i>
    <i t="grand">
      <x/>
    </i>
    <i t="grand" i="1">
      <x/>
    </i>
  </colItems>
  <pageFields count="1">
    <pageField fld="0" hier="95" name="[Winter daily sitreps].[Year].&amp;[2024/25]" cap="2024/25"/>
  </pageFields>
  <dataFields count="2">
    <dataField name="Avail" fld="1" baseField="0" baseItem="0"/>
    <dataField name="Occ" fld="2"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2">
    <colHierarchyUsage hierarchyUsage="94"/>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27.xml><?xml version="1.0" encoding="utf-8"?>
<pivotTableDefinition xmlns="http://schemas.openxmlformats.org/spreadsheetml/2006/main" xmlns:mc="http://schemas.openxmlformats.org/markup-compatibility/2006" xmlns:xr="http://schemas.microsoft.com/office/spreadsheetml/2014/revision" mc:Ignorable="xr" xr:uid="{00000000-0007-0000-0700-000001000000}" name="PivotTable2" cacheId="26" applyNumberFormats="0" applyBorderFormats="0" applyFontFormats="0" applyPatternFormats="0" applyAlignmentFormats="0" applyWidthHeightFormats="1" dataCaption="Values" tag="cb83e953-d3a9-4433-84e3-86f132084549" updatedVersion="8" minRefreshableVersion="3" useAutoFormatting="1" subtotalHiddenItems="1" itemPrintTitles="1" createdVersion="4" indent="0" outline="1" outlineData="1" multipleFieldFilters="0">
  <location ref="H5:X16" firstHeaderRow="1" firstDataRow="3" firstDataCol="1" rowPageCount="1" colPageCount="1"/>
  <pivotFields count="5">
    <pivotField axis="axisPage" allDrilled="1" showAll="0" dataSourceSort="1" defaultAttributeDrillState="1">
      <items count="1">
        <item t="default"/>
      </items>
    </pivotField>
    <pivotField axis="axisRow" allDrilled="1" showAll="0" dataSourceSort="1" defaultAttributeDrillState="1">
      <items count="9">
        <item x="0"/>
        <item x="1"/>
        <item x="2"/>
        <item x="3"/>
        <item x="4"/>
        <item x="5"/>
        <item x="6"/>
        <item x="7"/>
        <item t="default"/>
      </items>
    </pivotField>
    <pivotField axis="axisCol" allDrilled="1" showAll="0" dataSourceSort="1" defaultAttributeDrillState="1">
      <items count="8">
        <item x="0"/>
        <item x="1"/>
        <item x="2"/>
        <item x="3"/>
        <item x="4"/>
        <item x="5"/>
        <item x="6"/>
        <item t="default"/>
      </items>
    </pivotField>
    <pivotField dataField="1" showAll="0"/>
    <pivotField dataField="1" showAll="0"/>
  </pivotFields>
  <rowFields count="1">
    <field x="1"/>
  </rowFields>
  <rowItems count="9">
    <i>
      <x/>
    </i>
    <i>
      <x v="1"/>
    </i>
    <i>
      <x v="2"/>
    </i>
    <i>
      <x v="3"/>
    </i>
    <i>
      <x v="4"/>
    </i>
    <i>
      <x v="5"/>
    </i>
    <i>
      <x v="6"/>
    </i>
    <i>
      <x v="7"/>
    </i>
    <i t="grand">
      <x/>
    </i>
  </rowItems>
  <colFields count="2">
    <field x="2"/>
    <field x="-2"/>
  </colFields>
  <colItems count="16">
    <i>
      <x/>
      <x/>
    </i>
    <i r="1" i="1">
      <x v="1"/>
    </i>
    <i>
      <x v="1"/>
      <x/>
    </i>
    <i r="1" i="1">
      <x v="1"/>
    </i>
    <i>
      <x v="2"/>
      <x/>
    </i>
    <i r="1" i="1">
      <x v="1"/>
    </i>
    <i>
      <x v="3"/>
      <x/>
    </i>
    <i r="1" i="1">
      <x v="1"/>
    </i>
    <i>
      <x v="4"/>
      <x/>
    </i>
    <i r="1" i="1">
      <x v="1"/>
    </i>
    <i>
      <x v="5"/>
      <x/>
    </i>
    <i r="1" i="1">
      <x v="1"/>
    </i>
    <i>
      <x v="6"/>
      <x/>
    </i>
    <i r="1" i="1">
      <x v="1"/>
    </i>
    <i t="grand">
      <x/>
    </i>
    <i t="grand" i="1">
      <x/>
    </i>
  </colItems>
  <pageFields count="1">
    <pageField fld="0" hier="95" name="[Winter daily sitreps].[Year].&amp;[2024/25]" cap="2024/25"/>
  </pageFields>
  <dataFields count="2">
    <dataField name="Sum of Paed Int Care Avail" fld="3" baseField="0" baseItem="0"/>
    <dataField name="Sum of Paed Int Care Occ" fld="4"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caption="Sum of Paed Int Care Avail"/>
    <pivotHierarchy dragToRow="0" dragToCol="0" dragToPage="0" dragToData="1" caption="Sum of Paed Int Care 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2">
    <colHierarchyUsage hierarchyUsage="94"/>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28.xml><?xml version="1.0" encoding="utf-8"?>
<pivotTableDefinition xmlns="http://schemas.openxmlformats.org/spreadsheetml/2006/main" xmlns:mc="http://schemas.openxmlformats.org/markup-compatibility/2006" xmlns:xr="http://schemas.microsoft.com/office/spreadsheetml/2014/revision" mc:Ignorable="xr" xr:uid="{00000000-0007-0000-0700-000000000000}" name="PivotTable1" cacheId="27" applyNumberFormats="0" applyBorderFormats="0" applyFontFormats="0" applyPatternFormats="0" applyAlignmentFormats="0" applyWidthHeightFormats="1" dataCaption="Values" tag="8092ca98-d055-401c-855a-87a650e1589b" updatedVersion="8" minRefreshableVersion="3" useAutoFormatting="1" subtotalHiddenItems="1" rowGrandTotals="0" colGrandTotals="0" itemPrintTitles="1" createdVersion="4" indent="0" outline="1" outlineData="1" multipleFieldFilters="0">
  <location ref="B5:D13" firstHeaderRow="0" firstDataRow="1" firstDataCol="1" rowPageCount="1" colPageCount="1"/>
  <pivotFields count="4">
    <pivotField axis="axisPage" allDrilled="1" showAll="0" dataSourceSort="1" defaultAttributeDrillState="1">
      <items count="1">
        <item t="default"/>
      </items>
    </pivotField>
    <pivotField axis="axisRow" allDrilled="1" showAll="0" dataSourceSort="1" defaultAttributeDrillState="1">
      <items count="9">
        <item x="0"/>
        <item x="1"/>
        <item x="2"/>
        <item x="3"/>
        <item x="4"/>
        <item x="5"/>
        <item x="6"/>
        <item x="7"/>
        <item t="default"/>
      </items>
    </pivotField>
    <pivotField dataField="1" showAll="0"/>
    <pivotField dataField="1" showAll="0"/>
  </pivotFields>
  <rowFields count="1">
    <field x="1"/>
  </rowFields>
  <rowItems count="8">
    <i>
      <x/>
    </i>
    <i>
      <x v="1"/>
    </i>
    <i>
      <x v="2"/>
    </i>
    <i>
      <x v="3"/>
    </i>
    <i>
      <x v="4"/>
    </i>
    <i>
      <x v="5"/>
    </i>
    <i>
      <x v="6"/>
    </i>
    <i>
      <x v="7"/>
    </i>
  </rowItems>
  <colFields count="1">
    <field x="-2"/>
  </colFields>
  <colItems count="2">
    <i>
      <x/>
    </i>
    <i i="1">
      <x v="1"/>
    </i>
  </colItems>
  <pageFields count="1">
    <pageField fld="0" hier="95" name="[Winter daily sitreps].[Year].&amp;[2024/25]" cap="2024/25"/>
  </pageFields>
  <dataFields count="2">
    <dataField name="Sum of Paed Int Care Avail" fld="2" baseField="0" baseItem="0"/>
    <dataField name="Sum of Paed Int Care Occ"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caption="Sum of Paed Int Care Avail"/>
    <pivotHierarchy dragToRow="0" dragToCol="0" dragToPage="0" dragToData="1" caption="Sum of Paed Int Care 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29.xml><?xml version="1.0" encoding="utf-8"?>
<pivotTableDefinition xmlns="http://schemas.openxmlformats.org/spreadsheetml/2006/main" xmlns:mc="http://schemas.openxmlformats.org/markup-compatibility/2006" xmlns:xr="http://schemas.microsoft.com/office/spreadsheetml/2014/revision" mc:Ignorable="xr" xr:uid="{00000000-0007-0000-0700-000003000000}" name="PivotTable4" cacheId="24" applyNumberFormats="0" applyBorderFormats="0" applyFontFormats="0" applyPatternFormats="0" applyAlignmentFormats="0" applyWidthHeightFormats="1" dataCaption="Values" tag="e4f2c472-a146-4ee5-be49-5287088b7209" updatedVersion="8" minRefreshableVersion="3" useAutoFormatting="1" subtotalHiddenItems="1" itemPrintTitles="1" createdVersion="4" indent="0" outline="1" outlineData="1" multipleFieldFilters="0">
  <location ref="AT5:BJ16" firstHeaderRow="1" firstDataRow="3" firstDataCol="1" rowPageCount="1" colPageCount="1"/>
  <pivotFields count="5">
    <pivotField axis="axisPage" allDrilled="1" showAll="0" dataSourceSort="1" defaultAttributeDrillState="1">
      <items count="1">
        <item t="default"/>
      </items>
    </pivotField>
    <pivotField axis="axisRow" allDrilled="1" showAll="0" dataSourceSort="1" defaultAttributeDrillState="1">
      <items count="9">
        <item x="0"/>
        <item x="1"/>
        <item x="2"/>
        <item x="3"/>
        <item x="4"/>
        <item x="5"/>
        <item x="6"/>
        <item x="7"/>
        <item t="default"/>
      </items>
    </pivotField>
    <pivotField axis="axisCol" allDrilled="1" showAll="0" dataSourceSort="1" defaultAttributeDrillState="1">
      <items count="8">
        <item x="0"/>
        <item x="1"/>
        <item x="2"/>
        <item x="3"/>
        <item x="4"/>
        <item x="5"/>
        <item x="6"/>
        <item t="default"/>
      </items>
    </pivotField>
    <pivotField dataField="1" showAll="0"/>
    <pivotField dataField="1" showAll="0"/>
  </pivotFields>
  <rowFields count="1">
    <field x="1"/>
  </rowFields>
  <rowItems count="9">
    <i>
      <x/>
    </i>
    <i>
      <x v="1"/>
    </i>
    <i>
      <x v="2"/>
    </i>
    <i>
      <x v="3"/>
    </i>
    <i>
      <x v="4"/>
    </i>
    <i>
      <x v="5"/>
    </i>
    <i>
      <x v="6"/>
    </i>
    <i>
      <x v="7"/>
    </i>
    <i t="grand">
      <x/>
    </i>
  </rowItems>
  <colFields count="2">
    <field x="2"/>
    <field x="-2"/>
  </colFields>
  <colItems count="16">
    <i>
      <x/>
      <x/>
    </i>
    <i r="1" i="1">
      <x v="1"/>
    </i>
    <i>
      <x v="1"/>
      <x/>
    </i>
    <i r="1" i="1">
      <x v="1"/>
    </i>
    <i>
      <x v="2"/>
      <x/>
    </i>
    <i r="1" i="1">
      <x v="1"/>
    </i>
    <i>
      <x v="3"/>
      <x/>
    </i>
    <i r="1" i="1">
      <x v="1"/>
    </i>
    <i>
      <x v="4"/>
      <x/>
    </i>
    <i r="1" i="1">
      <x v="1"/>
    </i>
    <i>
      <x v="5"/>
      <x/>
    </i>
    <i r="1" i="1">
      <x v="1"/>
    </i>
    <i>
      <x v="6"/>
      <x/>
    </i>
    <i r="1" i="1">
      <x v="1"/>
    </i>
    <i t="grand">
      <x/>
    </i>
    <i t="grand" i="1">
      <x/>
    </i>
  </colItems>
  <pageFields count="1">
    <pageField fld="0" hier="95" name="[Winter daily sitreps].[Year].&amp;[2024/25]" cap="2024/25"/>
  </pageFields>
  <dataFields count="2">
    <dataField name="Sum of Paed Int Care Avail" fld="3" baseField="0" baseItem="0"/>
    <dataField name="Sum of Paed Int Care Occ" fld="4"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caption="Sum of Paed Int Care Avail"/>
    <pivotHierarchy dragToRow="0" dragToCol="0" dragToPage="0" dragToData="1" caption="Sum of Paed Int Care 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2">
    <colHierarchyUsage hierarchyUsage="94"/>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30.xml><?xml version="1.0" encoding="utf-8"?>
<pivotTableDefinition xmlns="http://schemas.openxmlformats.org/spreadsheetml/2006/main" xmlns:mc="http://schemas.openxmlformats.org/markup-compatibility/2006" xmlns:xr="http://schemas.microsoft.com/office/spreadsheetml/2014/revision" mc:Ignorable="xr" xr:uid="{00000000-0007-0000-0700-000002000000}" name="PivotTable3" cacheId="25" applyNumberFormats="0" applyBorderFormats="0" applyFontFormats="0" applyPatternFormats="0" applyAlignmentFormats="0" applyWidthHeightFormats="1" dataCaption="Values" tag="ba0b1b6b-253c-4af3-8da1-40f03654e889" updatedVersion="8" minRefreshableVersion="3" useAutoFormatting="1" subtotalHiddenItems="1" rowGrandTotals="0" colGrandTotals="0" itemPrintTitles="1" createdVersion="4" indent="0" outline="1" outlineData="1" multipleFieldFilters="0">
  <location ref="AM5:AO13" firstHeaderRow="0" firstDataRow="1" firstDataCol="1" rowPageCount="1" colPageCount="1"/>
  <pivotFields count="4">
    <pivotField axis="axisPage" allDrilled="1" showAll="0" dataSourceSort="1" defaultAttributeDrillState="1">
      <items count="1">
        <item t="default"/>
      </items>
    </pivotField>
    <pivotField axis="axisRow" allDrilled="1" showAll="0" dataSourceSort="1" defaultAttributeDrillState="1">
      <items count="9">
        <item x="0"/>
        <item x="1"/>
        <item x="2"/>
        <item x="3"/>
        <item x="4"/>
        <item x="5"/>
        <item x="6"/>
        <item x="7"/>
        <item t="default"/>
      </items>
    </pivotField>
    <pivotField dataField="1" showAll="0"/>
    <pivotField dataField="1" showAll="0"/>
  </pivotFields>
  <rowFields count="1">
    <field x="1"/>
  </rowFields>
  <rowItems count="8">
    <i>
      <x/>
    </i>
    <i>
      <x v="1"/>
    </i>
    <i>
      <x v="2"/>
    </i>
    <i>
      <x v="3"/>
    </i>
    <i>
      <x v="4"/>
    </i>
    <i>
      <x v="5"/>
    </i>
    <i>
      <x v="6"/>
    </i>
    <i>
      <x v="7"/>
    </i>
  </rowItems>
  <colFields count="1">
    <field x="-2"/>
  </colFields>
  <colItems count="2">
    <i>
      <x/>
    </i>
    <i i="1">
      <x v="1"/>
    </i>
  </colItems>
  <pageFields count="1">
    <pageField fld="0" hier="95" name="[Winter daily sitreps].[Year].&amp;[2024/25]" cap="2024/25"/>
  </pageFields>
  <dataFields count="2">
    <dataField name="Sum of Paed Int Care Avail" fld="2" baseField="0" baseItem="0"/>
    <dataField name="Sum of Paed Int Care Occ"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caption="Sum of Paed Int Care Avail"/>
    <pivotHierarchy dragToRow="0" dragToCol="0" dragToPage="0" dragToData="1" caption="Sum of Paed Int Care 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31.xml><?xml version="1.0" encoding="utf-8"?>
<pivotTableDefinition xmlns="http://schemas.openxmlformats.org/spreadsheetml/2006/main" xmlns:mc="http://schemas.openxmlformats.org/markup-compatibility/2006" xmlns:xr="http://schemas.microsoft.com/office/spreadsheetml/2014/revision" mc:Ignorable="xr" xr:uid="{00000000-0007-0000-0800-000000000000}" name="PivotTable10" cacheId="16" applyNumberFormats="0" applyBorderFormats="0" applyFontFormats="0" applyPatternFormats="0" applyAlignmentFormats="0" applyWidthHeightFormats="1" dataCaption="Values" tag="63d379ad-3316-4220-96ab-b24ff7ed409f" updatedVersion="8" minRefreshableVersion="3" useAutoFormatting="1" subtotalHiddenItems="1" itemPrintTitles="1" createdVersion="4" indent="0" outline="1" outlineData="1" multipleFieldFilters="0">
  <location ref="AS5:BI16" firstHeaderRow="1" firstDataRow="3" firstDataCol="1" rowPageCount="1" colPageCount="1"/>
  <pivotFields count="5">
    <pivotField axis="axisPage" allDrilled="1" showAll="0" dataSourceSort="1" defaultAttributeDrillState="1">
      <items count="1">
        <item t="default"/>
      </items>
    </pivotField>
    <pivotField axis="axisRow" allDrilled="1" showAll="0" dataSourceSort="1" defaultAttributeDrillState="1">
      <items count="9">
        <item x="0"/>
        <item x="1"/>
        <item x="2"/>
        <item x="3"/>
        <item x="4"/>
        <item x="5"/>
        <item x="6"/>
        <item x="7"/>
        <item t="default"/>
      </items>
    </pivotField>
    <pivotField axis="axisCol" allDrilled="1" showAll="0" dataSourceSort="1" defaultAttributeDrillState="1">
      <items count="8">
        <item x="0"/>
        <item x="1"/>
        <item x="2"/>
        <item x="3"/>
        <item x="4"/>
        <item x="5"/>
        <item x="6"/>
        <item t="default"/>
      </items>
    </pivotField>
    <pivotField dataField="1" showAll="0"/>
    <pivotField dataField="1" showAll="0"/>
  </pivotFields>
  <rowFields count="1">
    <field x="1"/>
  </rowFields>
  <rowItems count="9">
    <i>
      <x/>
    </i>
    <i>
      <x v="1"/>
    </i>
    <i>
      <x v="2"/>
    </i>
    <i>
      <x v="3"/>
    </i>
    <i>
      <x v="4"/>
    </i>
    <i>
      <x v="5"/>
    </i>
    <i>
      <x v="6"/>
    </i>
    <i>
      <x v="7"/>
    </i>
    <i t="grand">
      <x/>
    </i>
  </rowItems>
  <colFields count="2">
    <field x="2"/>
    <field x="-2"/>
  </colFields>
  <colItems count="16">
    <i>
      <x/>
      <x/>
    </i>
    <i r="1" i="1">
      <x v="1"/>
    </i>
    <i>
      <x v="1"/>
      <x/>
    </i>
    <i r="1" i="1">
      <x v="1"/>
    </i>
    <i>
      <x v="2"/>
      <x/>
    </i>
    <i r="1" i="1">
      <x v="1"/>
    </i>
    <i>
      <x v="3"/>
      <x/>
    </i>
    <i r="1" i="1">
      <x v="1"/>
    </i>
    <i>
      <x v="4"/>
      <x/>
    </i>
    <i r="1" i="1">
      <x v="1"/>
    </i>
    <i>
      <x v="5"/>
      <x/>
    </i>
    <i r="1" i="1">
      <x v="1"/>
    </i>
    <i>
      <x v="6"/>
      <x/>
    </i>
    <i r="1" i="1">
      <x v="1"/>
    </i>
    <i t="grand">
      <x/>
    </i>
    <i t="grand" i="1">
      <x/>
    </i>
  </colItems>
  <pageFields count="1">
    <pageField fld="0" hier="95" name="[Winter daily sitreps].[Year].&amp;[2024/25]" cap="2024/25"/>
  </pageFields>
  <dataFields count="2">
    <dataField name="Sum of Neo Int Care Avail" fld="3" baseField="0" baseItem="0"/>
    <dataField name="Sum of Neo Int Care occ" fld="4"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caption="Sum of Paed Int Care Avail"/>
    <pivotHierarchy dragToRow="0" dragToCol="0" dragToPage="0" dragToData="1" caption="Sum of Paed Int Care Occ"/>
    <pivotHierarchy dragToRow="0" dragToCol="0" dragToPage="0" dragToData="1" caption="Sum of Neo Int Care Avail"/>
    <pivotHierarchy dragToRow="0" dragToCol="0" dragToPage="0" dragToData="1" caption="Sum of Neo Int Care 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2">
    <colHierarchyUsage hierarchyUsage="94"/>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32.xml><?xml version="1.0" encoding="utf-8"?>
<pivotTableDefinition xmlns="http://schemas.openxmlformats.org/spreadsheetml/2006/main" xmlns:mc="http://schemas.openxmlformats.org/markup-compatibility/2006" xmlns:xr="http://schemas.microsoft.com/office/spreadsheetml/2014/revision" mc:Ignorable="xr" xr:uid="{00000000-0007-0000-0800-000003000000}" name="PivotTable9" cacheId="17" applyNumberFormats="0" applyBorderFormats="0" applyFontFormats="0" applyPatternFormats="0" applyAlignmentFormats="0" applyWidthHeightFormats="1" dataCaption="Values" tag="b0ef4df9-2980-427c-9277-09e19a1bf0e0" updatedVersion="8" minRefreshableVersion="3" useAutoFormatting="1" subtotalHiddenItems="1" rowGrandTotals="0" colGrandTotals="0" itemPrintTitles="1" createdVersion="4" indent="0" outline="1" outlineData="1" multipleFieldFilters="0">
  <location ref="AM5:AO13" firstHeaderRow="0" firstDataRow="1" firstDataCol="1" rowPageCount="1" colPageCount="1"/>
  <pivotFields count="4">
    <pivotField axis="axisPage" allDrilled="1" showAll="0" dataSourceSort="1" defaultAttributeDrillState="1">
      <items count="1">
        <item t="default"/>
      </items>
    </pivotField>
    <pivotField axis="axisRow" allDrilled="1" showAll="0" dataSourceSort="1" defaultAttributeDrillState="1">
      <items count="9">
        <item x="0"/>
        <item x="1"/>
        <item x="2"/>
        <item x="3"/>
        <item x="4"/>
        <item x="5"/>
        <item x="6"/>
        <item x="7"/>
        <item t="default"/>
      </items>
    </pivotField>
    <pivotField dataField="1" showAll="0"/>
    <pivotField dataField="1" showAll="0"/>
  </pivotFields>
  <rowFields count="1">
    <field x="1"/>
  </rowFields>
  <rowItems count="8">
    <i>
      <x/>
    </i>
    <i>
      <x v="1"/>
    </i>
    <i>
      <x v="2"/>
    </i>
    <i>
      <x v="3"/>
    </i>
    <i>
      <x v="4"/>
    </i>
    <i>
      <x v="5"/>
    </i>
    <i>
      <x v="6"/>
    </i>
    <i>
      <x v="7"/>
    </i>
  </rowItems>
  <colFields count="1">
    <field x="-2"/>
  </colFields>
  <colItems count="2">
    <i>
      <x/>
    </i>
    <i i="1">
      <x v="1"/>
    </i>
  </colItems>
  <pageFields count="1">
    <pageField fld="0" hier="95" name="[Winter daily sitreps].[Year].&amp;[2024/25]" cap="2024/25"/>
  </pageFields>
  <dataFields count="2">
    <dataField name="Sum of Neo Int Care Avail" fld="2" baseField="0" baseItem="0"/>
    <dataField name="Sum of Neo Int Care occ"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caption="Sum of Paed Int Care Avail"/>
    <pivotHierarchy dragToRow="0" dragToCol="0" dragToPage="0" dragToData="1" caption="Sum of Paed Int Care Occ"/>
    <pivotHierarchy dragToRow="0" dragToCol="0" dragToPage="0" dragToData="1" caption="Sum of Neo Int Care Avail"/>
    <pivotHierarchy dragToRow="0" dragToCol="0" dragToPage="0" dragToData="1" caption="Sum of Neo Int Care occ"/>
    <pivotHierarchy dragToRow="0" dragToCol="0" dragToPage="0" dragToData="1" caption="Average of Neo Int Care Avail"/>
    <pivotHierarchy dragToRow="0" dragToCol="0" dragToPage="0" dragToData="1" caption="Average of Neo Int Care 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33.xml><?xml version="1.0" encoding="utf-8"?>
<pivotTableDefinition xmlns="http://schemas.openxmlformats.org/spreadsheetml/2006/main" xmlns:mc="http://schemas.openxmlformats.org/markup-compatibility/2006" xmlns:xr="http://schemas.microsoft.com/office/spreadsheetml/2014/revision" mc:Ignorable="xr" xr:uid="{00000000-0007-0000-0800-000001000000}" name="PivotTable6" cacheId="19" applyNumberFormats="0" applyBorderFormats="0" applyFontFormats="0" applyPatternFormats="0" applyAlignmentFormats="0" applyWidthHeightFormats="1" dataCaption="Values" tag="33689785-b65f-4d09-8f69-70383ef188d2" updatedVersion="8" minRefreshableVersion="3" useAutoFormatting="1" subtotalHiddenItems="1" rowGrandTotals="0" colGrandTotals="0" itemPrintTitles="1" createdVersion="4" indent="0" outline="1" outlineData="1" multipleFieldFilters="0">
  <location ref="B5:D13" firstHeaderRow="0" firstDataRow="1" firstDataCol="1" rowPageCount="1" colPageCount="1"/>
  <pivotFields count="4">
    <pivotField axis="axisPage" allDrilled="1" showAll="0" dataSourceSort="1" defaultAttributeDrillState="1">
      <items count="1">
        <item t="default"/>
      </items>
    </pivotField>
    <pivotField axis="axisRow" allDrilled="1" showAll="0" dataSourceSort="1" defaultAttributeDrillState="1">
      <items count="9">
        <item x="0"/>
        <item x="1"/>
        <item x="2"/>
        <item x="3"/>
        <item x="4"/>
        <item x="5"/>
        <item x="6"/>
        <item x="7"/>
        <item t="default"/>
      </items>
    </pivotField>
    <pivotField dataField="1" showAll="0"/>
    <pivotField dataField="1" showAll="0"/>
  </pivotFields>
  <rowFields count="1">
    <field x="1"/>
  </rowFields>
  <rowItems count="8">
    <i>
      <x/>
    </i>
    <i>
      <x v="1"/>
    </i>
    <i>
      <x v="2"/>
    </i>
    <i>
      <x v="3"/>
    </i>
    <i>
      <x v="4"/>
    </i>
    <i>
      <x v="5"/>
    </i>
    <i>
      <x v="6"/>
    </i>
    <i>
      <x v="7"/>
    </i>
  </rowItems>
  <colFields count="1">
    <field x="-2"/>
  </colFields>
  <colItems count="2">
    <i>
      <x/>
    </i>
    <i i="1">
      <x v="1"/>
    </i>
  </colItems>
  <pageFields count="1">
    <pageField fld="0" hier="95" name="[Winter daily sitreps].[Year].&amp;[2024/25]" cap="2024/25"/>
  </pageFields>
  <dataFields count="2">
    <dataField name="Sum of Neo Int Care Avail" fld="2" baseField="0" baseItem="0"/>
    <dataField name="Sum of Neo Int Care occ"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caption="Sum of Paed Int Care Avail"/>
    <pivotHierarchy dragToRow="0" dragToCol="0" dragToPage="0" dragToData="1" caption="Sum of Paed Int Care Occ"/>
    <pivotHierarchy dragToRow="0" dragToCol="0" dragToPage="0" dragToData="1" caption="Sum of Neo Int Care Avail"/>
    <pivotHierarchy dragToRow="0" dragToCol="0" dragToPage="0" dragToData="1" caption="Sum of Neo Int Care 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34.xml><?xml version="1.0" encoding="utf-8"?>
<pivotTableDefinition xmlns="http://schemas.openxmlformats.org/spreadsheetml/2006/main" xmlns:mc="http://schemas.openxmlformats.org/markup-compatibility/2006" xmlns:xr="http://schemas.microsoft.com/office/spreadsheetml/2014/revision" mc:Ignorable="xr" xr:uid="{00000000-0007-0000-0800-000002000000}" name="PivotTable8" cacheId="18" applyNumberFormats="0" applyBorderFormats="0" applyFontFormats="0" applyPatternFormats="0" applyAlignmentFormats="0" applyWidthHeightFormats="1" dataCaption="Values" tag="a2bb9c2e-6606-40c6-8988-4a0b49a15b1b" updatedVersion="8" minRefreshableVersion="3" useAutoFormatting="1" subtotalHiddenItems="1" itemPrintTitles="1" createdVersion="4" indent="0" outline="1" outlineData="1" multipleFieldFilters="0">
  <location ref="H5:X16" firstHeaderRow="1" firstDataRow="3" firstDataCol="1" rowPageCount="1" colPageCount="1"/>
  <pivotFields count="5">
    <pivotField axis="axisPage" allDrilled="1" showAll="0" dataSourceSort="1" defaultAttributeDrillState="1">
      <items count="1">
        <item t="default"/>
      </items>
    </pivotField>
    <pivotField axis="axisRow" allDrilled="1" showAll="0" dataSourceSort="1" defaultAttributeDrillState="1">
      <items count="9">
        <item x="0"/>
        <item x="1"/>
        <item x="2"/>
        <item x="3"/>
        <item x="4"/>
        <item x="5"/>
        <item x="6"/>
        <item x="7"/>
        <item t="default"/>
      </items>
    </pivotField>
    <pivotField axis="axisCol" allDrilled="1" showAll="0" dataSourceSort="1" defaultAttributeDrillState="1">
      <items count="8">
        <item x="0"/>
        <item x="1"/>
        <item x="2"/>
        <item x="3"/>
        <item x="4"/>
        <item x="5"/>
        <item x="6"/>
        <item t="default"/>
      </items>
    </pivotField>
    <pivotField dataField="1" showAll="0"/>
    <pivotField dataField="1" showAll="0"/>
  </pivotFields>
  <rowFields count="1">
    <field x="1"/>
  </rowFields>
  <rowItems count="9">
    <i>
      <x/>
    </i>
    <i>
      <x v="1"/>
    </i>
    <i>
      <x v="2"/>
    </i>
    <i>
      <x v="3"/>
    </i>
    <i>
      <x v="4"/>
    </i>
    <i>
      <x v="5"/>
    </i>
    <i>
      <x v="6"/>
    </i>
    <i>
      <x v="7"/>
    </i>
    <i t="grand">
      <x/>
    </i>
  </rowItems>
  <colFields count="2">
    <field x="2"/>
    <field x="-2"/>
  </colFields>
  <colItems count="16">
    <i>
      <x/>
      <x/>
    </i>
    <i r="1" i="1">
      <x v="1"/>
    </i>
    <i>
      <x v="1"/>
      <x/>
    </i>
    <i r="1" i="1">
      <x v="1"/>
    </i>
    <i>
      <x v="2"/>
      <x/>
    </i>
    <i r="1" i="1">
      <x v="1"/>
    </i>
    <i>
      <x v="3"/>
      <x/>
    </i>
    <i r="1" i="1">
      <x v="1"/>
    </i>
    <i>
      <x v="4"/>
      <x/>
    </i>
    <i r="1" i="1">
      <x v="1"/>
    </i>
    <i>
      <x v="5"/>
      <x/>
    </i>
    <i r="1" i="1">
      <x v="1"/>
    </i>
    <i>
      <x v="6"/>
      <x/>
    </i>
    <i r="1" i="1">
      <x v="1"/>
    </i>
    <i t="grand">
      <x/>
    </i>
    <i t="grand" i="1">
      <x/>
    </i>
  </colItems>
  <pageFields count="1">
    <pageField fld="0" hier="95" name="[Winter daily sitreps].[Year].&amp;[2024/25]" cap="2024/25"/>
  </pageFields>
  <dataFields count="2">
    <dataField name="Sum of Neo Int Care Avail" fld="3" baseField="0" baseItem="0"/>
    <dataField name="Sum of Neo Int Care occ" fld="4"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caption="Sum of Paed Int Care Avail"/>
    <pivotHierarchy dragToRow="0" dragToCol="0" dragToPage="0" dragToData="1" caption="Sum of Paed Int Care Occ"/>
    <pivotHierarchy dragToRow="0" dragToCol="0" dragToPage="0" dragToData="1" caption="Sum of Neo Int Care Avail"/>
    <pivotHierarchy dragToRow="0" dragToCol="0" dragToPage="0" dragToData="1" caption="Sum of Neo Int Care 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2">
    <colHierarchyUsage hierarchyUsage="94"/>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35.xml><?xml version="1.0" encoding="utf-8"?>
<pivotTableDefinition xmlns="http://schemas.openxmlformats.org/spreadsheetml/2006/main" xmlns:mc="http://schemas.openxmlformats.org/markup-compatibility/2006" xmlns:xr="http://schemas.microsoft.com/office/spreadsheetml/2014/revision" mc:Ignorable="xr" xr:uid="{00000000-0007-0000-0900-000001000000}" name="PivotTable12" cacheId="4" applyNumberFormats="0" applyBorderFormats="0" applyFontFormats="0" applyPatternFormats="0" applyAlignmentFormats="0" applyWidthHeightFormats="1" dataCaption="Values" tag="eaf9b400-a2bd-43d0-8ba9-4bd3d8b1e3c8" updatedVersion="8" minRefreshableVersion="3" useAutoFormatting="1" subtotalHiddenItems="1" rowGrandTotals="0" itemPrintTitles="1" createdVersion="4" indent="0" outline="1" outlineData="1" multipleFieldFilters="0">
  <location ref="X5:AV15" firstHeaderRow="1" firstDataRow="3" firstDataCol="1" rowPageCount="1" colPageCount="1"/>
  <pivotFields count="7">
    <pivotField allDrilled="1" showAll="0" dataSourceSort="1" defaultAttributeDrillState="1"/>
    <pivotField dataField="1" showAll="0"/>
    <pivotField dataField="1" showAll="0"/>
    <pivotField axis="axisCol" allDrilled="1" showAll="0" dataSourceSort="1" defaultAttributeDrillState="1">
      <items count="8">
        <item x="0"/>
        <item x="1"/>
        <item x="2"/>
        <item x="3"/>
        <item x="4"/>
        <item x="5"/>
        <item x="6"/>
        <item t="default"/>
      </items>
    </pivotField>
    <pivotField axis="axisRow" allDrilled="1" showAll="0" dataSourceSort="1" defaultAttributeDrillState="1">
      <items count="9">
        <item x="0"/>
        <item x="1"/>
        <item x="2"/>
        <item x="3"/>
        <item x="4"/>
        <item x="5"/>
        <item x="6"/>
        <item x="7"/>
        <item t="default"/>
      </items>
    </pivotField>
    <pivotField axis="axisPage" allDrilled="1" showAll="0" dataSourceSort="1" defaultAttributeDrillState="1">
      <items count="1">
        <item t="default"/>
      </items>
    </pivotField>
    <pivotField dataField="1" showAll="0"/>
  </pivotFields>
  <rowFields count="1">
    <field x="4"/>
  </rowFields>
  <rowItems count="8">
    <i>
      <x/>
    </i>
    <i>
      <x v="1"/>
    </i>
    <i>
      <x v="2"/>
    </i>
    <i>
      <x v="3"/>
    </i>
    <i>
      <x v="4"/>
    </i>
    <i>
      <x v="5"/>
    </i>
    <i>
      <x v="6"/>
    </i>
    <i>
      <x v="7"/>
    </i>
  </rowItems>
  <colFields count="2">
    <field x="3"/>
    <field x="-2"/>
  </colFields>
  <colItems count="24">
    <i>
      <x/>
      <x/>
    </i>
    <i r="1" i="1">
      <x v="1"/>
    </i>
    <i r="1" i="2">
      <x v="2"/>
    </i>
    <i>
      <x v="1"/>
      <x/>
    </i>
    <i r="1" i="1">
      <x v="1"/>
    </i>
    <i r="1" i="2">
      <x v="2"/>
    </i>
    <i>
      <x v="2"/>
      <x/>
    </i>
    <i r="1" i="1">
      <x v="1"/>
    </i>
    <i r="1" i="2">
      <x v="2"/>
    </i>
    <i>
      <x v="3"/>
      <x/>
    </i>
    <i r="1" i="1">
      <x v="1"/>
    </i>
    <i r="1" i="2">
      <x v="2"/>
    </i>
    <i>
      <x v="4"/>
      <x/>
    </i>
    <i r="1" i="1">
      <x v="1"/>
    </i>
    <i r="1" i="2">
      <x v="2"/>
    </i>
    <i>
      <x v="5"/>
      <x/>
    </i>
    <i r="1" i="1">
      <x v="1"/>
    </i>
    <i r="1" i="2">
      <x v="2"/>
    </i>
    <i>
      <x v="6"/>
      <x/>
    </i>
    <i r="1" i="1">
      <x v="1"/>
    </i>
    <i r="1" i="2">
      <x v="2"/>
    </i>
    <i t="grand">
      <x/>
    </i>
    <i t="grand" i="1">
      <x/>
    </i>
    <i t="grand" i="2">
      <x/>
    </i>
  </colItems>
  <pageFields count="1">
    <pageField fld="5" hier="8" name="[Ambulance - Winter Sitreps].[Year].&amp;[2024/25]" cap="2024/25"/>
  </pageFields>
  <dataFields count="3">
    <dataField name="Sum of Amb arrivals" fld="1" baseField="0" baseItem="0"/>
    <dataField name="Sum of Amb delays over 30 mins" fld="6" baseField="0" baseItem="0"/>
    <dataField name="Sum of Amb delays over 60 mins" fld="2"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Ambulance - Winter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2/23]"/>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caption="Sum of Beds closed norovius unocc"/>
    <pivotHierarchy dragToRow="0" dragToCol="0" dragToPage="0" dragToData="1" caption="Sum of Amb arrivals"/>
    <pivotHierarchy dragToRow="0" dragToCol="0" dragToPage="0" dragToData="1" caption="30-60 mins"/>
    <pivotHierarchy dragToRow="0" dragToCol="0" dragToPage="0" dragToData="1" caption="over 60 min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
  </rowHierarchiesUsage>
  <colHierarchiesUsage count="2">
    <colHierarchyUsage hierarchyUsage="5"/>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activeTabTopLevelEntity name="[Ambulance - Winter Sitreps]"/>
      </x15:pivotTableUISettings>
    </ext>
    <ext xmlns:xpdl="http://schemas.microsoft.com/office/spreadsheetml/2016/pivotdefaultlayout" uri="{747A6164-185A-40DC-8AA5-F01512510D54}">
      <xpdl:pivotTableDefinition16/>
    </ext>
  </extLst>
</pivotTableDefinition>
</file>

<file path=xl/pivotTables/pivotTable36.xml><?xml version="1.0" encoding="utf-8"?>
<pivotTableDefinition xmlns="http://schemas.openxmlformats.org/spreadsheetml/2006/main" xmlns:mc="http://schemas.openxmlformats.org/markup-compatibility/2006" xmlns:xr="http://schemas.microsoft.com/office/spreadsheetml/2014/revision" mc:Ignorable="xr" xr:uid="{00000000-0007-0000-0900-000000000000}" name="PivotTable11" cacheId="3" applyNumberFormats="0" applyBorderFormats="0" applyFontFormats="0" applyPatternFormats="0" applyAlignmentFormats="0" applyWidthHeightFormats="1" dataCaption="Values" tag="164ea269-92fe-49b9-9646-baab7f3a2050" updatedVersion="8" minRefreshableVersion="3" useAutoFormatting="1" subtotalHiddenItems="1" rowGrandTotals="0" itemPrintTitles="1" createdVersion="4" indent="0" outline="1" outlineData="1" multipleFieldFilters="0">
  <location ref="B5:J14" firstHeaderRow="1" firstDataRow="2" firstDataCol="1" rowPageCount="1" colPageCount="1"/>
  <pivotFields count="5">
    <pivotField allDrilled="1" showAll="0" dataSourceSort="1" defaultAttributeDrillState="1"/>
    <pivotField axis="axisCol" allDrilled="1" showAll="0" dataSourceSort="1" defaultAttributeDrillState="1">
      <items count="8">
        <item x="0"/>
        <item x="1"/>
        <item x="2"/>
        <item x="3"/>
        <item x="4"/>
        <item x="5"/>
        <item x="6"/>
        <item t="default"/>
      </items>
    </pivotField>
    <pivotField axis="axisRow" allDrilled="1" showAll="0" dataSourceSort="1" defaultAttributeDrillState="1">
      <items count="9">
        <item x="0"/>
        <item x="1"/>
        <item x="2"/>
        <item x="3"/>
        <item x="4"/>
        <item x="5"/>
        <item x="6"/>
        <item x="7"/>
        <item t="default"/>
      </items>
    </pivotField>
    <pivotField dataField="1" showAll="0"/>
    <pivotField axis="axisPage" allDrilled="1" showAll="0" dataSourceSort="1" defaultAttributeDrillState="1">
      <items count="1">
        <item t="default"/>
      </items>
    </pivotField>
  </pivotFields>
  <rowFields count="1">
    <field x="2"/>
  </rowFields>
  <rowItems count="8">
    <i>
      <x/>
    </i>
    <i>
      <x v="1"/>
    </i>
    <i>
      <x v="2"/>
    </i>
    <i>
      <x v="3"/>
    </i>
    <i>
      <x v="4"/>
    </i>
    <i>
      <x v="5"/>
    </i>
    <i>
      <x v="6"/>
    </i>
    <i>
      <x v="7"/>
    </i>
  </rowItems>
  <colFields count="1">
    <field x="1"/>
  </colFields>
  <colItems count="8">
    <i>
      <x/>
    </i>
    <i>
      <x v="1"/>
    </i>
    <i>
      <x v="2"/>
    </i>
    <i>
      <x v="3"/>
    </i>
    <i>
      <x v="4"/>
    </i>
    <i>
      <x v="5"/>
    </i>
    <i>
      <x v="6"/>
    </i>
    <i t="grand">
      <x/>
    </i>
  </colItems>
  <pageFields count="1">
    <pageField fld="4" hier="8" name="[Ambulance - Winter Sitreps].[Year].&amp;[2024/25]" cap="2024/25"/>
  </pageFields>
  <dataFields count="1">
    <dataField name="Sum of Amb arrivals"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Ambulance - Winter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3/24]"/>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caption="Sum of Beds closed norovius unocc"/>
    <pivotHierarchy dragToRow="0" dragToCol="0" dragToPage="0" dragToData="1" caption="Sum of Amb arrival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
  </rowHierarchiesUsage>
  <colHierarchiesUsage count="1">
    <colHierarchyUsage hierarchyUsage="5"/>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activeTabTopLevelEntity name="[Ambulance - Winter Sitreps]"/>
      </x15:pivotTableUISettings>
    </ext>
    <ext xmlns:xpdl="http://schemas.microsoft.com/office/spreadsheetml/2016/pivotdefaultlayout" uri="{747A6164-185A-40DC-8AA5-F01512510D54}">
      <xpdl:pivotTableDefinition16/>
    </ext>
  </extLst>
</pivotTableDefinition>
</file>

<file path=xl/pivotTables/pivotTable37.xml><?xml version="1.0" encoding="utf-8"?>
<pivotTableDefinition xmlns="http://schemas.openxmlformats.org/spreadsheetml/2006/main" xmlns:mc="http://schemas.openxmlformats.org/markup-compatibility/2006" xmlns:xr="http://schemas.microsoft.com/office/spreadsheetml/2014/revision" mc:Ignorable="xr" xr:uid="{00000000-0007-0000-0900-000002000000}" name="PivotTable13" cacheId="5" applyNumberFormats="0" applyBorderFormats="0" applyFontFormats="0" applyPatternFormats="0" applyAlignmentFormats="0" applyWidthHeightFormats="1" dataCaption="Values" tag="3cb5cdca-36b5-486f-a20e-39ce49e1e44d" updatedVersion="8" minRefreshableVersion="3" useAutoFormatting="1" subtotalHiddenItems="1" rowGrandTotals="0" colGrandTotals="0" itemPrintTitles="1" createdVersion="4" indent="0" outline="1" outlineData="1" multipleFieldFilters="0">
  <location ref="BK5:BS155" firstHeaderRow="1" firstDataRow="2" firstDataCol="1" rowPageCount="1" colPageCount="1"/>
  <pivotFields count="5">
    <pivotField allDrilled="1" showAll="0" defaultAttributeDrillState="1">
      <items count="14">
        <item s="1" x="0"/>
        <item s="1" x="1"/>
        <item s="1" x="6"/>
        <item s="1" x="7"/>
        <item s="1" x="8"/>
        <item s="1" x="9"/>
        <item s="1" x="10"/>
        <item s="1" x="11"/>
        <item s="1" x="12"/>
        <item s="1" x="2"/>
        <item s="1" x="3"/>
        <item s="1" x="4"/>
        <item s="1" x="5"/>
        <item t="default"/>
      </items>
    </pivotField>
    <pivotField dataField="1" showAll="0"/>
    <pivotField axis="axisRow" allDrilled="1" showAll="0" dataSourceSort="1" defaultAttributeDrillState="1">
      <items count="150">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t="default"/>
      </items>
    </pivotField>
    <pivotField axis="axisCol" allDrilled="1" showAll="0" dataSourceSort="1" defaultAttributeDrillState="1">
      <items count="9">
        <item x="0"/>
        <item x="1"/>
        <item x="2"/>
        <item x="3"/>
        <item x="4"/>
        <item x="5"/>
        <item x="6"/>
        <item x="7"/>
        <item t="default"/>
      </items>
    </pivotField>
    <pivotField axis="axisPage" allDrilled="1" showAll="0" dataSourceSort="1" defaultAttributeDrillState="1">
      <items count="1">
        <item t="default"/>
      </items>
    </pivotField>
  </pivotFields>
  <rowFields count="1">
    <field x="2"/>
  </rowFields>
  <rowItems count="149">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i>
      <x v="47"/>
    </i>
    <i>
      <x v="48"/>
    </i>
    <i>
      <x v="49"/>
    </i>
    <i>
      <x v="50"/>
    </i>
    <i>
      <x v="51"/>
    </i>
    <i>
      <x v="52"/>
    </i>
    <i>
      <x v="53"/>
    </i>
    <i>
      <x v="54"/>
    </i>
    <i>
      <x v="55"/>
    </i>
    <i>
      <x v="56"/>
    </i>
    <i>
      <x v="57"/>
    </i>
    <i>
      <x v="58"/>
    </i>
    <i>
      <x v="59"/>
    </i>
    <i>
      <x v="60"/>
    </i>
    <i>
      <x v="61"/>
    </i>
    <i>
      <x v="62"/>
    </i>
    <i>
      <x v="63"/>
    </i>
    <i>
      <x v="64"/>
    </i>
    <i>
      <x v="65"/>
    </i>
    <i>
      <x v="66"/>
    </i>
    <i>
      <x v="67"/>
    </i>
    <i>
      <x v="68"/>
    </i>
    <i>
      <x v="69"/>
    </i>
    <i>
      <x v="70"/>
    </i>
    <i>
      <x v="71"/>
    </i>
    <i>
      <x v="72"/>
    </i>
    <i>
      <x v="73"/>
    </i>
    <i>
      <x v="74"/>
    </i>
    <i>
      <x v="75"/>
    </i>
    <i>
      <x v="76"/>
    </i>
    <i>
      <x v="77"/>
    </i>
    <i>
      <x v="78"/>
    </i>
    <i>
      <x v="79"/>
    </i>
    <i>
      <x v="80"/>
    </i>
    <i>
      <x v="81"/>
    </i>
    <i>
      <x v="82"/>
    </i>
    <i>
      <x v="83"/>
    </i>
    <i>
      <x v="84"/>
    </i>
    <i>
      <x v="85"/>
    </i>
    <i>
      <x v="86"/>
    </i>
    <i>
      <x v="87"/>
    </i>
    <i>
      <x v="88"/>
    </i>
    <i>
      <x v="89"/>
    </i>
    <i>
      <x v="90"/>
    </i>
    <i>
      <x v="91"/>
    </i>
    <i>
      <x v="92"/>
    </i>
    <i>
      <x v="93"/>
    </i>
    <i>
      <x v="94"/>
    </i>
    <i>
      <x v="95"/>
    </i>
    <i>
      <x v="96"/>
    </i>
    <i>
      <x v="97"/>
    </i>
    <i>
      <x v="98"/>
    </i>
    <i>
      <x v="99"/>
    </i>
    <i>
      <x v="100"/>
    </i>
    <i>
      <x v="101"/>
    </i>
    <i>
      <x v="102"/>
    </i>
    <i>
      <x v="103"/>
    </i>
    <i>
      <x v="104"/>
    </i>
    <i>
      <x v="105"/>
    </i>
    <i>
      <x v="106"/>
    </i>
    <i>
      <x v="107"/>
    </i>
    <i>
      <x v="108"/>
    </i>
    <i>
      <x v="109"/>
    </i>
    <i>
      <x v="110"/>
    </i>
    <i>
      <x v="111"/>
    </i>
    <i>
      <x v="112"/>
    </i>
    <i>
      <x v="113"/>
    </i>
    <i>
      <x v="114"/>
    </i>
    <i>
      <x v="115"/>
    </i>
    <i>
      <x v="116"/>
    </i>
    <i>
      <x v="117"/>
    </i>
    <i>
      <x v="118"/>
    </i>
    <i>
      <x v="119"/>
    </i>
    <i>
      <x v="120"/>
    </i>
    <i>
      <x v="121"/>
    </i>
    <i>
      <x v="122"/>
    </i>
    <i>
      <x v="123"/>
    </i>
    <i>
      <x v="124"/>
    </i>
    <i>
      <x v="125"/>
    </i>
    <i>
      <x v="126"/>
    </i>
    <i>
      <x v="127"/>
    </i>
    <i>
      <x v="128"/>
    </i>
    <i>
      <x v="129"/>
    </i>
    <i>
      <x v="130"/>
    </i>
    <i>
      <x v="131"/>
    </i>
    <i>
      <x v="132"/>
    </i>
    <i>
      <x v="133"/>
    </i>
    <i>
      <x v="134"/>
    </i>
    <i>
      <x v="135"/>
    </i>
    <i>
      <x v="136"/>
    </i>
    <i>
      <x v="137"/>
    </i>
    <i>
      <x v="138"/>
    </i>
    <i>
      <x v="139"/>
    </i>
    <i>
      <x v="140"/>
    </i>
    <i>
      <x v="141"/>
    </i>
    <i>
      <x v="142"/>
    </i>
    <i>
      <x v="143"/>
    </i>
    <i>
      <x v="144"/>
    </i>
    <i>
      <x v="145"/>
    </i>
    <i>
      <x v="146"/>
    </i>
    <i>
      <x v="147"/>
    </i>
    <i>
      <x v="148"/>
    </i>
  </rowItems>
  <colFields count="1">
    <field x="3"/>
  </colFields>
  <colItems count="8">
    <i>
      <x/>
    </i>
    <i>
      <x v="1"/>
    </i>
    <i>
      <x v="2"/>
    </i>
    <i>
      <x v="3"/>
    </i>
    <i>
      <x v="4"/>
    </i>
    <i>
      <x v="5"/>
    </i>
    <i>
      <x v="6"/>
    </i>
    <i>
      <x v="7"/>
    </i>
  </colItems>
  <pageFields count="1">
    <pageField fld="4" hier="8" name="[Ambulance - Winter Sitreps].[Year].&amp;[2024/25]" cap="2024/25"/>
  </pageFields>
  <dataFields count="1">
    <dataField name="Sum of Amb delays over 60 mins" fld="1"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Ambulance - Winter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caption="Sum of Beds closed norovius unocc"/>
    <pivotHierarchy dragToRow="0" dragToCol="0" dragToPage="0" dragToData="1" caption="Sum of Amb arrivals"/>
    <pivotHierarchy dragToRow="0" dragToCol="0" dragToPage="0" dragToData="1" caption="30-60 mins"/>
    <pivotHierarchy dragToRow="0" dragToCol="0" dragToPage="0" dragToData="1" caption="Sum of Amb delays over 60 min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
  </rowHierarchiesUsage>
  <colHierarchiesUsage count="1">
    <colHierarchyUsage hierarchyUsage="10"/>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activeTabTopLevelEntity name="[Ambulance - Winter Sitreps]"/>
      </x15:pivotTableUISettings>
    </ext>
    <ext xmlns:xpdl="http://schemas.microsoft.com/office/spreadsheetml/2016/pivotdefaultlayout" uri="{747A6164-185A-40DC-8AA5-F01512510D54}">
      <xpdl:pivotTableDefinition16/>
    </ext>
  </extLst>
</pivotTableDefinition>
</file>

<file path=xl/pivotTables/pivotTable38.xml><?xml version="1.0" encoding="utf-8"?>
<pivotTableDefinition xmlns="http://schemas.openxmlformats.org/spreadsheetml/2006/main" xmlns:mc="http://schemas.openxmlformats.org/markup-compatibility/2006" xmlns:xr="http://schemas.microsoft.com/office/spreadsheetml/2014/revision" mc:Ignorable="xr" xr:uid="{94001900-6581-4E83-BA1B-CCB4E59B568E}" name="PivotTable5" cacheId="2" applyNumberFormats="0" applyBorderFormats="0" applyFontFormats="0" applyPatternFormats="0" applyAlignmentFormats="0" applyWidthHeightFormats="1" dataCaption="Values" updatedVersion="8" minRefreshableVersion="3" useAutoFormatting="1" itemPrintTitles="1" createdVersion="7" indent="0" outline="1" outlineData="1" multipleFieldFilters="0">
  <location ref="M3:U18" firstHeaderRow="0" firstDataRow="1" firstDataCol="1"/>
  <pivotFields count="10">
    <pivotField showAll="0"/>
    <pivotField axis="axisRow" showAll="0">
      <items count="16">
        <item x="0"/>
        <item x="1"/>
        <item h="1" x="14"/>
        <item x="2"/>
        <item x="3"/>
        <item x="4"/>
        <item x="5"/>
        <item x="6"/>
        <item x="7"/>
        <item x="8"/>
        <item x="9"/>
        <item x="10"/>
        <item x="11"/>
        <item x="12"/>
        <item x="13"/>
        <item t="default"/>
      </items>
    </pivotField>
    <pivotField dataField="1" numFmtId="3" showAll="0"/>
    <pivotField dataField="1" numFmtId="3" showAll="0"/>
    <pivotField dataField="1" numFmtId="3" showAll="0"/>
    <pivotField dataField="1" numFmtId="3" showAll="0"/>
    <pivotField dataField="1" numFmtId="3" showAll="0"/>
    <pivotField dataField="1" numFmtId="3" showAll="0"/>
    <pivotField dataField="1" numFmtId="3" showAll="0"/>
    <pivotField dataField="1" numFmtId="3" showAll="0"/>
  </pivotFields>
  <rowFields count="1">
    <field x="1"/>
  </rowFields>
  <rowItems count="15">
    <i>
      <x/>
    </i>
    <i>
      <x v="1"/>
    </i>
    <i>
      <x v="3"/>
    </i>
    <i>
      <x v="4"/>
    </i>
    <i>
      <x v="5"/>
    </i>
    <i>
      <x v="6"/>
    </i>
    <i>
      <x v="7"/>
    </i>
    <i>
      <x v="8"/>
    </i>
    <i>
      <x v="9"/>
    </i>
    <i>
      <x v="10"/>
    </i>
    <i>
      <x v="11"/>
    </i>
    <i>
      <x v="12"/>
    </i>
    <i>
      <x v="13"/>
    </i>
    <i>
      <x v="14"/>
    </i>
    <i t="grand">
      <x/>
    </i>
  </rowItems>
  <colFields count="1">
    <field x="-2"/>
  </colFields>
  <colItems count="8">
    <i>
      <x/>
    </i>
    <i i="1">
      <x v="1"/>
    </i>
    <i i="2">
      <x v="2"/>
    </i>
    <i i="3">
      <x v="3"/>
    </i>
    <i i="4">
      <x v="4"/>
    </i>
    <i i="5">
      <x v="5"/>
    </i>
    <i i="6">
      <x v="6"/>
    </i>
    <i i="7">
      <x v="7"/>
    </i>
  </colItems>
  <dataFields count="8">
    <dataField name="Average of ENGLAND" fld="2" subtotal="average" baseField="1" baseItem="0"/>
    <dataField name="Average of East of England" fld="3" subtotal="average" baseField="1" baseItem="0" numFmtId="1"/>
    <dataField name="Average of London" fld="4" subtotal="average" baseField="1" baseItem="0" numFmtId="1"/>
    <dataField name="Average of Midlands" fld="5" subtotal="average" baseField="1" baseItem="0" numFmtId="1"/>
    <dataField name="Average of North East and Yorkshire" fld="6" subtotal="average" baseField="1" baseItem="0" numFmtId="1"/>
    <dataField name="Average of North West" fld="7" subtotal="average" baseField="1" baseItem="0" numFmtId="1"/>
    <dataField name="Average of South East" fld="8" subtotal="average" baseField="1" baseItem="0" numFmtId="1"/>
    <dataField name="Average of South West" fld="9" subtotal="average" baseField="1" baseItem="0" numFmtId="1"/>
  </dataFields>
  <formats count="3">
    <format dxfId="12">
      <pivotArea collapsedLevelsAreSubtotals="1" fieldPosition="0">
        <references count="2">
          <reference field="4294967294" count="1" selected="0">
            <x v="0"/>
          </reference>
          <reference field="1" count="0"/>
        </references>
      </pivotArea>
    </format>
    <format dxfId="11">
      <pivotArea field="1" grandRow="1" outline="0" collapsedLevelsAreSubtotals="1" axis="axisRow" fieldPosition="0">
        <references count="1">
          <reference field="4294967294" count="1" selected="0">
            <x v="0"/>
          </reference>
        </references>
      </pivotArea>
    </format>
    <format dxfId="10">
      <pivotArea outline="0" collapsedLevelsAreSubtotals="1" fieldPosition="0">
        <references count="1">
          <reference field="4294967294" count="7" selected="0">
            <x v="1"/>
            <x v="2"/>
            <x v="3"/>
            <x v="4"/>
            <x v="5"/>
            <x v="6"/>
            <x v="7"/>
          </reference>
        </references>
      </pivotArea>
    </format>
  </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39.xml><?xml version="1.0" encoding="utf-8"?>
<pivotTableDefinition xmlns="http://schemas.openxmlformats.org/spreadsheetml/2006/main" xmlns:mc="http://schemas.openxmlformats.org/markup-compatibility/2006" xmlns:xr="http://schemas.microsoft.com/office/spreadsheetml/2014/revision" mc:Ignorable="xr" xr:uid="{A62EA7A5-6140-415A-81E3-529FB884F8F0}" name="PivotTable5" cacheId="1" applyNumberFormats="0" applyBorderFormats="0" applyFontFormats="0" applyPatternFormats="0" applyAlignmentFormats="0" applyWidthHeightFormats="1" dataCaption="Values" updatedVersion="8" minRefreshableVersion="3" useAutoFormatting="1" itemPrintTitles="1" createdVersion="7" indent="0" outline="1" outlineData="1" multipleFieldFilters="0">
  <location ref="M3:U18" firstHeaderRow="0" firstDataRow="1" firstDataCol="1"/>
  <pivotFields count="10">
    <pivotField showAll="0"/>
    <pivotField axis="axisRow" showAll="0">
      <items count="16">
        <item x="0"/>
        <item x="1"/>
        <item h="1" x="14"/>
        <item x="2"/>
        <item x="3"/>
        <item x="4"/>
        <item x="5"/>
        <item x="6"/>
        <item x="7"/>
        <item x="8"/>
        <item x="9"/>
        <item x="10"/>
        <item x="11"/>
        <item x="12"/>
        <item x="13"/>
        <item t="default"/>
      </items>
    </pivotField>
    <pivotField dataField="1" numFmtId="3" showAll="0"/>
    <pivotField dataField="1" numFmtId="3" showAll="0"/>
    <pivotField dataField="1" numFmtId="3" showAll="0"/>
    <pivotField dataField="1" numFmtId="3" showAll="0"/>
    <pivotField dataField="1" numFmtId="3" showAll="0"/>
    <pivotField dataField="1" numFmtId="3" showAll="0"/>
    <pivotField dataField="1" numFmtId="3" showAll="0"/>
    <pivotField dataField="1" numFmtId="3" showAll="0"/>
  </pivotFields>
  <rowFields count="1">
    <field x="1"/>
  </rowFields>
  <rowItems count="15">
    <i>
      <x/>
    </i>
    <i>
      <x v="1"/>
    </i>
    <i>
      <x v="3"/>
    </i>
    <i>
      <x v="4"/>
    </i>
    <i>
      <x v="5"/>
    </i>
    <i>
      <x v="6"/>
    </i>
    <i>
      <x v="7"/>
    </i>
    <i>
      <x v="8"/>
    </i>
    <i>
      <x v="9"/>
    </i>
    <i>
      <x v="10"/>
    </i>
    <i>
      <x v="11"/>
    </i>
    <i>
      <x v="12"/>
    </i>
    <i>
      <x v="13"/>
    </i>
    <i>
      <x v="14"/>
    </i>
    <i t="grand">
      <x/>
    </i>
  </rowItems>
  <colFields count="1">
    <field x="-2"/>
  </colFields>
  <colItems count="8">
    <i>
      <x/>
    </i>
    <i i="1">
      <x v="1"/>
    </i>
    <i i="2">
      <x v="2"/>
    </i>
    <i i="3">
      <x v="3"/>
    </i>
    <i i="4">
      <x v="4"/>
    </i>
    <i i="5">
      <x v="5"/>
    </i>
    <i i="6">
      <x v="6"/>
    </i>
    <i i="7">
      <x v="7"/>
    </i>
  </colItems>
  <dataFields count="8">
    <dataField name="Average of ENGLAND" fld="2" subtotal="average" baseField="1" baseItem="0"/>
    <dataField name="Average of East of England" fld="3" subtotal="average" baseField="1" baseItem="0" numFmtId="1"/>
    <dataField name="Average of London" fld="4" subtotal="average" baseField="1" baseItem="0" numFmtId="1"/>
    <dataField name="Average of Midlands" fld="5" subtotal="average" baseField="1" baseItem="0" numFmtId="1"/>
    <dataField name="Average of North East and Yorkshire" fld="6" subtotal="average" baseField="1" baseItem="0" numFmtId="1"/>
    <dataField name="Average of North West" fld="7" subtotal="average" baseField="1" baseItem="0" numFmtId="1"/>
    <dataField name="Average of South East" fld="8" subtotal="average" baseField="1" baseItem="0" numFmtId="1"/>
    <dataField name="Average of South West" fld="9" subtotal="average" baseField="1" baseItem="0" numFmtId="1"/>
  </dataFields>
  <formats count="3">
    <format dxfId="9">
      <pivotArea collapsedLevelsAreSubtotals="1" fieldPosition="0">
        <references count="2">
          <reference field="4294967294" count="1" selected="0">
            <x v="0"/>
          </reference>
          <reference field="1" count="0"/>
        </references>
      </pivotArea>
    </format>
    <format dxfId="8">
      <pivotArea field="1" grandRow="1" outline="0" collapsedLevelsAreSubtotals="1" axis="axisRow" fieldPosition="0">
        <references count="1">
          <reference field="4294967294" count="1" selected="0">
            <x v="0"/>
          </reference>
        </references>
      </pivotArea>
    </format>
    <format dxfId="7">
      <pivotArea outline="0" collapsedLevelsAreSubtotals="1" fieldPosition="0">
        <references count="1">
          <reference field="4294967294" count="7" selected="0">
            <x v="1"/>
            <x v="2"/>
            <x v="3"/>
            <x v="4"/>
            <x v="5"/>
            <x v="6"/>
            <x v="7"/>
          </reference>
        </references>
      </pivotArea>
    </format>
  </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40.xml><?xml version="1.0" encoding="utf-8"?>
<pivotTableDefinition xmlns="http://schemas.openxmlformats.org/spreadsheetml/2006/main" xmlns:mc="http://schemas.openxmlformats.org/markup-compatibility/2006" xmlns:xr="http://schemas.microsoft.com/office/spreadsheetml/2014/revision" mc:Ignorable="xr" xr:uid="{FE91DA30-DDF0-4AED-8078-501C95ABE206}" name="PivotTable5" cacheId="0" applyNumberFormats="0" applyBorderFormats="0" applyFontFormats="0" applyPatternFormats="0" applyAlignmentFormats="0" applyWidthHeightFormats="1" dataCaption="Values" updatedVersion="8" minRefreshableVersion="3" useAutoFormatting="1" itemPrintTitles="1" createdVersion="7" indent="0" outline="1" outlineData="1" multipleFieldFilters="0">
  <location ref="M3:U18" firstHeaderRow="0" firstDataRow="1" firstDataCol="1"/>
  <pivotFields count="10">
    <pivotField showAll="0"/>
    <pivotField axis="axisRow" showAll="0">
      <items count="16">
        <item x="0"/>
        <item x="1"/>
        <item h="1" x="14"/>
        <item x="2"/>
        <item x="3"/>
        <item x="4"/>
        <item x="5"/>
        <item x="6"/>
        <item x="7"/>
        <item x="8"/>
        <item x="9"/>
        <item x="10"/>
        <item x="11"/>
        <item x="12"/>
        <item x="13"/>
        <item t="default"/>
      </items>
    </pivotField>
    <pivotField dataField="1" numFmtId="3" showAll="0"/>
    <pivotField dataField="1" numFmtId="3" showAll="0"/>
    <pivotField dataField="1" numFmtId="3" showAll="0"/>
    <pivotField dataField="1" numFmtId="3" showAll="0"/>
    <pivotField dataField="1" numFmtId="3" showAll="0"/>
    <pivotField dataField="1" numFmtId="3" showAll="0"/>
    <pivotField dataField="1" numFmtId="3" showAll="0"/>
    <pivotField dataField="1" numFmtId="3" showAll="0"/>
  </pivotFields>
  <rowFields count="1">
    <field x="1"/>
  </rowFields>
  <rowItems count="15">
    <i>
      <x/>
    </i>
    <i>
      <x v="1"/>
    </i>
    <i>
      <x v="3"/>
    </i>
    <i>
      <x v="4"/>
    </i>
    <i>
      <x v="5"/>
    </i>
    <i>
      <x v="6"/>
    </i>
    <i>
      <x v="7"/>
    </i>
    <i>
      <x v="8"/>
    </i>
    <i>
      <x v="9"/>
    </i>
    <i>
      <x v="10"/>
    </i>
    <i>
      <x v="11"/>
    </i>
    <i>
      <x v="12"/>
    </i>
    <i>
      <x v="13"/>
    </i>
    <i>
      <x v="14"/>
    </i>
    <i t="grand">
      <x/>
    </i>
  </rowItems>
  <colFields count="1">
    <field x="-2"/>
  </colFields>
  <colItems count="8">
    <i>
      <x/>
    </i>
    <i i="1">
      <x v="1"/>
    </i>
    <i i="2">
      <x v="2"/>
    </i>
    <i i="3">
      <x v="3"/>
    </i>
    <i i="4">
      <x v="4"/>
    </i>
    <i i="5">
      <x v="5"/>
    </i>
    <i i="6">
      <x v="6"/>
    </i>
    <i i="7">
      <x v="7"/>
    </i>
  </colItems>
  <dataFields count="8">
    <dataField name="Average of ENGLAND" fld="2" subtotal="average" baseField="1" baseItem="0"/>
    <dataField name="Average of East of England" fld="3" subtotal="average" baseField="1" baseItem="0" numFmtId="1"/>
    <dataField name="Average of London" fld="4" subtotal="average" baseField="1" baseItem="0" numFmtId="1"/>
    <dataField name="Average of Midlands" fld="5" subtotal="average" baseField="1" baseItem="0" numFmtId="1"/>
    <dataField name="Average of North East and Yorkshire" fld="6" subtotal="average" baseField="1" baseItem="0" numFmtId="1"/>
    <dataField name="Average of North West" fld="7" subtotal="average" baseField="1" baseItem="0" numFmtId="1"/>
    <dataField name="Average of South East" fld="8" subtotal="average" baseField="1" baseItem="0" numFmtId="1"/>
    <dataField name="Average of South West" fld="9" subtotal="average" baseField="1" baseItem="0" numFmtId="1"/>
  </dataFields>
  <formats count="3">
    <format dxfId="6">
      <pivotArea collapsedLevelsAreSubtotals="1" fieldPosition="0">
        <references count="2">
          <reference field="4294967294" count="1" selected="0">
            <x v="0"/>
          </reference>
          <reference field="1" count="0"/>
        </references>
      </pivotArea>
    </format>
    <format dxfId="5">
      <pivotArea field="1" grandRow="1" outline="0" collapsedLevelsAreSubtotals="1" axis="axisRow" fieldPosition="0">
        <references count="1">
          <reference field="4294967294" count="1" selected="0">
            <x v="0"/>
          </reference>
        </references>
      </pivotArea>
    </format>
    <format dxfId="4">
      <pivotArea outline="0" collapsedLevelsAreSubtotals="1" fieldPosition="0">
        <references count="1">
          <reference field="4294967294" count="7" selected="0">
            <x v="1"/>
            <x v="2"/>
            <x v="3"/>
            <x v="4"/>
            <x v="5"/>
            <x v="6"/>
            <x v="7"/>
          </reference>
        </references>
      </pivotArea>
    </format>
  </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41.xml><?xml version="1.0" encoding="utf-8"?>
<pivotTableDefinition xmlns="http://schemas.openxmlformats.org/spreadsheetml/2006/main" xmlns:mc="http://schemas.openxmlformats.org/markup-compatibility/2006" xmlns:xr="http://schemas.microsoft.com/office/spreadsheetml/2014/revision" mc:Ignorable="xr" xr:uid="{A3FF38E8-1B42-4E74-B617-A45046D1B2E4}" name="PivotTable3" cacheId="9" applyNumberFormats="0" applyBorderFormats="0" applyFontFormats="0" applyPatternFormats="0" applyAlignmentFormats="0" applyWidthHeightFormats="1" dataCaption="Values" tag="f2df2dbd-6e59-4f2a-b3aa-5cd2994513c5" updatedVersion="8" minRefreshableVersion="3" useAutoFormatting="1" subtotalHiddenItems="1" itemPrintTitles="1" createdVersion="5" indent="0" outline="1" outlineData="1" multipleFieldFilters="0">
  <location ref="BK5:BS15" firstHeaderRow="1" firstDataRow="2" firstDataCol="1" rowPageCount="1" colPageCount="1"/>
  <pivotFields count="4">
    <pivotField dataField="1" subtotalTop="0" showAll="0" defaultSubtotal="0"/>
    <pivotField axis="axisRow" allDrilled="1" subtotalTop="0" showAll="0" dataSourceSort="1" defaultSubtotal="0" defaultAttributeDrillState="1">
      <items count="8">
        <item x="0"/>
        <item x="1"/>
        <item x="2"/>
        <item x="3"/>
        <item x="4"/>
        <item x="5"/>
        <item x="6"/>
        <item x="7"/>
      </items>
    </pivotField>
    <pivotField axis="axisPage" allDrilled="1" subtotalTop="0" showAll="0" dataSourceSort="1" defaultSubtotal="0" defaultAttributeDrillState="1"/>
    <pivotField axis="axisCol" allDrilled="1" subtotalTop="0" showAll="0" dataSourceSort="1" defaultSubtotal="0" defaultAttributeDrillState="1">
      <items count="7">
        <item x="0"/>
        <item x="1"/>
        <item x="2"/>
        <item x="3"/>
        <item x="4"/>
        <item x="5"/>
        <item x="6"/>
      </items>
    </pivotField>
  </pivotFields>
  <rowFields count="1">
    <field x="1"/>
  </rowFields>
  <rowItems count="9">
    <i>
      <x/>
    </i>
    <i>
      <x v="1"/>
    </i>
    <i>
      <x v="2"/>
    </i>
    <i>
      <x v="3"/>
    </i>
    <i>
      <x v="4"/>
    </i>
    <i>
      <x v="5"/>
    </i>
    <i>
      <x v="6"/>
    </i>
    <i>
      <x v="7"/>
    </i>
    <i t="grand">
      <x/>
    </i>
  </rowItems>
  <colFields count="1">
    <field x="3"/>
  </colFields>
  <colItems count="8">
    <i>
      <x/>
    </i>
    <i>
      <x v="1"/>
    </i>
    <i>
      <x v="2"/>
    </i>
    <i>
      <x v="3"/>
    </i>
    <i>
      <x v="4"/>
    </i>
    <i>
      <x v="5"/>
    </i>
    <i>
      <x v="6"/>
    </i>
    <i t="grand">
      <x/>
    </i>
  </colItems>
  <pageFields count="1">
    <pageField fld="2" hier="26" name="[Discharge weekly winter sitreps].[Year].&amp;[2024/25]" cap="2024/25"/>
  </pageFields>
  <dataFields count="1">
    <dataField name="Sum of Patients remaining in hospital who no longer meet the criteria to reside" fld="0" baseField="0" baseItem="0"/>
  </dataFields>
  <formats count="1">
    <format dxfId="0">
      <pivotArea outline="0" collapsedLevelsAreSubtotals="1" fieldPosition="0"/>
    </format>
  </format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Discharge weekly winter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28"/>
  </rowHierarchiesUsage>
  <colHierarchiesUsage count="1">
    <colHierarchyUsage hierarchyUsage="23"/>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Discharge weekly winter sitreps]"/>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42.xml><?xml version="1.0" encoding="utf-8"?>
<pivotTableDefinition xmlns="http://schemas.openxmlformats.org/spreadsheetml/2006/main" xmlns:mc="http://schemas.openxmlformats.org/markup-compatibility/2006" xmlns:xr="http://schemas.microsoft.com/office/spreadsheetml/2014/revision" mc:Ignorable="xr" xr:uid="{73A7F5F9-5BDB-4FC2-BD9E-17B0930D4E47}" name="PivotTable5" cacheId="7" applyNumberFormats="0" applyBorderFormats="0" applyFontFormats="0" applyPatternFormats="0" applyAlignmentFormats="0" applyWidthHeightFormats="1" dataCaption="Values" tag="46f6f05c-f356-4129-b0c1-dc6ea82c6e6e" updatedVersion="8" minRefreshableVersion="3" useAutoFormatting="1" subtotalHiddenItems="1" itemPrintTitles="1" createdVersion="5" indent="0" outline="1" outlineData="1" multipleFieldFilters="0">
  <location ref="H5:P15" firstHeaderRow="1" firstDataRow="2" firstDataCol="1" rowPageCount="1" colPageCount="1"/>
  <pivotFields count="4">
    <pivotField axis="axisCol" allDrilled="1" subtotalTop="0" showAll="0" dataSourceSort="1" defaultSubtotal="0" defaultAttributeDrillState="1">
      <items count="7">
        <item x="0"/>
        <item x="1"/>
        <item x="2"/>
        <item x="3"/>
        <item x="4"/>
        <item x="5"/>
        <item x="6"/>
      </items>
    </pivotField>
    <pivotField axis="axisPage" allDrilled="1" subtotalTop="0" showAll="0" dataSourceSort="1" defaultSubtotal="0" defaultAttributeDrillState="1"/>
    <pivotField axis="axisRow" allDrilled="1" subtotalTop="0" showAll="0" dataSourceSort="1" defaultSubtotal="0" defaultAttributeDrillState="1">
      <items count="8">
        <item x="0"/>
        <item x="1"/>
        <item x="2"/>
        <item x="3"/>
        <item x="4"/>
        <item x="5"/>
        <item x="6"/>
        <item x="7"/>
      </items>
    </pivotField>
    <pivotField dataField="1" subtotalTop="0" showAll="0" defaultSubtotal="0"/>
  </pivotFields>
  <rowFields count="1">
    <field x="2"/>
  </rowFields>
  <rowItems count="9">
    <i>
      <x/>
    </i>
    <i>
      <x v="1"/>
    </i>
    <i>
      <x v="2"/>
    </i>
    <i>
      <x v="3"/>
    </i>
    <i>
      <x v="4"/>
    </i>
    <i>
      <x v="5"/>
    </i>
    <i>
      <x v="6"/>
    </i>
    <i>
      <x v="7"/>
    </i>
    <i t="grand">
      <x/>
    </i>
  </rowItems>
  <colFields count="1">
    <field x="0"/>
  </colFields>
  <colItems count="8">
    <i>
      <x/>
    </i>
    <i>
      <x v="1"/>
    </i>
    <i>
      <x v="2"/>
    </i>
    <i>
      <x v="3"/>
    </i>
    <i>
      <x v="4"/>
    </i>
    <i>
      <x v="5"/>
    </i>
    <i>
      <x v="6"/>
    </i>
    <i t="grand">
      <x/>
    </i>
  </colItems>
  <pageFields count="1">
    <pageField fld="1" hier="26" name="[Discharge weekly winter sitreps].[Year].&amp;[2024/25]" cap="2024/25"/>
  </pageFields>
  <dataFields count="1">
    <dataField name="Sum of Patients who no longer meet the criteria to reside" fld="3" baseField="0" baseItem="0"/>
  </dataFields>
  <formats count="1">
    <format dxfId="1">
      <pivotArea outline="0" collapsedLevelsAreSubtotals="1" fieldPosition="0"/>
    </format>
  </format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Discharge weekly winter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28"/>
  </rowHierarchiesUsage>
  <colHierarchiesUsage count="1">
    <colHierarchyUsage hierarchyUsage="23"/>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Discharge weekly winter sitreps]"/>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43.xml><?xml version="1.0" encoding="utf-8"?>
<pivotTableDefinition xmlns="http://schemas.openxmlformats.org/spreadsheetml/2006/main" xmlns:mc="http://schemas.openxmlformats.org/markup-compatibility/2006" xmlns:xr="http://schemas.microsoft.com/office/spreadsheetml/2014/revision" mc:Ignorable="xr" xr:uid="{7E8A0120-8B9D-4F16-90D0-3FE02003FCB9}" name="PivotTable2" cacheId="8" applyNumberFormats="0" applyBorderFormats="0" applyFontFormats="0" applyPatternFormats="0" applyAlignmentFormats="0" applyWidthHeightFormats="1" dataCaption="Values" tag="4e5ec06b-d49f-450a-844b-1f063cb3a18a" updatedVersion="8" minRefreshableVersion="3" useAutoFormatting="1" subtotalHiddenItems="1" itemPrintTitles="1" createdVersion="7" indent="0" outline="1" outlineData="1" multipleFieldFilters="0">
  <location ref="AE5:AU16" firstHeaderRow="1" firstDataRow="3" firstDataCol="1" rowPageCount="1" colPageCount="1"/>
  <pivotFields count="5">
    <pivotField axis="axisRow" allDrilled="1" subtotalTop="0" showAll="0" dataSourceSort="1" defaultSubtotal="0" defaultAttributeDrillState="1">
      <items count="8">
        <item x="0"/>
        <item x="1"/>
        <item x="2"/>
        <item x="3"/>
        <item x="4"/>
        <item x="5"/>
        <item x="6"/>
        <item x="7"/>
      </items>
    </pivotField>
    <pivotField axis="axisPage" allDrilled="1" subtotalTop="0" showAll="0" dataSourceSort="1" defaultSubtotal="0" defaultAttributeDrillState="1"/>
    <pivotField dataField="1" subtotalTop="0" showAll="0" defaultSubtotal="0"/>
    <pivotField dataField="1" subtotalTop="0" showAll="0" defaultSubtotal="0"/>
    <pivotField axis="axisCol" allDrilled="1" subtotalTop="0" showAll="0" dataSourceSort="1" defaultSubtotal="0" defaultAttributeDrillState="1">
      <items count="7">
        <item x="0"/>
        <item x="1"/>
        <item x="2"/>
        <item x="3"/>
        <item x="4"/>
        <item x="5"/>
        <item x="6"/>
      </items>
    </pivotField>
  </pivotFields>
  <rowFields count="1">
    <field x="0"/>
  </rowFields>
  <rowItems count="9">
    <i>
      <x/>
    </i>
    <i>
      <x v="1"/>
    </i>
    <i>
      <x v="2"/>
    </i>
    <i>
      <x v="3"/>
    </i>
    <i>
      <x v="4"/>
    </i>
    <i>
      <x v="5"/>
    </i>
    <i>
      <x v="6"/>
    </i>
    <i>
      <x v="7"/>
    </i>
    <i t="grand">
      <x/>
    </i>
  </rowItems>
  <colFields count="2">
    <field x="4"/>
    <field x="-2"/>
  </colFields>
  <colItems count="16">
    <i>
      <x/>
      <x/>
    </i>
    <i r="1" i="1">
      <x v="1"/>
    </i>
    <i>
      <x v="1"/>
      <x/>
    </i>
    <i r="1" i="1">
      <x v="1"/>
    </i>
    <i>
      <x v="2"/>
      <x/>
    </i>
    <i r="1" i="1">
      <x v="1"/>
    </i>
    <i>
      <x v="3"/>
      <x/>
    </i>
    <i r="1" i="1">
      <x v="1"/>
    </i>
    <i>
      <x v="4"/>
      <x/>
    </i>
    <i r="1" i="1">
      <x v="1"/>
    </i>
    <i>
      <x v="5"/>
      <x/>
    </i>
    <i r="1" i="1">
      <x v="1"/>
    </i>
    <i>
      <x v="6"/>
      <x/>
    </i>
    <i r="1" i="1">
      <x v="1"/>
    </i>
    <i t="grand">
      <x/>
    </i>
    <i t="grand" i="1">
      <x/>
    </i>
  </colItems>
  <pageFields count="1">
    <pageField fld="1" hier="26" name="[Discharge weekly winter sitreps].[Year].&amp;[2024/25]" cap="2024/25"/>
  </pageFields>
  <dataFields count="2">
    <dataField name="Average of Patients who no longer meet the criteria to reside" fld="2" subtotal="average" baseField="0" baseItem="1"/>
    <dataField name="Average of Patients remaining in hospital who no longer meet the criteria to reside" fld="3" subtotal="average" baseField="0" baseItem="1"/>
  </dataFields>
  <formats count="1">
    <format dxfId="2">
      <pivotArea outline="0" collapsedLevelsAreSubtotals="1" fieldPosition="0"/>
    </format>
  </format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Discharge weekly winter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Average of Patients who no longer meet the criteria to reside"/>
    <pivotHierarchy dragToData="1" caption="Average of Patients remaining in hospital who no longer meet the criteria to reside"/>
    <pivotHierarchy dragToData="1"/>
  </pivotHierarchies>
  <pivotTableStyleInfo name="PivotStyleLight16" showRowHeaders="1" showColHeaders="1" showRowStripes="0" showColStripes="0" showLastColumn="1"/>
  <rowHierarchiesUsage count="1">
    <rowHierarchyUsage hierarchyUsage="28"/>
  </rowHierarchiesUsage>
  <colHierarchiesUsage count="2">
    <colHierarchyUsage hierarchyUsage="23"/>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Discharge weekly winter sitreps]"/>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44.xml><?xml version="1.0" encoding="utf-8"?>
<pivotTableDefinition xmlns="http://schemas.openxmlformats.org/spreadsheetml/2006/main" xmlns:mc="http://schemas.openxmlformats.org/markup-compatibility/2006" xmlns:xr="http://schemas.microsoft.com/office/spreadsheetml/2014/revision" mc:Ignorable="xr" xr:uid="{9ADE800F-0913-4EB6-89C4-EC452D09AC78}" name="PivotTable1" cacheId="6" applyNumberFormats="0" applyBorderFormats="0" applyFontFormats="0" applyPatternFormats="0" applyAlignmentFormats="0" applyWidthHeightFormats="1" dataCaption="Values" tag="8785e524-8975-4f8c-b121-0eb8ee28c874" updatedVersion="8" minRefreshableVersion="3" useAutoFormatting="1" subtotalHiddenItems="1" itemPrintTitles="1" createdVersion="5" indent="0" outline="1" outlineData="1" multipleFieldFilters="0">
  <location ref="C5:E14" firstHeaderRow="0" firstDataRow="1" firstDataCol="1" rowPageCount="1" colPageCount="1"/>
  <pivotFields count="4">
    <pivotField axis="axisPage" allDrilled="1" subtotalTop="0" showAll="0" dataSourceSort="1" defaultSubtotal="0" defaultAttributeDrillState="1"/>
    <pivotField dataField="1" subtotalTop="0" showAll="0" defaultSubtotal="0"/>
    <pivotField dataField="1" subtotalTop="0" showAll="0" defaultSubtotal="0"/>
    <pivotField axis="axisRow" allDrilled="1" subtotalTop="0" showAll="0" dataSourceSort="1" defaultSubtotal="0" defaultAttributeDrillState="1">
      <items count="8">
        <item x="0"/>
        <item x="1"/>
        <item x="2"/>
        <item x="3"/>
        <item x="4"/>
        <item x="5"/>
        <item x="6"/>
        <item x="7"/>
      </items>
    </pivotField>
  </pivotFields>
  <rowFields count="1">
    <field x="3"/>
  </rowFields>
  <rowItems count="9">
    <i>
      <x/>
    </i>
    <i>
      <x v="1"/>
    </i>
    <i>
      <x v="2"/>
    </i>
    <i>
      <x v="3"/>
    </i>
    <i>
      <x v="4"/>
    </i>
    <i>
      <x v="5"/>
    </i>
    <i>
      <x v="6"/>
    </i>
    <i>
      <x v="7"/>
    </i>
    <i t="grand">
      <x/>
    </i>
  </rowItems>
  <colFields count="1">
    <field x="-2"/>
  </colFields>
  <colItems count="2">
    <i>
      <x/>
    </i>
    <i i="1">
      <x v="1"/>
    </i>
  </colItems>
  <pageFields count="1">
    <pageField fld="0" hier="26" name="[Discharge weekly winter sitreps].[Year].&amp;[2024/25]" cap="2024/25"/>
  </pageFields>
  <dataFields count="2">
    <dataField name="Sum of Patients who no longer meet the criteria to reside" fld="1" baseField="0" baseItem="0"/>
    <dataField name="Sum of Patients remaining in hospital who no longer meet the criteria to reside" fld="2" baseField="0" baseItem="0"/>
  </dataFields>
  <formats count="1">
    <format dxfId="3">
      <pivotArea outline="0" collapsedLevelsAreSubtotals="1" fieldPosition="0"/>
    </format>
  </format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Discharge weekly winter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28"/>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Discharge weekly winter sitreps]"/>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45.xml><?xml version="1.0" encoding="utf-8"?>
<pivotTableDefinition xmlns="http://schemas.openxmlformats.org/spreadsheetml/2006/main" xmlns:mc="http://schemas.openxmlformats.org/markup-compatibility/2006" xmlns:xr="http://schemas.microsoft.com/office/spreadsheetml/2014/revision" mc:Ignorable="xr" xr:uid="{EE08FB85-C8F1-44C8-B16D-10BA0D8BB831}" name="PivotTable3" cacheId="14" applyNumberFormats="0" applyBorderFormats="0" applyFontFormats="0" applyPatternFormats="0" applyAlignmentFormats="0" applyWidthHeightFormats="1" dataCaption="Values" tag="452ac122-c6bd-4574-b74e-a5a874759d4d" updatedVersion="8" minRefreshableVersion="3" useAutoFormatting="1" subtotalHiddenItems="1" itemPrintTitles="1" createdVersion="5" indent="0" outline="1" outlineData="1" multipleFieldFilters="0">
  <location ref="G5:O15" firstHeaderRow="1" firstDataRow="2" firstDataCol="1" rowPageCount="1" colPageCount="1"/>
  <pivotFields count="4">
    <pivotField axis="axisPage" allDrilled="1" subtotalTop="0" showAll="0" dataSourceSort="1" defaultSubtotal="0" defaultAttributeDrillState="1"/>
    <pivotField axis="axisCol" allDrilled="1" subtotalTop="0" showAll="0" dataSourceSort="1" defaultSubtotal="0" defaultAttributeDrillState="1">
      <items count="7">
        <item x="0"/>
        <item x="1"/>
        <item x="2"/>
        <item x="3"/>
        <item x="4"/>
        <item x="5"/>
        <item x="6"/>
      </items>
    </pivotField>
    <pivotField dataField="1" subtotalTop="0" showAll="0" defaultSubtotal="0"/>
    <pivotField axis="axisRow" allDrilled="1" subtotalTop="0" showAll="0" dataSourceSort="1" defaultSubtotal="0" defaultAttributeDrillState="1">
      <items count="8">
        <item x="0"/>
        <item x="1"/>
        <item x="2"/>
        <item x="3"/>
        <item x="4"/>
        <item x="5"/>
        <item x="6"/>
        <item x="7"/>
      </items>
    </pivotField>
  </pivotFields>
  <rowFields count="1">
    <field x="3"/>
  </rowFields>
  <rowItems count="9">
    <i>
      <x/>
    </i>
    <i>
      <x v="1"/>
    </i>
    <i>
      <x v="2"/>
    </i>
    <i>
      <x v="3"/>
    </i>
    <i>
      <x v="4"/>
    </i>
    <i>
      <x v="5"/>
    </i>
    <i>
      <x v="6"/>
    </i>
    <i>
      <x v="7"/>
    </i>
    <i t="grand">
      <x/>
    </i>
  </rowItems>
  <colFields count="1">
    <field x="1"/>
  </colFields>
  <colItems count="8">
    <i>
      <x/>
    </i>
    <i>
      <x v="1"/>
    </i>
    <i>
      <x v="2"/>
    </i>
    <i>
      <x v="3"/>
    </i>
    <i>
      <x v="4"/>
    </i>
    <i>
      <x v="5"/>
    </i>
    <i>
      <x v="6"/>
    </i>
    <i t="grand">
      <x/>
    </i>
  </colItems>
  <pageFields count="1">
    <pageField fld="0" hier="95" name="[Winter daily sitreps].[Year].&amp;[2024/25]" cap="2024/25"/>
  </pageFields>
  <dataFields count="1">
    <dataField name="Sum of GA flu beds" fld="2"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1">
    <colHierarchyUsage hierarchyUsage="94"/>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46.xml><?xml version="1.0" encoding="utf-8"?>
<pivotTableDefinition xmlns="http://schemas.openxmlformats.org/spreadsheetml/2006/main" xmlns:mc="http://schemas.openxmlformats.org/markup-compatibility/2006" xmlns:xr="http://schemas.microsoft.com/office/spreadsheetml/2014/revision" mc:Ignorable="xr" xr:uid="{D955A909-58C9-4760-8673-47EA7439280F}" name="PivotTable2" cacheId="15" applyNumberFormats="0" applyBorderFormats="0" applyFontFormats="0" applyPatternFormats="0" applyAlignmentFormats="0" applyWidthHeightFormats="1" dataCaption="Values" tag="ff968105-f457-4a4d-ab20-f10156145164" updatedVersion="8" minRefreshableVersion="3" useAutoFormatting="1" subtotalHiddenItems="1" itemPrintTitles="1" createdVersion="5" indent="0" outline="1" outlineData="1" multipleFieldFilters="0">
  <location ref="B4:D13" firstHeaderRow="0" firstDataRow="1" firstDataCol="1" rowPageCount="1" colPageCount="1"/>
  <pivotFields count="4">
    <pivotField axis="axisPage" allDrilled="1" subtotalTop="0" showAll="0" dataSourceSort="1" defaultSubtotal="0" defaultAttributeDrillState="1"/>
    <pivotField axis="axisRow" allDrilled="1" subtotalTop="0" showAll="0" dataSourceSort="1" defaultSubtotal="0" defaultAttributeDrillState="1">
      <items count="8">
        <item x="0"/>
        <item x="1"/>
        <item x="2"/>
        <item x="3"/>
        <item x="4"/>
        <item x="5"/>
        <item x="6"/>
        <item x="7"/>
      </items>
    </pivotField>
    <pivotField dataField="1" subtotalTop="0" showAll="0" defaultSubtotal="0"/>
    <pivotField dataField="1" subtotalTop="0" showAll="0" defaultSubtotal="0"/>
  </pivotFields>
  <rowFields count="1">
    <field x="1"/>
  </rowFields>
  <rowItems count="9">
    <i>
      <x/>
    </i>
    <i>
      <x v="1"/>
    </i>
    <i>
      <x v="2"/>
    </i>
    <i>
      <x v="3"/>
    </i>
    <i>
      <x v="4"/>
    </i>
    <i>
      <x v="5"/>
    </i>
    <i>
      <x v="6"/>
    </i>
    <i>
      <x v="7"/>
    </i>
    <i t="grand">
      <x/>
    </i>
  </rowItems>
  <colFields count="1">
    <field x="-2"/>
  </colFields>
  <colItems count="2">
    <i>
      <x/>
    </i>
    <i i="1">
      <x v="1"/>
    </i>
  </colItems>
  <pageFields count="1">
    <pageField fld="0" hier="95" name="[Winter daily sitreps].[Year].&amp;[2024/25]" cap="2024/25"/>
  </pageFields>
  <dataFields count="2">
    <dataField name="Sum of GA flu beds" fld="2" baseField="0" baseItem="0"/>
    <dataField name="Sum of CC flu beds"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47.xml><?xml version="1.0" encoding="utf-8"?>
<pivotTableDefinition xmlns="http://schemas.openxmlformats.org/spreadsheetml/2006/main" xmlns:mc="http://schemas.openxmlformats.org/markup-compatibility/2006" xmlns:xr="http://schemas.microsoft.com/office/spreadsheetml/2014/revision" mc:Ignorable="xr" xr:uid="{61F0DF67-39B2-424D-9356-09CC094199E2}" name="PivotTable4" cacheId="13" applyNumberFormats="0" applyBorderFormats="0" applyFontFormats="0" applyPatternFormats="0" applyAlignmentFormats="0" applyWidthHeightFormats="1" dataCaption="Values" tag="93053431-fa2d-4be4-956e-bca2b991bf1f" updatedVersion="8" minRefreshableVersion="3" useAutoFormatting="1" subtotalHiddenItems="1" itemPrintTitles="1" createdVersion="5" indent="0" outline="1" outlineData="1" multipleFieldFilters="0">
  <location ref="AD5:AL15" firstHeaderRow="1" firstDataRow="2" firstDataCol="1" rowPageCount="1" colPageCount="1"/>
  <pivotFields count="4">
    <pivotField axis="axisPage" allDrilled="1" subtotalTop="0" showAll="0" dataSourceSort="1" defaultSubtotal="0" defaultAttributeDrillState="1"/>
    <pivotField axis="axisCol" allDrilled="1" subtotalTop="0" showAll="0" dataSourceSort="1" defaultSubtotal="0" defaultAttributeDrillState="1">
      <items count="7">
        <item x="0"/>
        <item x="1"/>
        <item x="2"/>
        <item x="3"/>
        <item x="4"/>
        <item x="5"/>
        <item x="6"/>
      </items>
    </pivotField>
    <pivotField axis="axisRow" allDrilled="1" subtotalTop="0" showAll="0" dataSourceSort="1" defaultSubtotal="0" defaultAttributeDrillState="1">
      <items count="8">
        <item x="0"/>
        <item x="1"/>
        <item x="2"/>
        <item x="3"/>
        <item x="4"/>
        <item x="5"/>
        <item x="6"/>
        <item x="7"/>
      </items>
    </pivotField>
    <pivotField dataField="1" subtotalTop="0" showAll="0" defaultSubtotal="0"/>
  </pivotFields>
  <rowFields count="1">
    <field x="2"/>
  </rowFields>
  <rowItems count="9">
    <i>
      <x/>
    </i>
    <i>
      <x v="1"/>
    </i>
    <i>
      <x v="2"/>
    </i>
    <i>
      <x v="3"/>
    </i>
    <i>
      <x v="4"/>
    </i>
    <i>
      <x v="5"/>
    </i>
    <i>
      <x v="6"/>
    </i>
    <i>
      <x v="7"/>
    </i>
    <i t="grand">
      <x/>
    </i>
  </rowItems>
  <colFields count="1">
    <field x="1"/>
  </colFields>
  <colItems count="8">
    <i>
      <x/>
    </i>
    <i>
      <x v="1"/>
    </i>
    <i>
      <x v="2"/>
    </i>
    <i>
      <x v="3"/>
    </i>
    <i>
      <x v="4"/>
    </i>
    <i>
      <x v="5"/>
    </i>
    <i>
      <x v="6"/>
    </i>
    <i t="grand">
      <x/>
    </i>
  </colItems>
  <pageFields count="1">
    <pageField fld="0" hier="95" name="[Winter daily sitreps].[Year].&amp;[2024/25]" cap="2024/25"/>
  </pageFields>
  <dataFields count="1">
    <dataField name="Sum of CC flu beds"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1">
    <colHierarchyUsage hierarchyUsage="94"/>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48.xml><?xml version="1.0" encoding="utf-8"?>
<pivotTableDefinition xmlns="http://schemas.openxmlformats.org/spreadsheetml/2006/main" xmlns:mc="http://schemas.openxmlformats.org/markup-compatibility/2006" xmlns:xr="http://schemas.microsoft.com/office/spreadsheetml/2014/revision" mc:Ignorable="xr" xr:uid="{F18C7402-0967-4388-8B63-675DC01B2860}" name="PivotTable6" cacheId="12" applyNumberFormats="0" applyBorderFormats="0" applyFontFormats="0" applyPatternFormats="0" applyAlignmentFormats="0" applyWidthHeightFormats="1" dataCaption="Values" tag="d65633d8-e809-477f-adef-19b7b83d9380" updatedVersion="8" minRefreshableVersion="3" useAutoFormatting="1" subtotalHiddenItems="1" itemPrintTitles="1" createdVersion="5" indent="0" outline="1" outlineData="1" multipleFieldFilters="0">
  <location ref="B4:D13" firstHeaderRow="0" firstDataRow="1" firstDataCol="1" rowPageCount="1" colPageCount="1"/>
  <pivotFields count="4">
    <pivotField axis="axisPage" allDrilled="1" subtotalTop="0" showAll="0" dataSourceSort="1" defaultSubtotal="0" defaultAttributeDrillState="1"/>
    <pivotField axis="axisRow" allDrilled="1" subtotalTop="0" showAll="0" dataSourceSort="1" defaultSubtotal="0" defaultAttributeDrillState="1">
      <items count="8">
        <item x="0"/>
        <item x="1"/>
        <item x="2"/>
        <item x="3"/>
        <item x="4"/>
        <item x="5"/>
        <item x="6"/>
        <item x="7"/>
      </items>
    </pivotField>
    <pivotField dataField="1" subtotalTop="0" showAll="0" defaultSubtotal="0"/>
    <pivotField dataField="1" subtotalTop="0" showAll="0" defaultSubtotal="0"/>
  </pivotFields>
  <rowFields count="1">
    <field x="1"/>
  </rowFields>
  <rowItems count="9">
    <i>
      <x/>
    </i>
    <i>
      <x v="1"/>
    </i>
    <i>
      <x v="2"/>
    </i>
    <i>
      <x v="3"/>
    </i>
    <i>
      <x v="4"/>
    </i>
    <i>
      <x v="5"/>
    </i>
    <i>
      <x v="6"/>
    </i>
    <i>
      <x v="7"/>
    </i>
    <i t="grand">
      <x/>
    </i>
  </rowItems>
  <colFields count="1">
    <field x="-2"/>
  </colFields>
  <colItems count="2">
    <i>
      <x/>
    </i>
    <i i="1">
      <x v="1"/>
    </i>
  </colItems>
  <pageFields count="1">
    <pageField fld="0" hier="95" name="[Winter daily sitreps].[Year].&amp;[2024/25]" cap="2024/25"/>
  </pageFields>
  <dataFields count="2">
    <dataField name="Sum of Paeds RSV beds closed" fld="2" baseField="0" baseItem="0"/>
    <dataField name="Sum of Paeds RSV beds closed unocc"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49.xml><?xml version="1.0" encoding="utf-8"?>
<pivotTableDefinition xmlns="http://schemas.openxmlformats.org/spreadsheetml/2006/main" xmlns:mc="http://schemas.openxmlformats.org/markup-compatibility/2006" xmlns:xr="http://schemas.microsoft.com/office/spreadsheetml/2014/revision" mc:Ignorable="xr" xr:uid="{CF5B2C98-23C5-44C8-848E-E4A0C4B58687}" name="PivotTable5" cacheId="11" applyNumberFormats="0" applyBorderFormats="0" applyFontFormats="0" applyPatternFormats="0" applyAlignmentFormats="0" applyWidthHeightFormats="1" dataCaption="Values" tag="c22a5e02-bfed-451e-a9d5-b9e5ae61ff89" updatedVersion="8" minRefreshableVersion="3" useAutoFormatting="1" subtotalHiddenItems="1" itemPrintTitles="1" createdVersion="5" indent="0" outline="1" outlineData="1" multipleFieldFilters="0">
  <location ref="G5:O15" firstHeaderRow="1" firstDataRow="2" firstDataCol="1" rowPageCount="1" colPageCount="1"/>
  <pivotFields count="4">
    <pivotField axis="axisPage" allDrilled="1" subtotalTop="0" showAll="0" dataSourceSort="1" defaultSubtotal="0" defaultAttributeDrillState="1"/>
    <pivotField axis="axisCol" allDrilled="1" subtotalTop="0" showAll="0" dataSourceSort="1" defaultSubtotal="0" defaultAttributeDrillState="1">
      <items count="7">
        <item x="0"/>
        <item x="1"/>
        <item x="2"/>
        <item x="3"/>
        <item x="4"/>
        <item x="5"/>
        <item x="6"/>
      </items>
    </pivotField>
    <pivotField axis="axisRow" allDrilled="1" subtotalTop="0" showAll="0" dataSourceSort="1" defaultSubtotal="0" defaultAttributeDrillState="1">
      <items count="8">
        <item x="0"/>
        <item x="1"/>
        <item x="2"/>
        <item x="3"/>
        <item x="4"/>
        <item x="5"/>
        <item x="6"/>
        <item x="7"/>
      </items>
    </pivotField>
    <pivotField dataField="1" subtotalTop="0" showAll="0" defaultSubtotal="0"/>
  </pivotFields>
  <rowFields count="1">
    <field x="2"/>
  </rowFields>
  <rowItems count="9">
    <i>
      <x/>
    </i>
    <i>
      <x v="1"/>
    </i>
    <i>
      <x v="2"/>
    </i>
    <i>
      <x v="3"/>
    </i>
    <i>
      <x v="4"/>
    </i>
    <i>
      <x v="5"/>
    </i>
    <i>
      <x v="6"/>
    </i>
    <i>
      <x v="7"/>
    </i>
    <i t="grand">
      <x/>
    </i>
  </rowItems>
  <colFields count="1">
    <field x="1"/>
  </colFields>
  <colItems count="8">
    <i>
      <x/>
    </i>
    <i>
      <x v="1"/>
    </i>
    <i>
      <x v="2"/>
    </i>
    <i>
      <x v="3"/>
    </i>
    <i>
      <x v="4"/>
    </i>
    <i>
      <x v="5"/>
    </i>
    <i>
      <x v="6"/>
    </i>
    <i t="grand">
      <x/>
    </i>
  </colItems>
  <pageFields count="1">
    <pageField fld="0" hier="95" name="[Winter daily sitreps].[Year].&amp;[2024/25]" cap="2024/25"/>
  </pageFields>
  <dataFields count="1">
    <dataField name="Sum of Paeds RSV beds closed"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1">
    <colHierarchyUsage hierarchyUsage="94"/>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50.xml><?xml version="1.0" encoding="utf-8"?>
<pivotTableDefinition xmlns="http://schemas.openxmlformats.org/spreadsheetml/2006/main" xmlns:mc="http://schemas.openxmlformats.org/markup-compatibility/2006" xmlns:xr="http://schemas.microsoft.com/office/spreadsheetml/2014/revision" mc:Ignorable="xr" xr:uid="{90EC32C3-7421-4203-BC0F-854F03B9F6E0}" name="PivotTable8" cacheId="10" applyNumberFormats="0" applyBorderFormats="0" applyFontFormats="0" applyPatternFormats="0" applyAlignmentFormats="0" applyWidthHeightFormats="1" dataCaption="Values" tag="5743be49-916c-46b9-90c1-6a8b09a264dd" updatedVersion="8" minRefreshableVersion="3" useAutoFormatting="1" subtotalHiddenItems="1" itemPrintTitles="1" createdVersion="5" indent="0" outline="1" outlineData="1" multipleFieldFilters="0">
  <location ref="AD5:AL15" firstHeaderRow="1" firstDataRow="2" firstDataCol="1" rowPageCount="1" colPageCount="1"/>
  <pivotFields count="4">
    <pivotField axis="axisPage" allDrilled="1" subtotalTop="0" showAll="0" dataSourceSort="1" defaultSubtotal="0" defaultAttributeDrillState="1"/>
    <pivotField axis="axisCol" allDrilled="1" subtotalTop="0" showAll="0" dataSourceSort="1" defaultSubtotal="0" defaultAttributeDrillState="1">
      <items count="7">
        <item x="0"/>
        <item x="1"/>
        <item x="2"/>
        <item x="3"/>
        <item x="4"/>
        <item x="5"/>
        <item x="6"/>
      </items>
    </pivotField>
    <pivotField axis="axisRow" allDrilled="1" subtotalTop="0" showAll="0" dataSourceSort="1" defaultSubtotal="0" defaultAttributeDrillState="1">
      <items count="8">
        <item x="0"/>
        <item x="1"/>
        <item x="2"/>
        <item x="3"/>
        <item x="4"/>
        <item x="5"/>
        <item x="6"/>
        <item x="7"/>
      </items>
    </pivotField>
    <pivotField dataField="1" subtotalTop="0" showAll="0" defaultSubtotal="0"/>
  </pivotFields>
  <rowFields count="1">
    <field x="2"/>
  </rowFields>
  <rowItems count="9">
    <i>
      <x/>
    </i>
    <i>
      <x v="1"/>
    </i>
    <i>
      <x v="2"/>
    </i>
    <i>
      <x v="3"/>
    </i>
    <i>
      <x v="4"/>
    </i>
    <i>
      <x v="5"/>
    </i>
    <i>
      <x v="6"/>
    </i>
    <i>
      <x v="7"/>
    </i>
    <i t="grand">
      <x/>
    </i>
  </rowItems>
  <colFields count="1">
    <field x="1"/>
  </colFields>
  <colItems count="8">
    <i>
      <x/>
    </i>
    <i>
      <x v="1"/>
    </i>
    <i>
      <x v="2"/>
    </i>
    <i>
      <x v="3"/>
    </i>
    <i>
      <x v="4"/>
    </i>
    <i>
      <x v="5"/>
    </i>
    <i>
      <x v="6"/>
    </i>
    <i t="grand">
      <x/>
    </i>
  </colItems>
  <pageFields count="1">
    <pageField fld="0" hier="95" name="[Winter daily sitreps].[Year].&amp;[2024/25]" cap="2024/25"/>
  </pageFields>
  <dataFields count="1">
    <dataField name="Sum of Paeds RSV beds closed unocc"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1">
    <colHierarchyUsage hierarchyUsage="94"/>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nabledSubtotalsDefault="0" SubtotalsOnTopDefault="0"/>
    </ext>
  </extLst>
</pivotTableDefinition>
</file>

<file path=xl/theme/theme1.xml><?xml version="1.0" encoding="utf-8"?>
<a:theme xmlns:a="http://schemas.openxmlformats.org/drawingml/2006/main" name="Office Theme">
  <a:themeElements>
    <a:clrScheme name="NHS Providers">
      <a:dk1>
        <a:sysClr val="windowText" lastClr="000000"/>
      </a:dk1>
      <a:lt1>
        <a:sysClr val="window" lastClr="FFFFFF"/>
      </a:lt1>
      <a:dk2>
        <a:srgbClr val="3E505A"/>
      </a:dk2>
      <a:lt2>
        <a:srgbClr val="9DA6AB"/>
      </a:lt2>
      <a:accent1>
        <a:srgbClr val="C00848"/>
      </a:accent1>
      <a:accent2>
        <a:srgbClr val="F0532D"/>
      </a:accent2>
      <a:accent3>
        <a:srgbClr val="F79131"/>
      </a:accent3>
      <a:accent4>
        <a:srgbClr val="00A89C"/>
      </a:accent4>
      <a:accent5>
        <a:srgbClr val="2C72B3"/>
      </a:accent5>
      <a:accent6>
        <a:srgbClr val="29398F"/>
      </a:accent6>
      <a:hlink>
        <a:srgbClr val="F0532D"/>
      </a:hlink>
      <a:folHlink>
        <a:srgbClr val="F79131"/>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theme/themeOverride1.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3.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4.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5.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6.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7.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8.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9.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0.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1.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2.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3.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4.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5.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6.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7.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8.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9.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0.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1.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2.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3.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4.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5.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6.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7.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8.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pivotTable" Target="../pivotTables/pivotTable3.xml"/><Relationship Id="rId2" Type="http://schemas.openxmlformats.org/officeDocument/2006/relationships/pivotTable" Target="../pivotTables/pivotTable2.xml"/><Relationship Id="rId1" Type="http://schemas.openxmlformats.org/officeDocument/2006/relationships/pivotTable" Target="../pivotTables/pivotTable1.xml"/><Relationship Id="rId5" Type="http://schemas.openxmlformats.org/officeDocument/2006/relationships/printerSettings" Target="../printerSettings/printerSettings2.bin"/><Relationship Id="rId4" Type="http://schemas.openxmlformats.org/officeDocument/2006/relationships/pivotTable" Target="../pivotTables/pivotTable4.xml"/></Relationships>
</file>

<file path=xl/worksheets/_rels/sheet3.xml.rels><?xml version="1.0" encoding="UTF-8" standalone="yes"?>
<Relationships xmlns="http://schemas.openxmlformats.org/package/2006/relationships"><Relationship Id="rId3" Type="http://schemas.openxmlformats.org/officeDocument/2006/relationships/pivotTable" Target="../pivotTables/pivotTable7.xml"/><Relationship Id="rId2" Type="http://schemas.openxmlformats.org/officeDocument/2006/relationships/pivotTable" Target="../pivotTables/pivotTable6.xml"/><Relationship Id="rId1" Type="http://schemas.openxmlformats.org/officeDocument/2006/relationships/pivotTable" Target="../pivotTables/pivotTable5.xml"/><Relationship Id="rId5" Type="http://schemas.openxmlformats.org/officeDocument/2006/relationships/printerSettings" Target="../printerSettings/printerSettings3.bin"/><Relationship Id="rId4" Type="http://schemas.openxmlformats.org/officeDocument/2006/relationships/pivotTable" Target="../pivotTables/pivotTable8.xml"/></Relationships>
</file>

<file path=xl/worksheets/_rels/sheet4.xml.rels><?xml version="1.0" encoding="UTF-8" standalone="yes"?>
<Relationships xmlns="http://schemas.openxmlformats.org/package/2006/relationships"><Relationship Id="rId3" Type="http://schemas.openxmlformats.org/officeDocument/2006/relationships/pivotTable" Target="../pivotTables/pivotTable11.xml"/><Relationship Id="rId2" Type="http://schemas.openxmlformats.org/officeDocument/2006/relationships/pivotTable" Target="../pivotTables/pivotTable10.xml"/><Relationship Id="rId1" Type="http://schemas.openxmlformats.org/officeDocument/2006/relationships/pivotTable" Target="../pivotTables/pivotTable9.xml"/><Relationship Id="rId4"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ivotTable" Target="../pivotTables/pivotTable14.xml"/><Relationship Id="rId2" Type="http://schemas.openxmlformats.org/officeDocument/2006/relationships/pivotTable" Target="../pivotTables/pivotTable13.xml"/><Relationship Id="rId1" Type="http://schemas.openxmlformats.org/officeDocument/2006/relationships/pivotTable" Target="../pivotTables/pivotTable12.xml"/><Relationship Id="rId5" Type="http://schemas.openxmlformats.org/officeDocument/2006/relationships/drawing" Target="../drawings/drawing23.xml"/><Relationship Id="rId4"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8" Type="http://schemas.openxmlformats.org/officeDocument/2006/relationships/pivotTable" Target="../pivotTables/pivotTable22.xml"/><Relationship Id="rId3" Type="http://schemas.openxmlformats.org/officeDocument/2006/relationships/pivotTable" Target="../pivotTables/pivotTable17.xml"/><Relationship Id="rId7" Type="http://schemas.openxmlformats.org/officeDocument/2006/relationships/pivotTable" Target="../pivotTables/pivotTable21.xml"/><Relationship Id="rId2" Type="http://schemas.openxmlformats.org/officeDocument/2006/relationships/pivotTable" Target="../pivotTables/pivotTable16.xml"/><Relationship Id="rId1" Type="http://schemas.openxmlformats.org/officeDocument/2006/relationships/pivotTable" Target="../pivotTables/pivotTable15.xml"/><Relationship Id="rId6" Type="http://schemas.openxmlformats.org/officeDocument/2006/relationships/pivotTable" Target="../pivotTables/pivotTable20.xml"/><Relationship Id="rId5" Type="http://schemas.openxmlformats.org/officeDocument/2006/relationships/pivotTable" Target="../pivotTables/pivotTable19.xml"/><Relationship Id="rId4" Type="http://schemas.openxmlformats.org/officeDocument/2006/relationships/pivotTable" Target="../pivotTables/pivotTable18.xml"/><Relationship Id="rId9"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pivotTable" Target="../pivotTables/pivotTable25.xml"/><Relationship Id="rId2" Type="http://schemas.openxmlformats.org/officeDocument/2006/relationships/pivotTable" Target="../pivotTables/pivotTable24.xml"/><Relationship Id="rId1" Type="http://schemas.openxmlformats.org/officeDocument/2006/relationships/pivotTable" Target="../pivotTables/pivotTable23.xml"/><Relationship Id="rId4" Type="http://schemas.openxmlformats.org/officeDocument/2006/relationships/pivotTable" Target="../pivotTables/pivotTable26.xml"/></Relationships>
</file>

<file path=xl/worksheets/_rels/sheet8.xml.rels><?xml version="1.0" encoding="UTF-8" standalone="yes"?>
<Relationships xmlns="http://schemas.openxmlformats.org/package/2006/relationships"><Relationship Id="rId3" Type="http://schemas.openxmlformats.org/officeDocument/2006/relationships/pivotTable" Target="../pivotTables/pivotTable29.xml"/><Relationship Id="rId2" Type="http://schemas.openxmlformats.org/officeDocument/2006/relationships/pivotTable" Target="../pivotTables/pivotTable28.xml"/><Relationship Id="rId1" Type="http://schemas.openxmlformats.org/officeDocument/2006/relationships/pivotTable" Target="../pivotTables/pivotTable27.xml"/><Relationship Id="rId4" Type="http://schemas.openxmlformats.org/officeDocument/2006/relationships/pivotTable" Target="../pivotTables/pivotTable30.xml"/></Relationships>
</file>

<file path=xl/worksheets/_rels/sheet9.xml.rels><?xml version="1.0" encoding="UTF-8" standalone="yes"?>
<Relationships xmlns="http://schemas.openxmlformats.org/package/2006/relationships"><Relationship Id="rId3" Type="http://schemas.openxmlformats.org/officeDocument/2006/relationships/pivotTable" Target="../pivotTables/pivotTable33.xml"/><Relationship Id="rId2" Type="http://schemas.openxmlformats.org/officeDocument/2006/relationships/pivotTable" Target="../pivotTables/pivotTable32.xml"/><Relationship Id="rId1" Type="http://schemas.openxmlformats.org/officeDocument/2006/relationships/pivotTable" Target="../pivotTables/pivotTable31.xml"/><Relationship Id="rId5" Type="http://schemas.openxmlformats.org/officeDocument/2006/relationships/printerSettings" Target="../printerSettings/printerSettings7.bin"/><Relationship Id="rId4" Type="http://schemas.openxmlformats.org/officeDocument/2006/relationships/pivotTable" Target="../pivotTables/pivotTable34.xml"/></Relationships>
</file>

<file path=xl/worksheets/_rels/sheet10.xml.rels><?xml version="1.0" encoding="UTF-8" standalone="yes"?>
<Relationships xmlns="http://schemas.openxmlformats.org/package/2006/relationships"><Relationship Id="rId3" Type="http://schemas.openxmlformats.org/officeDocument/2006/relationships/pivotTable" Target="../pivotTables/pivotTable37.xml"/><Relationship Id="rId2" Type="http://schemas.openxmlformats.org/officeDocument/2006/relationships/pivotTable" Target="../pivotTables/pivotTable36.xml"/><Relationship Id="rId1" Type="http://schemas.openxmlformats.org/officeDocument/2006/relationships/pivotTable" Target="../pivotTables/pivotTable35.xml"/><Relationship Id="rId4" Type="http://schemas.openxmlformats.org/officeDocument/2006/relationships/printerSettings" Target="../printerSettings/printerSettings8.bin"/></Relationships>
</file>

<file path=xl/worksheets/_rels/sheet11.xml.rels><?xml version="1.0" encoding="UTF-8" standalone="yes"?>
<Relationships xmlns="http://schemas.openxmlformats.org/package/2006/relationships"><Relationship Id="rId1" Type="http://schemas.openxmlformats.org/officeDocument/2006/relationships/pivotTable" Target="../pivotTables/pivotTable38.xml"/></Relationships>
</file>

<file path=xl/worksheets/_rels/sheet12.xml.rels><?xml version="1.0" encoding="UTF-8" standalone="yes"?>
<Relationships xmlns="http://schemas.openxmlformats.org/package/2006/relationships"><Relationship Id="rId1" Type="http://schemas.openxmlformats.org/officeDocument/2006/relationships/pivotTable" Target="../pivotTables/pivotTable39.xml"/></Relationships>
</file>

<file path=xl/worksheets/_rels/sheet13.xml.rels><?xml version="1.0" encoding="UTF-8" standalone="yes"?>
<Relationships xmlns="http://schemas.openxmlformats.org/package/2006/relationships"><Relationship Id="rId1" Type="http://schemas.openxmlformats.org/officeDocument/2006/relationships/pivotTable" Target="../pivotTables/pivotTable40.xml"/></Relationships>
</file>

<file path=xl/worksheets/_rels/sheet14.xml.rels><?xml version="1.0" encoding="UTF-8" standalone="yes"?>
<Relationships xmlns="http://schemas.openxmlformats.org/package/2006/relationships"><Relationship Id="rId3" Type="http://schemas.openxmlformats.org/officeDocument/2006/relationships/pivotTable" Target="../pivotTables/pivotTable43.xml"/><Relationship Id="rId2" Type="http://schemas.openxmlformats.org/officeDocument/2006/relationships/pivotTable" Target="../pivotTables/pivotTable42.xml"/><Relationship Id="rId1" Type="http://schemas.openxmlformats.org/officeDocument/2006/relationships/pivotTable" Target="../pivotTables/pivotTable41.xml"/><Relationship Id="rId5" Type="http://schemas.openxmlformats.org/officeDocument/2006/relationships/printerSettings" Target="../printerSettings/printerSettings9.bin"/><Relationship Id="rId4" Type="http://schemas.openxmlformats.org/officeDocument/2006/relationships/pivotTable" Target="../pivotTables/pivotTable44.xml"/></Relationships>
</file>

<file path=xl/worksheets/_rels/sheet15.xml.rels><?xml version="1.0" encoding="UTF-8" standalone="yes"?>
<Relationships xmlns="http://schemas.openxmlformats.org/package/2006/relationships"><Relationship Id="rId3" Type="http://schemas.openxmlformats.org/officeDocument/2006/relationships/pivotTable" Target="../pivotTables/pivotTable47.xml"/><Relationship Id="rId2" Type="http://schemas.openxmlformats.org/officeDocument/2006/relationships/pivotTable" Target="../pivotTables/pivotTable46.xml"/><Relationship Id="rId1" Type="http://schemas.openxmlformats.org/officeDocument/2006/relationships/pivotTable" Target="../pivotTables/pivotTable45.xml"/></Relationships>
</file>

<file path=xl/worksheets/_rels/sheet16.xml.rels><?xml version="1.0" encoding="UTF-8" standalone="yes"?>
<Relationships xmlns="http://schemas.openxmlformats.org/package/2006/relationships"><Relationship Id="rId3" Type="http://schemas.openxmlformats.org/officeDocument/2006/relationships/pivotTable" Target="../pivotTables/pivotTable50.xml"/><Relationship Id="rId2" Type="http://schemas.openxmlformats.org/officeDocument/2006/relationships/pivotTable" Target="../pivotTables/pivotTable49.xml"/><Relationship Id="rId1" Type="http://schemas.openxmlformats.org/officeDocument/2006/relationships/pivotTable" Target="../pivotTables/pivotTable48.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2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2:AF412"/>
  <sheetViews>
    <sheetView showGridLines="0" tabSelected="1" zoomScale="70" zoomScaleNormal="70" workbookViewId="0">
      <pane ySplit="4" topLeftCell="A289" activePane="bottomLeft" state="frozen"/>
      <selection pane="bottomLeft" activeCell="AE256" sqref="AE256"/>
    </sheetView>
  </sheetViews>
  <sheetFormatPr defaultRowHeight="14.5" x14ac:dyDescent="0.35"/>
  <cols>
    <col min="1" max="1" width="1.7265625" customWidth="1"/>
    <col min="2" max="2" width="5.26953125" customWidth="1"/>
    <col min="3" max="3" width="35.54296875" customWidth="1"/>
    <col min="4" max="4" width="12" bestFit="1" customWidth="1"/>
    <col min="5" max="5" width="10" customWidth="1"/>
    <col min="6" max="6" width="9.81640625" customWidth="1"/>
    <col min="7" max="7" width="10" customWidth="1"/>
    <col min="8" max="8" width="14.26953125" bestFit="1" customWidth="1"/>
    <col min="9" max="9" width="10.1796875" customWidth="1"/>
    <col min="10" max="10" width="9.81640625" customWidth="1"/>
    <col min="11" max="11" width="10.1796875" customWidth="1"/>
    <col min="12" max="12" width="14.1796875" bestFit="1" customWidth="1"/>
    <col min="13" max="13" width="9.7265625" customWidth="1"/>
    <col min="14" max="14" width="11.1796875" customWidth="1"/>
    <col min="15" max="15" width="10.1796875" customWidth="1"/>
    <col min="16" max="17" width="9.81640625" customWidth="1"/>
    <col min="18" max="18" width="7.453125" customWidth="1"/>
    <col min="19" max="19" width="2.81640625" customWidth="1"/>
    <col min="20" max="21" width="9.54296875" bestFit="1" customWidth="1"/>
    <col min="25" max="25" width="8.7265625" customWidth="1"/>
    <col min="26" max="26" width="2.1796875" customWidth="1"/>
    <col min="27" max="27" width="9.1796875" customWidth="1"/>
  </cols>
  <sheetData>
    <row r="2" spans="1:30" ht="84" customHeight="1" x14ac:dyDescent="0.35">
      <c r="C2" s="163" t="s">
        <v>0</v>
      </c>
      <c r="D2" s="164"/>
      <c r="E2" s="164"/>
      <c r="F2" s="164"/>
      <c r="G2" s="164"/>
      <c r="H2" s="164"/>
      <c r="I2" s="164"/>
      <c r="J2" s="164"/>
      <c r="K2" s="164"/>
      <c r="L2" s="164"/>
      <c r="M2" s="164"/>
      <c r="N2" s="164"/>
      <c r="O2" s="164"/>
      <c r="P2" s="164"/>
      <c r="Q2" s="164"/>
      <c r="R2" s="164"/>
      <c r="S2" s="164"/>
      <c r="T2" s="164"/>
      <c r="U2" s="164"/>
      <c r="V2" s="164"/>
      <c r="W2" s="164"/>
      <c r="X2" s="164"/>
      <c r="Y2" s="164"/>
      <c r="Z2" s="164"/>
      <c r="AA2" s="164"/>
      <c r="AB2" s="164"/>
      <c r="AC2" s="164"/>
      <c r="AD2" s="164"/>
    </row>
    <row r="4" spans="1:30" ht="15" customHeight="1" x14ac:dyDescent="0.35">
      <c r="C4" s="3"/>
      <c r="D4" s="19" t="s">
        <v>1</v>
      </c>
      <c r="E4" s="19" t="s">
        <v>2</v>
      </c>
      <c r="F4" s="19" t="s">
        <v>3</v>
      </c>
      <c r="G4" s="19" t="s">
        <v>4</v>
      </c>
      <c r="H4" s="19" t="s">
        <v>5</v>
      </c>
      <c r="I4" s="19" t="s">
        <v>6</v>
      </c>
      <c r="J4" s="19" t="s">
        <v>7</v>
      </c>
      <c r="K4" s="19" t="s">
        <v>8</v>
      </c>
      <c r="L4" s="19" t="s">
        <v>9</v>
      </c>
      <c r="M4" s="19" t="s">
        <v>10</v>
      </c>
      <c r="N4" s="19" t="s">
        <v>11</v>
      </c>
      <c r="O4" s="19" t="s">
        <v>12</v>
      </c>
      <c r="P4" s="19" t="s">
        <v>13</v>
      </c>
      <c r="Q4" s="19" t="s">
        <v>14</v>
      </c>
      <c r="R4" s="19"/>
      <c r="T4" s="165" t="s">
        <v>15</v>
      </c>
      <c r="U4" s="165"/>
      <c r="V4" s="165"/>
      <c r="W4" s="165"/>
      <c r="X4" s="165"/>
      <c r="Y4" s="165"/>
      <c r="AA4" s="165" t="s">
        <v>16</v>
      </c>
      <c r="AB4" s="165"/>
      <c r="AC4" s="165"/>
      <c r="AD4" s="165"/>
    </row>
    <row r="5" spans="1:30" ht="7.5" customHeight="1" x14ac:dyDescent="0.35">
      <c r="B5" s="4"/>
      <c r="C5" s="3"/>
      <c r="D5" s="20">
        <v>1</v>
      </c>
      <c r="E5" s="20">
        <v>2</v>
      </c>
      <c r="F5" s="20">
        <v>3</v>
      </c>
      <c r="G5" s="20">
        <v>4</v>
      </c>
      <c r="H5" s="20">
        <v>5</v>
      </c>
      <c r="I5" s="20">
        <v>6</v>
      </c>
      <c r="J5" s="20">
        <v>7</v>
      </c>
      <c r="K5" s="20">
        <v>8</v>
      </c>
      <c r="L5" s="20">
        <v>9</v>
      </c>
      <c r="M5" s="20">
        <v>10</v>
      </c>
      <c r="N5" s="20">
        <v>11</v>
      </c>
      <c r="O5" s="20">
        <v>12</v>
      </c>
      <c r="P5" s="20">
        <v>13</v>
      </c>
      <c r="Q5" s="20">
        <v>14</v>
      </c>
      <c r="R5" s="20">
        <v>14</v>
      </c>
    </row>
    <row r="6" spans="1:30" ht="15" customHeight="1" x14ac:dyDescent="0.35">
      <c r="A6" s="60"/>
      <c r="B6" s="136" t="s">
        <v>17</v>
      </c>
      <c r="C6" s="1" t="s">
        <v>18</v>
      </c>
      <c r="D6" s="58">
        <v>22</v>
      </c>
      <c r="E6" s="58">
        <v>20</v>
      </c>
      <c r="F6" s="58">
        <v>12</v>
      </c>
      <c r="G6" s="58">
        <v>13</v>
      </c>
      <c r="H6" s="58">
        <v>20</v>
      </c>
      <c r="I6" s="58">
        <v>28</v>
      </c>
      <c r="J6" s="58">
        <v>24</v>
      </c>
      <c r="K6" s="58">
        <v>28</v>
      </c>
      <c r="L6" s="58">
        <v>28</v>
      </c>
      <c r="M6" s="58">
        <v>31</v>
      </c>
      <c r="N6" s="58">
        <v>22</v>
      </c>
      <c r="O6" s="58">
        <v>25</v>
      </c>
      <c r="P6" s="58">
        <v>28</v>
      </c>
      <c r="Q6" s="58">
        <v>19</v>
      </c>
      <c r="AA6" s="137" t="s">
        <v>19</v>
      </c>
      <c r="AB6" s="137"/>
      <c r="AC6" s="137"/>
      <c r="AD6" s="137"/>
    </row>
    <row r="7" spans="1:30" ht="7.5" customHeight="1" x14ac:dyDescent="0.35">
      <c r="A7" s="60"/>
      <c r="B7" s="136"/>
      <c r="C7" s="1"/>
      <c r="D7" s="20">
        <v>26</v>
      </c>
      <c r="E7" s="20">
        <v>15</v>
      </c>
      <c r="F7" s="20">
        <v>12</v>
      </c>
      <c r="G7" s="20">
        <v>17</v>
      </c>
      <c r="H7" s="20">
        <v>17</v>
      </c>
      <c r="I7" s="20">
        <v>23</v>
      </c>
      <c r="J7" s="20">
        <v>18</v>
      </c>
      <c r="K7" s="20">
        <v>19</v>
      </c>
      <c r="L7" s="20">
        <v>10</v>
      </c>
      <c r="M7" s="20">
        <v>17</v>
      </c>
      <c r="N7" s="20">
        <v>9</v>
      </c>
      <c r="O7" s="20">
        <v>4</v>
      </c>
      <c r="P7" s="20">
        <v>29</v>
      </c>
      <c r="Q7" s="20">
        <v>11</v>
      </c>
      <c r="AA7" s="137"/>
      <c r="AB7" s="137"/>
      <c r="AC7" s="137"/>
      <c r="AD7" s="137"/>
    </row>
    <row r="8" spans="1:30" x14ac:dyDescent="0.35">
      <c r="A8" s="60"/>
      <c r="B8" s="136"/>
      <c r="C8" s="13" t="s">
        <v>20</v>
      </c>
      <c r="D8" s="46">
        <f>IFERROR(VLOOKUP(D$4,'A&amp;E diverts'!$P$3:$X$17,2,FALSE),"")</f>
        <v>25</v>
      </c>
      <c r="E8" s="46">
        <f>IFERROR(VLOOKUP(E$4,'A&amp;E diverts'!$P$3:$X$17,2,FALSE),"")</f>
        <v>37</v>
      </c>
      <c r="F8" s="46">
        <f>IFERROR(VLOOKUP(F$4,'A&amp;E diverts'!$P$3:$X$17,2,FALSE),"")</f>
        <v>35</v>
      </c>
      <c r="G8" s="46">
        <f>IFERROR(VLOOKUP(G$4,'A&amp;E diverts'!$P$3:$X$17,2,FALSE),"")</f>
        <v>34</v>
      </c>
      <c r="H8" s="46">
        <f>IFERROR(VLOOKUP(H$4,'A&amp;E diverts'!$P$3:$X$17,2,FALSE),"")</f>
        <v>47</v>
      </c>
      <c r="I8" s="46">
        <f>IFERROR(VLOOKUP(I$4,'A&amp;E diverts'!$P$3:$X$17,2,FALSE),"")</f>
        <v>48</v>
      </c>
      <c r="J8" s="46">
        <f>IFERROR(VLOOKUP(J$4,'A&amp;E diverts'!$P$3:$X$17,2,FALSE),"")</f>
        <v>45</v>
      </c>
      <c r="K8" s="46">
        <f>IFERROR(VLOOKUP(K$4,'A&amp;E diverts'!$P$3:$X$17,2,FALSE),"")</f>
        <v>29</v>
      </c>
      <c r="L8" s="46" t="str">
        <f>IFERROR(VLOOKUP(L$4,'A&amp;E diverts'!$P$3:$X$17,2,FALSE),"")</f>
        <v/>
      </c>
      <c r="M8" s="46" t="str">
        <f>IFERROR(VLOOKUP(M$4,'A&amp;E diverts'!$P$3:$X$17,2,FALSE),"")</f>
        <v/>
      </c>
      <c r="N8" s="46" t="str">
        <f>IFERROR(VLOOKUP(N$4,'A&amp;E diverts'!$P$3:$X$17,2,FALSE),"")</f>
        <v/>
      </c>
      <c r="O8" s="46" t="str">
        <f>IFERROR(VLOOKUP(O$4,'A&amp;E diverts'!$P$3:$X$17,2,FALSE),"")</f>
        <v/>
      </c>
      <c r="P8" s="46" t="str">
        <f>IFERROR(VLOOKUP(P$4,'A&amp;E diverts'!$P$3:$X$17,2,FALSE),"")</f>
        <v/>
      </c>
      <c r="Q8" s="46" t="str">
        <f>IFERROR(VLOOKUP(Q$4,'A&amp;E diverts'!$P$3:$X$17,2,FALSE),"")</f>
        <v/>
      </c>
      <c r="R8" s="23"/>
      <c r="AA8" s="137"/>
      <c r="AB8" s="137"/>
      <c r="AC8" s="137"/>
      <c r="AD8" s="137"/>
    </row>
    <row r="9" spans="1:30" x14ac:dyDescent="0.35">
      <c r="A9" s="60"/>
      <c r="B9" s="136"/>
      <c r="C9" s="1" t="s">
        <v>21</v>
      </c>
      <c r="D9" s="128">
        <f>IFERROR(VLOOKUP(D$4,'A&amp;E diverts'!$P$3:$X$17,3,FALSE),"")</f>
        <v>0</v>
      </c>
      <c r="E9" s="128">
        <f>IFERROR(VLOOKUP(E$4,'A&amp;E diverts'!$P$3:$X$17,3,FALSE),"")</f>
        <v>1</v>
      </c>
      <c r="F9" s="128">
        <f>IFERROR(VLOOKUP(F$4,'A&amp;E diverts'!$P$3:$X$17,3,FALSE),"")</f>
        <v>0</v>
      </c>
      <c r="G9" s="128">
        <f>IFERROR(VLOOKUP(G$4,'A&amp;E diverts'!$P$3:$X$17,3,FALSE),"")</f>
        <v>0</v>
      </c>
      <c r="H9" s="128">
        <f>IFERROR(VLOOKUP(H$4,'A&amp;E diverts'!$P$3:$X$17,3,FALSE),"")</f>
        <v>0</v>
      </c>
      <c r="I9" s="128">
        <f>IFERROR(VLOOKUP(I$4,'A&amp;E diverts'!$P$3:$X$17,3,FALSE),"")</f>
        <v>2</v>
      </c>
      <c r="J9" s="128">
        <f>IFERROR(VLOOKUP(J$4,'A&amp;E diverts'!$P$3:$X$17,3,FALSE),"")</f>
        <v>5</v>
      </c>
      <c r="K9" s="128">
        <f>IFERROR(VLOOKUP(K$4,'A&amp;E diverts'!$P$3:$X$17,3,FALSE),"")</f>
        <v>5</v>
      </c>
      <c r="L9" s="128" t="str">
        <f>IFERROR(VLOOKUP(L$4,'A&amp;E diverts'!$P$3:$X$17,3,FALSE),"")</f>
        <v/>
      </c>
      <c r="M9" s="128" t="str">
        <f>IFERROR(VLOOKUP(M$4,'A&amp;E diverts'!$P$3:$X$17,3,FALSE),"")</f>
        <v/>
      </c>
      <c r="N9" s="128" t="str">
        <f>IFERROR(VLOOKUP(N$4,'A&amp;E diverts'!$P$3:$X$17,3,FALSE),"")</f>
        <v/>
      </c>
      <c r="O9" s="128" t="str">
        <f>IFERROR(VLOOKUP(O$4,'A&amp;E diverts'!$P$3:$X$17,3,FALSE),"")</f>
        <v/>
      </c>
      <c r="P9" s="128" t="str">
        <f>IFERROR(VLOOKUP(P$4,'A&amp;E diverts'!$P$3:$X$17,3,FALSE),"")</f>
        <v/>
      </c>
      <c r="Q9" s="128" t="str">
        <f>IFERROR(VLOOKUP(Q$4,'A&amp;E diverts'!$P$3:$X$17,3,FALSE),"")</f>
        <v/>
      </c>
      <c r="R9" s="57"/>
      <c r="AA9" s="137"/>
      <c r="AB9" s="137"/>
      <c r="AC9" s="137"/>
      <c r="AD9" s="137"/>
    </row>
    <row r="10" spans="1:30" x14ac:dyDescent="0.35">
      <c r="A10" s="60"/>
      <c r="B10" s="136"/>
      <c r="C10" s="1" t="s">
        <v>22</v>
      </c>
      <c r="D10" s="128">
        <f>IFERROR(VLOOKUP(D$4,'A&amp;E diverts'!$P$3:$X$17,4,FALSE),"")</f>
        <v>13</v>
      </c>
      <c r="E10" s="128">
        <f>IFERROR(VLOOKUP(E$4,'A&amp;E diverts'!$P$3:$X$17,4,FALSE),"")</f>
        <v>18</v>
      </c>
      <c r="F10" s="128">
        <f>IFERROR(VLOOKUP(F$4,'A&amp;E diverts'!$P$3:$X$17,4,FALSE),"")</f>
        <v>7</v>
      </c>
      <c r="G10" s="128">
        <f>IFERROR(VLOOKUP(G$4,'A&amp;E diverts'!$P$3:$X$17,4,FALSE),"")</f>
        <v>6</v>
      </c>
      <c r="H10" s="128">
        <f>IFERROR(VLOOKUP(H$4,'A&amp;E diverts'!$P$3:$X$17,4,FALSE),"")</f>
        <v>24</v>
      </c>
      <c r="I10" s="128">
        <f>IFERROR(VLOOKUP(I$4,'A&amp;E diverts'!$P$3:$X$17,4,FALSE),"")</f>
        <v>20</v>
      </c>
      <c r="J10" s="128">
        <f>IFERROR(VLOOKUP(J$4,'A&amp;E diverts'!$P$3:$X$17,4,FALSE),"")</f>
        <v>16</v>
      </c>
      <c r="K10" s="128">
        <f>IFERROR(VLOOKUP(K$4,'A&amp;E diverts'!$P$3:$X$17,4,FALSE),"")</f>
        <v>13</v>
      </c>
      <c r="L10" s="128" t="str">
        <f>IFERROR(VLOOKUP(L$4,'A&amp;E diverts'!$P$3:$X$17,4,FALSE),"")</f>
        <v/>
      </c>
      <c r="M10" s="128" t="str">
        <f>IFERROR(VLOOKUP(M$4,'A&amp;E diverts'!$P$3:$X$17,4,FALSE),"")</f>
        <v/>
      </c>
      <c r="N10" s="128" t="str">
        <f>IFERROR(VLOOKUP(N$4,'A&amp;E diverts'!$P$3:$X$17,4,FALSE),"")</f>
        <v/>
      </c>
      <c r="O10" s="128" t="str">
        <f>IFERROR(VLOOKUP(O$4,'A&amp;E diverts'!$P$3:$X$17,4,FALSE),"")</f>
        <v/>
      </c>
      <c r="P10" s="128" t="str">
        <f>IFERROR(VLOOKUP(P$4,'A&amp;E diverts'!$P$3:$X$17,4,FALSE),"")</f>
        <v/>
      </c>
      <c r="Q10" s="128" t="str">
        <f>IFERROR(VLOOKUP(Q$4,'A&amp;E diverts'!$P$3:$X$17,4,FALSE),"")</f>
        <v/>
      </c>
      <c r="R10" s="57" t="str">
        <f>IFERROR(VLOOKUP(R$4,'A&amp;E diverts'!$P$3:$W$17,4,FALSE),"")</f>
        <v/>
      </c>
      <c r="AA10" s="138" t="s">
        <v>23</v>
      </c>
      <c r="AB10" s="142"/>
      <c r="AC10" s="142"/>
      <c r="AD10" s="142"/>
    </row>
    <row r="11" spans="1:30" x14ac:dyDescent="0.35">
      <c r="A11" s="60"/>
      <c r="B11" s="136"/>
      <c r="C11" s="1" t="s">
        <v>24</v>
      </c>
      <c r="D11" s="128">
        <f>IFERROR(VLOOKUP(D$4,'A&amp;E diverts'!$P$3:$X$17,8,FALSE),"")</f>
        <v>0</v>
      </c>
      <c r="E11" s="128">
        <f>IFERROR(VLOOKUP(E$4,'A&amp;E diverts'!$P$3:$X$17,8,FALSE),"")</f>
        <v>6</v>
      </c>
      <c r="F11" s="128">
        <f>IFERROR(VLOOKUP(F$4,'A&amp;E diverts'!$P$3:$X$17,8,FALSE),"")</f>
        <v>2</v>
      </c>
      <c r="G11" s="128">
        <f>IFERROR(VLOOKUP(G$4,'A&amp;E diverts'!$P$3:$X$17,8,FALSE),"")</f>
        <v>6</v>
      </c>
      <c r="H11" s="128">
        <f>IFERROR(VLOOKUP(H$4,'A&amp;E diverts'!$P$3:$X$17,8,FALSE),"")</f>
        <v>0</v>
      </c>
      <c r="I11" s="128">
        <f>IFERROR(VLOOKUP(I$4,'A&amp;E diverts'!$P$3:$X$17,8,FALSE),"")</f>
        <v>4</v>
      </c>
      <c r="J11" s="128">
        <f>IFERROR(VLOOKUP(J$4,'A&amp;E diverts'!$P$3:$X$17,8,FALSE),"")</f>
        <v>8</v>
      </c>
      <c r="K11" s="128">
        <f>IFERROR(VLOOKUP(K$4,'A&amp;E diverts'!$P$3:$X$17,8,FALSE),"")</f>
        <v>2</v>
      </c>
      <c r="L11" s="128" t="str">
        <f>IFERROR(VLOOKUP(L$4,'A&amp;E diverts'!$P$3:$X$17,8,FALSE),"")</f>
        <v/>
      </c>
      <c r="M11" s="128" t="str">
        <f>IFERROR(VLOOKUP(M$4,'A&amp;E diverts'!$P$3:$X$17,8,FALSE),"")</f>
        <v/>
      </c>
      <c r="N11" s="128" t="str">
        <f>IFERROR(VLOOKUP(N$4,'A&amp;E diverts'!$P$3:$X$17,8,FALSE),"")</f>
        <v/>
      </c>
      <c r="O11" s="128" t="str">
        <f>IFERROR(VLOOKUP(O$4,'A&amp;E diverts'!$P$3:$X$17,8,FALSE),"")</f>
        <v/>
      </c>
      <c r="P11" s="128" t="str">
        <f>IFERROR(VLOOKUP(P$4,'A&amp;E diverts'!$P$3:$X$17,8,FALSE),"")</f>
        <v/>
      </c>
      <c r="Q11" s="128" t="str">
        <f>IFERROR(VLOOKUP(Q$4,'A&amp;E diverts'!$P$3:$X$17,8,FALSE),"")</f>
        <v/>
      </c>
      <c r="R11" s="57"/>
      <c r="AA11" s="142"/>
      <c r="AB11" s="142"/>
      <c r="AC11" s="142"/>
      <c r="AD11" s="142"/>
    </row>
    <row r="12" spans="1:30" x14ac:dyDescent="0.35">
      <c r="A12" s="60"/>
      <c r="B12" s="136"/>
      <c r="C12" s="1" t="s">
        <v>25</v>
      </c>
      <c r="D12" s="128">
        <f>IFERROR(VLOOKUP(D$4,'A&amp;E diverts'!$P$3:$X$17,5,FALSE),"")</f>
        <v>11</v>
      </c>
      <c r="E12" s="128">
        <f>IFERROR(VLOOKUP(E$4,'A&amp;E diverts'!$P$3:$X$17,5,FALSE),"")</f>
        <v>11</v>
      </c>
      <c r="F12" s="128">
        <f>IFERROR(VLOOKUP(F$4,'A&amp;E diverts'!$P$3:$X$17,5,FALSE),"")</f>
        <v>25</v>
      </c>
      <c r="G12" s="128">
        <f>IFERROR(VLOOKUP(G$4,'A&amp;E diverts'!$P$3:$X$17,5,FALSE),"")</f>
        <v>21</v>
      </c>
      <c r="H12" s="128">
        <f>IFERROR(VLOOKUP(H$4,'A&amp;E diverts'!$P$3:$X$17,5,FALSE),"")</f>
        <v>23</v>
      </c>
      <c r="I12" s="128">
        <f>IFERROR(VLOOKUP(I$4,'A&amp;E diverts'!$P$3:$X$17,5,FALSE),"")</f>
        <v>22</v>
      </c>
      <c r="J12" s="128">
        <f>IFERROR(VLOOKUP(J$4,'A&amp;E diverts'!$P$3:$X$17,5,FALSE),"")</f>
        <v>15</v>
      </c>
      <c r="K12" s="128">
        <f>IFERROR(VLOOKUP(K$4,'A&amp;E diverts'!$P$3:$X$17,5,FALSE),"")</f>
        <v>6</v>
      </c>
      <c r="L12" s="128" t="str">
        <f>IFERROR(VLOOKUP(L$4,'A&amp;E diverts'!$P$3:$X$17,5,FALSE),"")</f>
        <v/>
      </c>
      <c r="M12" s="128" t="str">
        <f>IFERROR(VLOOKUP(M$4,'A&amp;E diverts'!$P$3:$X$17,5,FALSE),"")</f>
        <v/>
      </c>
      <c r="N12" s="128" t="str">
        <f>IFERROR(VLOOKUP(N$4,'A&amp;E diverts'!$P$3:$X$17,5,FALSE),"")</f>
        <v/>
      </c>
      <c r="O12" s="128" t="str">
        <f>IFERROR(VLOOKUP(O$4,'A&amp;E diverts'!$P$3:$X$17,5,FALSE),"")</f>
        <v/>
      </c>
      <c r="P12" s="128" t="str">
        <f>IFERROR(VLOOKUP(P$4,'A&amp;E diverts'!$P$3:$X$17,5,FALSE),"")</f>
        <v/>
      </c>
      <c r="Q12" s="128" t="str">
        <f>IFERROR(VLOOKUP(Q$4,'A&amp;E diverts'!$P$3:$X$17,5,FALSE),"")</f>
        <v/>
      </c>
      <c r="R12" s="57"/>
      <c r="AA12" s="142"/>
      <c r="AB12" s="142"/>
      <c r="AC12" s="142"/>
      <c r="AD12" s="142"/>
    </row>
    <row r="13" spans="1:30" x14ac:dyDescent="0.35">
      <c r="A13" s="60"/>
      <c r="B13" s="136"/>
      <c r="C13" s="1" t="s">
        <v>26</v>
      </c>
      <c r="D13" s="128">
        <f>IFERROR(VLOOKUP(D$4,'A&amp;E diverts'!$P$3:$X$17,9,FALSE),"")</f>
        <v>0</v>
      </c>
      <c r="E13" s="128">
        <f>IFERROR(VLOOKUP(E$4,'A&amp;E diverts'!$P$3:$X$17,9,FALSE),"")</f>
        <v>0</v>
      </c>
      <c r="F13" s="128">
        <f>IFERROR(VLOOKUP(F$4,'A&amp;E diverts'!$P$3:$X$17,9,FALSE),"")</f>
        <v>0</v>
      </c>
      <c r="G13" s="128">
        <f>IFERROR(VLOOKUP(G$4,'A&amp;E diverts'!$P$3:$X$17,9,FALSE),"")</f>
        <v>0</v>
      </c>
      <c r="H13" s="128">
        <f>IFERROR(VLOOKUP(H$4,'A&amp;E diverts'!$P$3:$X$17,9,FALSE),"")</f>
        <v>0</v>
      </c>
      <c r="I13" s="128">
        <f>IFERROR(VLOOKUP(I$4,'A&amp;E diverts'!$P$3:$X$17,9,FALSE),"")</f>
        <v>0</v>
      </c>
      <c r="J13" s="128">
        <f>IFERROR(VLOOKUP(J$4,'A&amp;E diverts'!$P$3:$X$17,9,FALSE),"")</f>
        <v>0</v>
      </c>
      <c r="K13" s="128">
        <f>IFERROR(VLOOKUP(K$4,'A&amp;E diverts'!$P$3:$X$17,9,FALSE),"")</f>
        <v>0</v>
      </c>
      <c r="L13" s="128" t="str">
        <f>IFERROR(VLOOKUP(L$4,'A&amp;E diverts'!$P$3:$X$17,9,FALSE),"")</f>
        <v/>
      </c>
      <c r="M13" s="128" t="str">
        <f>IFERROR(VLOOKUP(M$4,'A&amp;E diverts'!$P$3:$X$17,9,FALSE),"")</f>
        <v/>
      </c>
      <c r="N13" s="128" t="str">
        <f>IFERROR(VLOOKUP(N$4,'A&amp;E diverts'!$P$3:$X$17,9,FALSE),"")</f>
        <v/>
      </c>
      <c r="O13" s="128" t="str">
        <f>IFERROR(VLOOKUP(O$4,'A&amp;E diverts'!$P$3:$X$17,9,FALSE),"")</f>
        <v/>
      </c>
      <c r="P13" s="128" t="str">
        <f>IFERROR(VLOOKUP(P$4,'A&amp;E diverts'!$P$3:$X$17,9,FALSE),"")</f>
        <v/>
      </c>
      <c r="Q13" s="128" t="str">
        <f>IFERROR(VLOOKUP(Q$4,'A&amp;E diverts'!$P$3:$X$17,9,FALSE),"")</f>
        <v/>
      </c>
      <c r="R13" s="57" t="str">
        <f>IFERROR(VLOOKUP(R$4,'A&amp;E diverts'!$P$3:$W$17,5,FALSE),"")</f>
        <v/>
      </c>
      <c r="AA13" s="142"/>
      <c r="AB13" s="142"/>
      <c r="AC13" s="142"/>
      <c r="AD13" s="142"/>
    </row>
    <row r="14" spans="1:30" x14ac:dyDescent="0.35">
      <c r="A14" s="60"/>
      <c r="B14" s="136"/>
      <c r="C14" s="1" t="s">
        <v>27</v>
      </c>
      <c r="D14" s="128">
        <f>IFERROR(VLOOKUP(D$4,'A&amp;E diverts'!$P$3:$X$17,6,FALSE),"")</f>
        <v>1</v>
      </c>
      <c r="E14" s="128">
        <f>IFERROR(VLOOKUP(E$4,'A&amp;E diverts'!$P$3:$X$17,6,FALSE),"")</f>
        <v>1</v>
      </c>
      <c r="F14" s="128">
        <f>IFERROR(VLOOKUP(F$4,'A&amp;E diverts'!$P$3:$X$17,6,FALSE),"")</f>
        <v>1</v>
      </c>
      <c r="G14" s="128">
        <f>IFERROR(VLOOKUP(G$4,'A&amp;E diverts'!$P$3:$X$17,6,FALSE),"")</f>
        <v>1</v>
      </c>
      <c r="H14" s="128">
        <f>IFERROR(VLOOKUP(H$4,'A&amp;E diverts'!$P$3:$X$17,6,FALSE),"")</f>
        <v>0</v>
      </c>
      <c r="I14" s="128">
        <f>IFERROR(VLOOKUP(I$4,'A&amp;E diverts'!$P$3:$X$17,6,FALSE),"")</f>
        <v>0</v>
      </c>
      <c r="J14" s="128">
        <f>IFERROR(VLOOKUP(J$4,'A&amp;E diverts'!$P$3:$X$17,6,FALSE),"")</f>
        <v>1</v>
      </c>
      <c r="K14" s="128">
        <f>IFERROR(VLOOKUP(K$4,'A&amp;E diverts'!$P$3:$X$17,6,FALSE),"")</f>
        <v>3</v>
      </c>
      <c r="L14" s="128" t="str">
        <f>IFERROR(VLOOKUP(L$4,'A&amp;E diverts'!$P$3:$X$17,6,FALSE),"")</f>
        <v/>
      </c>
      <c r="M14" s="128" t="str">
        <f>IFERROR(VLOOKUP(M$4,'A&amp;E diverts'!$P$3:$X$17,6,FALSE),"")</f>
        <v/>
      </c>
      <c r="N14" s="128" t="str">
        <f>IFERROR(VLOOKUP(N$4,'A&amp;E diverts'!$P$3:$X$17,6,FALSE),"")</f>
        <v/>
      </c>
      <c r="O14" s="128" t="str">
        <f>IFERROR(VLOOKUP(O$4,'A&amp;E diverts'!$P$3:$X$17,6,FALSE),"")</f>
        <v/>
      </c>
      <c r="P14" s="128" t="str">
        <f>IFERROR(VLOOKUP(P$4,'A&amp;E diverts'!$P$3:$X$17,6,FALSE),"")</f>
        <v/>
      </c>
      <c r="Q14" s="128" t="str">
        <f>IFERROR(VLOOKUP(Q$4,'A&amp;E diverts'!$P$3:$X$17,6,FALSE),"")</f>
        <v/>
      </c>
      <c r="R14" s="57" t="str">
        <f>IFERROR(VLOOKUP(R$4,'A&amp;E diverts'!$P$3:$W$17,6,FALSE),"")</f>
        <v/>
      </c>
      <c r="AA14" s="142"/>
      <c r="AB14" s="142"/>
      <c r="AC14" s="142"/>
      <c r="AD14" s="142"/>
    </row>
    <row r="15" spans="1:30" x14ac:dyDescent="0.35">
      <c r="A15" s="60"/>
      <c r="B15" s="136"/>
      <c r="C15" s="1" t="s">
        <v>28</v>
      </c>
      <c r="D15" s="128">
        <f>IFERROR(VLOOKUP(D$4,'A&amp;E diverts'!$P$3:$X$17,7,FALSE),"")</f>
        <v>0</v>
      </c>
      <c r="E15" s="128">
        <f>IFERROR(VLOOKUP(E$4,'A&amp;E diverts'!$P$3:$X$17,7,FALSE),"")</f>
        <v>0</v>
      </c>
      <c r="F15" s="128">
        <f>IFERROR(VLOOKUP(F$4,'A&amp;E diverts'!$P$3:$X$17,7,FALSE),"")</f>
        <v>0</v>
      </c>
      <c r="G15" s="128">
        <f>IFERROR(VLOOKUP(G$4,'A&amp;E diverts'!$P$3:$X$17,7,FALSE),"")</f>
        <v>0</v>
      </c>
      <c r="H15" s="128">
        <f>IFERROR(VLOOKUP(H$4,'A&amp;E diverts'!$P$3:$X$17,7,FALSE),"")</f>
        <v>0</v>
      </c>
      <c r="I15" s="128">
        <f>IFERROR(VLOOKUP(I$4,'A&amp;E diverts'!$P$3:$X$17,7,FALSE),"")</f>
        <v>0</v>
      </c>
      <c r="J15" s="128">
        <f>IFERROR(VLOOKUP(J$4,'A&amp;E diverts'!$P$3:$X$17,7,FALSE),"")</f>
        <v>0</v>
      </c>
      <c r="K15" s="128">
        <f>IFERROR(VLOOKUP(K$4,'A&amp;E diverts'!$P$3:$X$17,7,FALSE),"")</f>
        <v>0</v>
      </c>
      <c r="L15" s="128" t="str">
        <f>IFERROR(VLOOKUP(L$4,'A&amp;E diverts'!$P$3:$X$17,7,FALSE),"")</f>
        <v/>
      </c>
      <c r="M15" s="128" t="str">
        <f>IFERROR(VLOOKUP(M$4,'A&amp;E diverts'!$P$3:$X$17,7,FALSE),"")</f>
        <v/>
      </c>
      <c r="N15" s="128" t="str">
        <f>IFERROR(VLOOKUP(N$4,'A&amp;E diverts'!$P$3:$X$17,7,FALSE),"")</f>
        <v/>
      </c>
      <c r="O15" s="128" t="str">
        <f>IFERROR(VLOOKUP(O$4,'A&amp;E diverts'!$P$3:$X$17,7,FALSE),"")</f>
        <v/>
      </c>
      <c r="P15" s="128" t="str">
        <f>IFERROR(VLOOKUP(P$4,'A&amp;E diverts'!$P$3:$X$17,7,FALSE),"")</f>
        <v/>
      </c>
      <c r="Q15" s="128" t="str">
        <f>IFERROR(VLOOKUP(Q$4,'A&amp;E diverts'!$P$3:$X$17,7,FALSE),"")</f>
        <v/>
      </c>
      <c r="R15" s="57" t="str">
        <f>IFERROR(VLOOKUP(R$4,'A&amp;E diverts'!$P$3:$W$17,7,FALSE),"")</f>
        <v/>
      </c>
      <c r="AA15" s="142"/>
      <c r="AB15" s="142"/>
      <c r="AC15" s="142"/>
      <c r="AD15" s="142"/>
    </row>
    <row r="16" spans="1:30" ht="7.5" customHeight="1" x14ac:dyDescent="0.35">
      <c r="A16" s="60"/>
      <c r="B16" s="136"/>
      <c r="AA16" s="142"/>
      <c r="AB16" s="142"/>
      <c r="AC16" s="142"/>
      <c r="AD16" s="142"/>
    </row>
    <row r="17" spans="1:32" x14ac:dyDescent="0.35">
      <c r="A17" s="60"/>
      <c r="B17" s="136"/>
      <c r="C17" s="1" t="s">
        <v>29</v>
      </c>
      <c r="D17" s="155" t="s">
        <v>18</v>
      </c>
      <c r="E17" s="156"/>
      <c r="F17" s="157"/>
      <c r="G17" s="158" t="s">
        <v>30</v>
      </c>
      <c r="H17" s="158"/>
      <c r="I17" s="158"/>
      <c r="J17" s="158"/>
      <c r="K17" s="148" t="s">
        <v>20</v>
      </c>
      <c r="L17" s="148"/>
      <c r="M17" s="148"/>
      <c r="N17" s="166" t="str">
        <f>'A&amp;E diverts'!AD5&amp;" ("&amp;TEXT('A&amp;E diverts'!AD7,"d-mmm")&amp;")"</f>
        <v>12 (21-Dec)</v>
      </c>
      <c r="O17" s="166"/>
      <c r="P17" s="166"/>
      <c r="Q17" s="166"/>
      <c r="R17" s="59"/>
      <c r="AA17" s="142"/>
      <c r="AB17" s="142"/>
      <c r="AC17" s="142"/>
      <c r="AD17" s="142"/>
    </row>
    <row r="18" spans="1:32" ht="7.5" customHeight="1" x14ac:dyDescent="0.35">
      <c r="A18" s="60"/>
      <c r="B18" s="136"/>
      <c r="C18" s="1"/>
      <c r="R18" s="60"/>
      <c r="AA18" s="142"/>
      <c r="AB18" s="142"/>
      <c r="AC18" s="142"/>
      <c r="AD18" s="142"/>
    </row>
    <row r="19" spans="1:32" x14ac:dyDescent="0.35">
      <c r="A19" s="60"/>
      <c r="B19" s="136"/>
      <c r="C19" s="1" t="s">
        <v>31</v>
      </c>
      <c r="D19" s="158" t="s">
        <v>18</v>
      </c>
      <c r="E19" s="158"/>
      <c r="F19" s="158"/>
      <c r="G19" s="158" t="s">
        <v>32</v>
      </c>
      <c r="H19" s="158"/>
      <c r="I19" s="158"/>
      <c r="J19" s="158"/>
      <c r="K19" s="148" t="s">
        <v>20</v>
      </c>
      <c r="L19" s="148"/>
      <c r="M19" s="148"/>
      <c r="N19" s="166" t="str">
        <f>'A&amp;E diverts'!AI5&amp;" out of "&amp;'A&amp;E diverts'!AI6&amp;" ("&amp;TEXT('A&amp;E diverts'!AI7,"0%")&amp;")"</f>
        <v>2 out of 56 (4%)</v>
      </c>
      <c r="O19" s="166"/>
      <c r="P19" s="166"/>
      <c r="Q19" s="166"/>
      <c r="R19" s="59"/>
      <c r="AA19" s="142"/>
      <c r="AB19" s="142"/>
      <c r="AC19" s="142"/>
      <c r="AD19" s="142"/>
      <c r="AF19" s="33"/>
    </row>
    <row r="20" spans="1:32" ht="30" customHeight="1" x14ac:dyDescent="0.35">
      <c r="C20" s="1"/>
    </row>
    <row r="21" spans="1:32" ht="15" customHeight="1" x14ac:dyDescent="0.35">
      <c r="B21" s="136" t="s">
        <v>33</v>
      </c>
      <c r="C21" s="9" t="s">
        <v>34</v>
      </c>
      <c r="D21" s="85">
        <v>93650.428571428565</v>
      </c>
      <c r="E21" s="85">
        <v>93161.71428571429</v>
      </c>
      <c r="F21" s="85">
        <v>92488.71428571429</v>
      </c>
      <c r="G21" s="85">
        <v>93346.71428571429</v>
      </c>
      <c r="H21" s="85">
        <v>93925.857142857145</v>
      </c>
      <c r="I21" s="85">
        <v>94001.571428571435</v>
      </c>
      <c r="J21" s="85">
        <v>93775.71428571429</v>
      </c>
      <c r="K21" s="85">
        <v>93805.28571428571</v>
      </c>
      <c r="L21" s="85">
        <v>94035.71428571429</v>
      </c>
      <c r="M21" s="85">
        <v>93641</v>
      </c>
      <c r="N21" s="85">
        <v>93906.571428571435</v>
      </c>
      <c r="O21" s="85">
        <v>94013.142857142855</v>
      </c>
      <c r="P21" s="85">
        <v>93559.428571428565</v>
      </c>
      <c r="Q21" s="85"/>
    </row>
    <row r="22" spans="1:32" ht="12" customHeight="1" x14ac:dyDescent="0.35">
      <c r="B22" s="136"/>
      <c r="C22" s="1" t="s">
        <v>18</v>
      </c>
      <c r="D22" s="91">
        <v>98118.428571428565</v>
      </c>
      <c r="E22" s="91">
        <v>98291.428571428565</v>
      </c>
      <c r="F22" s="91">
        <v>98014.571428571435</v>
      </c>
      <c r="G22" s="91">
        <v>98114</v>
      </c>
      <c r="H22" s="91">
        <v>97619</v>
      </c>
      <c r="I22" s="91">
        <v>98702.71428571429</v>
      </c>
      <c r="J22" s="91">
        <v>99458.857142857145</v>
      </c>
      <c r="K22" s="91">
        <v>99750.428571428565</v>
      </c>
      <c r="L22" s="91">
        <v>99863.71428571429</v>
      </c>
      <c r="M22" s="91">
        <v>99876.28571428571</v>
      </c>
      <c r="N22" s="91">
        <v>99886.71428571429</v>
      </c>
      <c r="O22" s="91">
        <v>100018.28571428571</v>
      </c>
      <c r="P22" s="91">
        <v>99921.142857142855</v>
      </c>
      <c r="Q22" s="91">
        <v>99810.428571428565</v>
      </c>
      <c r="AA22" s="137" t="s">
        <v>35</v>
      </c>
      <c r="AB22" s="137"/>
      <c r="AC22" s="137"/>
      <c r="AD22" s="137"/>
    </row>
    <row r="23" spans="1:32" ht="7.5" customHeight="1" x14ac:dyDescent="0.35">
      <c r="B23" s="136"/>
      <c r="C23" s="1"/>
      <c r="D23" s="26">
        <v>93649.571428571435</v>
      </c>
      <c r="E23" s="26">
        <v>93473.142857142855</v>
      </c>
      <c r="F23" s="26">
        <v>93407.857142857145</v>
      </c>
      <c r="G23" s="26">
        <v>92975.571428571435</v>
      </c>
      <c r="H23" s="26">
        <v>93152.428571428565</v>
      </c>
      <c r="I23" s="26">
        <v>93636.28571428571</v>
      </c>
      <c r="J23" s="26">
        <v>93877.142857142855</v>
      </c>
      <c r="K23" s="26">
        <v>93919.28571428571</v>
      </c>
      <c r="L23" s="26">
        <v>94246.428571428565</v>
      </c>
      <c r="M23" s="26">
        <v>94095.857142857145</v>
      </c>
      <c r="N23" s="26">
        <v>94323</v>
      </c>
      <c r="O23" s="26">
        <v>94216.428571428565</v>
      </c>
      <c r="P23" s="26">
        <v>94254.28571428571</v>
      </c>
      <c r="Q23" s="26"/>
      <c r="R23" s="26">
        <v>0.85</v>
      </c>
      <c r="AA23" s="137"/>
      <c r="AB23" s="137"/>
      <c r="AC23" s="137"/>
      <c r="AD23" s="137"/>
    </row>
    <row r="24" spans="1:32" x14ac:dyDescent="0.35">
      <c r="B24" s="136"/>
      <c r="C24" s="13" t="s">
        <v>20</v>
      </c>
      <c r="D24" s="127">
        <f>IFERROR(VLOOKUP(D$4,'G&amp;A bed avail.'!$AW$5:$BE$18,2,FALSE),"")</f>
        <v>99217.142857142855</v>
      </c>
      <c r="E24" s="127">
        <f>IFERROR(VLOOKUP(E$4,'G&amp;A bed avail.'!$AW$5:$BE$18,2,FALSE),"")</f>
        <v>99271.857142857145</v>
      </c>
      <c r="F24" s="127">
        <f>IFERROR(VLOOKUP(F$4,'G&amp;A bed avail.'!$AW$5:$BE$18,2,FALSE),"")</f>
        <v>99588</v>
      </c>
      <c r="G24" s="127">
        <f>IFERROR(VLOOKUP(G$4,'G&amp;A bed avail.'!$AW$5:$BE$18,2,FALSE),"")</f>
        <v>99769.571428571435</v>
      </c>
      <c r="H24" s="127">
        <f>IFERROR(VLOOKUP(H$4,'G&amp;A bed avail.'!$AW$5:$BE$18,2,FALSE),"")</f>
        <v>98999.571428571435</v>
      </c>
      <c r="I24" s="127">
        <f>IFERROR(VLOOKUP(I$4,'G&amp;A bed avail.'!$AW$5:$BE$18,2,FALSE),"")</f>
        <v>99260.571428571435</v>
      </c>
      <c r="J24" s="127">
        <f>IFERROR(VLOOKUP(J$4,'G&amp;A bed avail.'!$AW$5:$BE$18,2,FALSE),"")</f>
        <v>100202.28571428571</v>
      </c>
      <c r="K24" s="127">
        <f>IFERROR(VLOOKUP(K$4,'G&amp;A bed avail.'!$AW$5:$BE$18,2,FALSE),"")</f>
        <v>99896.428571428565</v>
      </c>
      <c r="L24" s="127" t="str">
        <f>IFERROR(VLOOKUP(L$4,'G&amp;A bed avail.'!$AW$5:$BE$18,2,FALSE),"")</f>
        <v/>
      </c>
      <c r="M24" s="127" t="str">
        <f>IFERROR(VLOOKUP(M$4,'G&amp;A bed avail.'!$AW$5:$BE$18,2,FALSE),"")</f>
        <v/>
      </c>
      <c r="N24" s="127" t="str">
        <f>IFERROR(VLOOKUP(N$4,'G&amp;A bed avail.'!$AW$5:$BE$18,2,FALSE),"")</f>
        <v/>
      </c>
      <c r="O24" s="127" t="str">
        <f>IFERROR(VLOOKUP(O$4,'G&amp;A bed avail.'!$AW$5:$BE$18,2,FALSE),"")</f>
        <v/>
      </c>
      <c r="P24" s="127" t="str">
        <f>IFERROR(VLOOKUP(P$4,'G&amp;A bed avail.'!$AW$5:$BE$18,2,FALSE),"")</f>
        <v/>
      </c>
      <c r="Q24" s="127" t="str">
        <f>IFERROR(VLOOKUP(Q$4,'G&amp;A bed avail.'!$AW$5:$BE$19,2,FALSE),"")</f>
        <v/>
      </c>
      <c r="R24" s="61" t="str">
        <f>IFERROR(VLOOKUP(R$4,'G&amp;A bed avail.'!$AW$5:$BD$19,2,FALSE),"")</f>
        <v/>
      </c>
      <c r="AA24" s="137"/>
      <c r="AB24" s="137"/>
      <c r="AC24" s="137"/>
      <c r="AD24" s="137"/>
    </row>
    <row r="25" spans="1:32" x14ac:dyDescent="0.35">
      <c r="B25" s="136"/>
      <c r="C25" s="1" t="s">
        <v>21</v>
      </c>
      <c r="D25" s="129">
        <f>IFERROR(VLOOKUP(D$4,'G&amp;A bed avail.'!$AW$5:$BE$18,3,FALSE),"")</f>
        <v>14791.857142857143</v>
      </c>
      <c r="E25" s="129">
        <f>IFERROR(VLOOKUP(E$4,'G&amp;A bed avail.'!$AW$5:$BE$18,3,FALSE),"")</f>
        <v>14823.571428571429</v>
      </c>
      <c r="F25" s="129">
        <f>IFERROR(VLOOKUP(F$4,'G&amp;A bed avail.'!$AW$5:$BE$18,3,FALSE),"")</f>
        <v>14803.142857142857</v>
      </c>
      <c r="G25" s="129">
        <f>IFERROR(VLOOKUP(G$4,'G&amp;A bed avail.'!$AW$5:$BE$18,3,FALSE),"")</f>
        <v>14853</v>
      </c>
      <c r="H25" s="129">
        <f>IFERROR(VLOOKUP(H$4,'G&amp;A bed avail.'!$AW$5:$BE$18,3,FALSE),"")</f>
        <v>14804.571428571429</v>
      </c>
      <c r="I25" s="129">
        <f>IFERROR(VLOOKUP(I$4,'G&amp;A bed avail.'!$AW$5:$BE$18,3,FALSE),"")</f>
        <v>14525.857142857143</v>
      </c>
      <c r="J25" s="129">
        <f>IFERROR(VLOOKUP(J$4,'G&amp;A bed avail.'!$AW$5:$BE$18,3,FALSE),"")</f>
        <v>14934.857142857143</v>
      </c>
      <c r="K25" s="129">
        <f>IFERROR(VLOOKUP(K$4,'G&amp;A bed avail.'!$AW$5:$BE$18,3,FALSE),"")</f>
        <v>14697.857142857143</v>
      </c>
      <c r="L25" s="129" t="str">
        <f>IFERROR(VLOOKUP(L$4,'G&amp;A bed avail.'!$AW$5:$BE$18,3,FALSE),"")</f>
        <v/>
      </c>
      <c r="M25" s="129" t="str">
        <f>IFERROR(VLOOKUP(M$4,'G&amp;A bed avail.'!$AW$5:$BE$18,3,FALSE),"")</f>
        <v/>
      </c>
      <c r="N25" s="129" t="str">
        <f>IFERROR(VLOOKUP(N$4,'G&amp;A bed avail.'!$AW$5:$BE$18,3,FALSE),"")</f>
        <v/>
      </c>
      <c r="O25" s="129" t="str">
        <f>IFERROR(VLOOKUP(O$4,'G&amp;A bed avail.'!$AW$5:$BE$18,3,FALSE),"")</f>
        <v/>
      </c>
      <c r="P25" s="129" t="str">
        <f>IFERROR(VLOOKUP(P$4,'G&amp;A bed avail.'!$AW$5:$BE$18,3,FALSE),"")</f>
        <v/>
      </c>
      <c r="Q25" s="129" t="str">
        <f>IFERROR(VLOOKUP(Q$4,'G&amp;A bed avail.'!$AW$5:$BE$19,3,FALSE),"")</f>
        <v/>
      </c>
      <c r="R25" s="62" t="str">
        <f>IFERROR(VLOOKUP(R$4,'G&amp;A bed avail.'!$AW$5:$BD$19,3,FALSE),"")</f>
        <v/>
      </c>
      <c r="AA25" s="137"/>
      <c r="AB25" s="137"/>
      <c r="AC25" s="137"/>
      <c r="AD25" s="137"/>
    </row>
    <row r="26" spans="1:32" ht="15" customHeight="1" x14ac:dyDescent="0.35">
      <c r="B26" s="136"/>
      <c r="C26" s="1" t="s">
        <v>22</v>
      </c>
      <c r="D26" s="129">
        <f>IFERROR(VLOOKUP(D$4,'G&amp;A bed avail.'!$AW$5:$BE$18,4,FALSE),"")</f>
        <v>18721.428571428572</v>
      </c>
      <c r="E26" s="129">
        <f>IFERROR(VLOOKUP(E$4,'G&amp;A bed avail.'!$AW$5:$BE$18,4,FALSE),"")</f>
        <v>18864.714285714286</v>
      </c>
      <c r="F26" s="129">
        <f>IFERROR(VLOOKUP(F$4,'G&amp;A bed avail.'!$AW$5:$BE$18,4,FALSE),"")</f>
        <v>18890</v>
      </c>
      <c r="G26" s="129">
        <f>IFERROR(VLOOKUP(G$4,'G&amp;A bed avail.'!$AW$5:$BE$18,4,FALSE),"")</f>
        <v>18880.714285714286</v>
      </c>
      <c r="H26" s="129">
        <f>IFERROR(VLOOKUP(H$4,'G&amp;A bed avail.'!$AW$5:$BE$18,4,FALSE),"")</f>
        <v>18742.571428571428</v>
      </c>
      <c r="I26" s="129">
        <f>IFERROR(VLOOKUP(I$4,'G&amp;A bed avail.'!$AW$5:$BE$18,4,FALSE),"")</f>
        <v>18851.285714285714</v>
      </c>
      <c r="J26" s="129">
        <f>IFERROR(VLOOKUP(J$4,'G&amp;A bed avail.'!$AW$5:$BE$18,4,FALSE),"")</f>
        <v>18942.857142857141</v>
      </c>
      <c r="K26" s="129">
        <f>IFERROR(VLOOKUP(K$4,'G&amp;A bed avail.'!$AW$5:$BE$18,4,FALSE),"")</f>
        <v>18955.428571428572</v>
      </c>
      <c r="L26" s="129" t="str">
        <f>IFERROR(VLOOKUP(L$4,'G&amp;A bed avail.'!$AW$5:$BE$18,4,FALSE),"")</f>
        <v/>
      </c>
      <c r="M26" s="129" t="str">
        <f>IFERROR(VLOOKUP(M$4,'G&amp;A bed avail.'!$AW$5:$BE$18,4,FALSE),"")</f>
        <v/>
      </c>
      <c r="N26" s="129" t="str">
        <f>IFERROR(VLOOKUP(N$4,'G&amp;A bed avail.'!$AW$5:$BE$18,4,FALSE),"")</f>
        <v/>
      </c>
      <c r="O26" s="129" t="str">
        <f>IFERROR(VLOOKUP(O$4,'G&amp;A bed avail.'!$AW$5:$BE$18,4,FALSE),"")</f>
        <v/>
      </c>
      <c r="P26" s="129" t="str">
        <f>IFERROR(VLOOKUP(P$4,'G&amp;A bed avail.'!$AW$5:$BE$18,4,FALSE),"")</f>
        <v/>
      </c>
      <c r="Q26" s="129" t="str">
        <f>IFERROR(VLOOKUP(Q$4,'G&amp;A bed avail.'!$AW$5:$BE$19,4,FALSE),"")</f>
        <v/>
      </c>
      <c r="R26" s="62" t="str">
        <f>IFERROR(VLOOKUP(R$4,'G&amp;A bed avail.'!$AW$5:$BD$19,4,FALSE),"")</f>
        <v/>
      </c>
      <c r="AA26" s="12"/>
      <c r="AB26" s="12"/>
      <c r="AC26" s="12"/>
      <c r="AD26" s="12"/>
    </row>
    <row r="27" spans="1:32" ht="15" customHeight="1" x14ac:dyDescent="0.35">
      <c r="B27" s="136"/>
      <c r="C27" s="1" t="s">
        <v>24</v>
      </c>
      <c r="D27" s="129">
        <f>IFERROR(VLOOKUP(D$4,'G&amp;A bed avail.'!$AW$5:$BE$18,8,FALSE),"")</f>
        <v>10568.571428571429</v>
      </c>
      <c r="E27" s="129">
        <f>IFERROR(VLOOKUP(E$4,'G&amp;A bed avail.'!$AW$5:$BE$18,8,FALSE),"")</f>
        <v>10518.857142857143</v>
      </c>
      <c r="F27" s="129">
        <f>IFERROR(VLOOKUP(F$4,'G&amp;A bed avail.'!$AW$5:$BE$18,8,FALSE),"")</f>
        <v>10530.714285714286</v>
      </c>
      <c r="G27" s="129">
        <f>IFERROR(VLOOKUP(G$4,'G&amp;A bed avail.'!$AW$5:$BE$18,8,FALSE),"")</f>
        <v>10545.571428571429</v>
      </c>
      <c r="H27" s="129">
        <f>IFERROR(VLOOKUP(H$4,'G&amp;A bed avail.'!$AW$5:$BE$18,8,FALSE),"")</f>
        <v>10467.142857142857</v>
      </c>
      <c r="I27" s="129">
        <f>IFERROR(VLOOKUP(I$4,'G&amp;A bed avail.'!$AW$5:$BE$18,8,FALSE),"")</f>
        <v>10517.571428571429</v>
      </c>
      <c r="J27" s="129">
        <f>IFERROR(VLOOKUP(J$4,'G&amp;A bed avail.'!$AW$5:$BE$18,8,FALSE),"")</f>
        <v>10521.857142857143</v>
      </c>
      <c r="K27" s="129">
        <f>IFERROR(VLOOKUP(K$4,'G&amp;A bed avail.'!$AW$5:$BE$18,8,FALSE),"")</f>
        <v>10563.714285714286</v>
      </c>
      <c r="L27" s="129" t="str">
        <f>IFERROR(VLOOKUP(L$4,'G&amp;A bed avail.'!$AW$5:$BE$18,8,FALSE),"")</f>
        <v/>
      </c>
      <c r="M27" s="129" t="str">
        <f>IFERROR(VLOOKUP(M$4,'G&amp;A bed avail.'!$AW$5:$BE$18,8,FALSE),"")</f>
        <v/>
      </c>
      <c r="N27" s="129" t="str">
        <f>IFERROR(VLOOKUP(N$4,'G&amp;A bed avail.'!$AW$5:$BE$18,8,FALSE),"")</f>
        <v/>
      </c>
      <c r="O27" s="129" t="str">
        <f>IFERROR(VLOOKUP(O$4,'G&amp;A bed avail.'!$AW$5:$BE$18,8,FALSE),"")</f>
        <v/>
      </c>
      <c r="P27" s="129" t="str">
        <f>IFERROR(VLOOKUP(P$4,'G&amp;A bed avail.'!$AW$5:$BE$18,8,FALSE),"")</f>
        <v/>
      </c>
      <c r="Q27" s="129" t="str">
        <f>IFERROR(VLOOKUP(Q$4,'G&amp;A bed avail.'!$AW$5:$BE$19,8,FALSE),"")</f>
        <v/>
      </c>
      <c r="R27" s="62"/>
      <c r="AA27" s="161" t="s">
        <v>36</v>
      </c>
      <c r="AB27" s="161"/>
      <c r="AC27" s="161"/>
      <c r="AD27" s="161"/>
    </row>
    <row r="28" spans="1:32" ht="15" customHeight="1" x14ac:dyDescent="0.35">
      <c r="B28" s="136"/>
      <c r="C28" s="1" t="s">
        <v>25</v>
      </c>
      <c r="D28" s="129">
        <f>IFERROR(VLOOKUP(D$4,'G&amp;A bed avail.'!$AW$5:$BE$18,5,FALSE),"")</f>
        <v>17310.571428571428</v>
      </c>
      <c r="E28" s="129">
        <f>IFERROR(VLOOKUP(E$4,'G&amp;A bed avail.'!$AW$5:$BE$18,5,FALSE),"")</f>
        <v>18864.714285714286</v>
      </c>
      <c r="F28" s="129">
        <f>IFERROR(VLOOKUP(F$4,'G&amp;A bed avail.'!$AW$5:$BE$18,5,FALSE),"")</f>
        <v>18890</v>
      </c>
      <c r="G28" s="129">
        <f>IFERROR(VLOOKUP(G$4,'G&amp;A bed avail.'!$AW$5:$BE$18,5,FALSE),"")</f>
        <v>18880.714285714286</v>
      </c>
      <c r="H28" s="129">
        <f>IFERROR(VLOOKUP(H$4,'G&amp;A bed avail.'!$AW$5:$BE$18,5,FALSE),"")</f>
        <v>18742.571428571428</v>
      </c>
      <c r="I28" s="129">
        <f>IFERROR(VLOOKUP(I$4,'G&amp;A bed avail.'!$AW$5:$BE$18,5,FALSE),"")</f>
        <v>18851.285714285714</v>
      </c>
      <c r="J28" s="129">
        <f>IFERROR(VLOOKUP(J$4,'G&amp;A bed avail.'!$AW$5:$BE$18,5,FALSE),"")</f>
        <v>18942.857142857141</v>
      </c>
      <c r="K28" s="129">
        <f>IFERROR(VLOOKUP(K$4,'G&amp;A bed avail.'!$AW$5:$BE$18,5,FALSE),"")</f>
        <v>18955.428571428572</v>
      </c>
      <c r="L28" s="129" t="str">
        <f>IFERROR(VLOOKUP(L$4,'G&amp;A bed avail.'!$AW$5:$BE$18,5,FALSE),"")</f>
        <v/>
      </c>
      <c r="M28" s="129" t="str">
        <f>IFERROR(VLOOKUP(M$4,'G&amp;A bed avail.'!$AW$5:$BE$18,5,FALSE),"")</f>
        <v/>
      </c>
      <c r="N28" s="129" t="str">
        <f>IFERROR(VLOOKUP(N$4,'G&amp;A bed avail.'!$AW$5:$BE$18,5,FALSE),"")</f>
        <v/>
      </c>
      <c r="O28" s="129" t="str">
        <f>IFERROR(VLOOKUP(O$4,'G&amp;A bed avail.'!$AW$5:$BE$18,5,FALSE),"")</f>
        <v/>
      </c>
      <c r="P28" s="129" t="str">
        <f>IFERROR(VLOOKUP(P$4,'G&amp;A bed avail.'!$AW$5:$BE$18,5,FALSE),"")</f>
        <v/>
      </c>
      <c r="Q28" s="129" t="str">
        <f>IFERROR(VLOOKUP(Q$4,'G&amp;A bed avail.'!$AW$5:$BE$19,5,FALSE),"")</f>
        <v/>
      </c>
      <c r="R28" s="62"/>
      <c r="AA28" s="161"/>
      <c r="AB28" s="161"/>
      <c r="AC28" s="161"/>
      <c r="AD28" s="161"/>
    </row>
    <row r="29" spans="1:32" x14ac:dyDescent="0.35">
      <c r="B29" s="136"/>
      <c r="C29" s="1" t="s">
        <v>37</v>
      </c>
      <c r="D29" s="129">
        <f>IFERROR(VLOOKUP(D$4,'G&amp;A bed avail.'!$AW$5:$BE$18,9,FALSE),"")</f>
        <v>14816.428571428571</v>
      </c>
      <c r="E29" s="129">
        <f>IFERROR(VLOOKUP(E$4,'G&amp;A bed avail.'!$AW$5:$BE$18,9,FALSE),"")</f>
        <v>14729.428571428571</v>
      </c>
      <c r="F29" s="129">
        <f>IFERROR(VLOOKUP(F$4,'G&amp;A bed avail.'!$AW$5:$BE$18,9,FALSE),"")</f>
        <v>15052.285714285714</v>
      </c>
      <c r="G29" s="129">
        <f>IFERROR(VLOOKUP(G$4,'G&amp;A bed avail.'!$AW$5:$BE$18,9,FALSE),"")</f>
        <v>15129.428571428571</v>
      </c>
      <c r="H29" s="129">
        <f>IFERROR(VLOOKUP(H$4,'G&amp;A bed avail.'!$AW$5:$BE$18,9,FALSE),"")</f>
        <v>15039</v>
      </c>
      <c r="I29" s="129">
        <f>IFERROR(VLOOKUP(I$4,'G&amp;A bed avail.'!$AW$5:$BE$18,9,FALSE),"")</f>
        <v>15097.571428571429</v>
      </c>
      <c r="J29" s="129">
        <f>IFERROR(VLOOKUP(J$4,'G&amp;A bed avail.'!$AW$5:$BE$18,9,FALSE),"")</f>
        <v>15163.142857142857</v>
      </c>
      <c r="K29" s="129">
        <f>IFERROR(VLOOKUP(K$4,'G&amp;A bed avail.'!$AW$5:$BE$18,9,FALSE),"")</f>
        <v>15159.857142857143</v>
      </c>
      <c r="L29" s="129" t="str">
        <f>IFERROR(VLOOKUP(L$4,'G&amp;A bed avail.'!$AW$5:$BE$18,9,FALSE),"")</f>
        <v/>
      </c>
      <c r="M29" s="129" t="str">
        <f>IFERROR(VLOOKUP(M$4,'G&amp;A bed avail.'!$AW$5:$BE$18,9,FALSE),"")</f>
        <v/>
      </c>
      <c r="N29" s="129" t="str">
        <f>IFERROR(VLOOKUP(N$4,'G&amp;A bed avail.'!$AW$5:$BE$18,9,FALSE),"")</f>
        <v/>
      </c>
      <c r="O29" s="129" t="str">
        <f>IFERROR(VLOOKUP(O$4,'G&amp;A bed avail.'!$AW$5:$BE$18,9,FALSE),"")</f>
        <v/>
      </c>
      <c r="P29" s="129" t="str">
        <f>IFERROR(VLOOKUP(P$4,'G&amp;A bed avail.'!$AW$5:$BE$18,9,FALSE),"")</f>
        <v/>
      </c>
      <c r="Q29" s="129" t="str">
        <f>IFERROR(VLOOKUP(Q$4,'G&amp;A bed avail.'!$AW$5:$BE$19,9,FALSE),"")</f>
        <v/>
      </c>
      <c r="R29" s="62" t="str">
        <f>IFERROR(VLOOKUP(R$4,'G&amp;A bed avail.'!$AW$5:$BD$19,5,FALSE),"")</f>
        <v/>
      </c>
      <c r="AA29" s="161"/>
      <c r="AB29" s="161"/>
      <c r="AC29" s="161"/>
      <c r="AD29" s="161"/>
    </row>
    <row r="30" spans="1:32" x14ac:dyDescent="0.35">
      <c r="B30" s="136"/>
      <c r="C30" s="1" t="s">
        <v>27</v>
      </c>
      <c r="D30" s="129">
        <f>IFERROR(VLOOKUP(D$4,'G&amp;A bed avail.'!$AW$5:$BE$18,6,FALSE),"")</f>
        <v>13186.428571428571</v>
      </c>
      <c r="E30" s="129">
        <f>IFERROR(VLOOKUP(E$4,'G&amp;A bed avail.'!$AW$5:$BE$18,6,FALSE),"")</f>
        <v>13186</v>
      </c>
      <c r="F30" s="129">
        <f>IFERROR(VLOOKUP(F$4,'G&amp;A bed avail.'!$AW$5:$BE$18,6,FALSE),"")</f>
        <v>13216.285714285714</v>
      </c>
      <c r="G30" s="129">
        <f>IFERROR(VLOOKUP(G$4,'G&amp;A bed avail.'!$AW$5:$BE$18,6,FALSE),"")</f>
        <v>13235.714285714286</v>
      </c>
      <c r="H30" s="129">
        <f>IFERROR(VLOOKUP(H$4,'G&amp;A bed avail.'!$AW$5:$BE$18,6,FALSE),"")</f>
        <v>13088.142857142857</v>
      </c>
      <c r="I30" s="129">
        <f>IFERROR(VLOOKUP(I$4,'G&amp;A bed avail.'!$AW$5:$BE$18,6,FALSE),"")</f>
        <v>13183</v>
      </c>
      <c r="J30" s="129">
        <f>IFERROR(VLOOKUP(J$4,'G&amp;A bed avail.'!$AW$5:$BE$18,6,FALSE),"")</f>
        <v>13312.428571428571</v>
      </c>
      <c r="K30" s="129">
        <f>IFERROR(VLOOKUP(K$4,'G&amp;A bed avail.'!$AW$5:$BE$18,6,FALSE),"")</f>
        <v>13302.714285714286</v>
      </c>
      <c r="L30" s="129" t="str">
        <f>IFERROR(VLOOKUP(L$4,'G&amp;A bed avail.'!$AW$5:$BE$18,6,FALSE),"")</f>
        <v/>
      </c>
      <c r="M30" s="129" t="str">
        <f>IFERROR(VLOOKUP(M$4,'G&amp;A bed avail.'!$AW$5:$BE$18,6,FALSE),"")</f>
        <v/>
      </c>
      <c r="N30" s="129" t="str">
        <f>IFERROR(VLOOKUP(N$4,'G&amp;A bed avail.'!$AW$5:$BE$18,6,FALSE),"")</f>
        <v/>
      </c>
      <c r="O30" s="129" t="str">
        <f>IFERROR(VLOOKUP(O$4,'G&amp;A bed avail.'!$AW$5:$BE$18,6,FALSE),"")</f>
        <v/>
      </c>
      <c r="P30" s="129" t="str">
        <f>IFERROR(VLOOKUP(P$4,'G&amp;A bed avail.'!$AW$5:$BE$18,6,FALSE),"")</f>
        <v/>
      </c>
      <c r="Q30" s="129" t="str">
        <f>IFERROR(VLOOKUP(Q$4,'G&amp;A bed avail.'!$AW$5:$BE$19,6,FALSE),"")</f>
        <v/>
      </c>
      <c r="R30" s="62" t="str">
        <f>IFERROR(VLOOKUP(R$4,'G&amp;A bed avail.'!$AW$5:$BD$19,6,FALSE),"")</f>
        <v/>
      </c>
      <c r="AA30" s="161"/>
      <c r="AB30" s="161"/>
      <c r="AC30" s="161"/>
      <c r="AD30" s="161"/>
    </row>
    <row r="31" spans="1:32" x14ac:dyDescent="0.35">
      <c r="B31" s="136"/>
      <c r="C31" s="1" t="s">
        <v>28</v>
      </c>
      <c r="D31" s="129">
        <f>IFERROR(VLOOKUP(D$4,'G&amp;A bed avail.'!$AW$5:$BE$18,7,FALSE),"")</f>
        <v>9821.8571428571431</v>
      </c>
      <c r="E31" s="129">
        <f>IFERROR(VLOOKUP(E$4,'G&amp;A bed avail.'!$AW$5:$BE$18,7,FALSE),"")</f>
        <v>9834.4285714285706</v>
      </c>
      <c r="F31" s="129">
        <f>IFERROR(VLOOKUP(F$4,'G&amp;A bed avail.'!$AW$5:$BE$18,7,FALSE),"")</f>
        <v>9822.5714285714294</v>
      </c>
      <c r="G31" s="129">
        <f>IFERROR(VLOOKUP(G$4,'G&amp;A bed avail.'!$AW$5:$BE$18,7,FALSE),"")</f>
        <v>9845.4285714285706</v>
      </c>
      <c r="H31" s="129">
        <f>IFERROR(VLOOKUP(H$4,'G&amp;A bed avail.'!$AW$5:$BE$18,7,FALSE),"")</f>
        <v>9750.5714285714294</v>
      </c>
      <c r="I31" s="129">
        <f>IFERROR(VLOOKUP(I$4,'G&amp;A bed avail.'!$AW$5:$BE$18,7,FALSE),"")</f>
        <v>9826</v>
      </c>
      <c r="J31" s="129">
        <f>IFERROR(VLOOKUP(J$4,'G&amp;A bed avail.'!$AW$5:$BE$18,7,FALSE),"")</f>
        <v>9844.5714285714294</v>
      </c>
      <c r="K31" s="129">
        <f>IFERROR(VLOOKUP(K$4,'G&amp;A bed avail.'!$AW$5:$BE$18,7,FALSE),"")</f>
        <v>9771.2857142857138</v>
      </c>
      <c r="L31" s="129" t="str">
        <f>IFERROR(VLOOKUP(L$4,'G&amp;A bed avail.'!$AW$5:$BE$18,7,FALSE),"")</f>
        <v/>
      </c>
      <c r="M31" s="129" t="str">
        <f>IFERROR(VLOOKUP(M$4,'G&amp;A bed avail.'!$AW$5:$BE$18,7,FALSE),"")</f>
        <v/>
      </c>
      <c r="N31" s="129" t="str">
        <f>IFERROR(VLOOKUP(N$4,'G&amp;A bed avail.'!$AW$5:$BE$18,7,FALSE),"")</f>
        <v/>
      </c>
      <c r="O31" s="129" t="str">
        <f>IFERROR(VLOOKUP(O$4,'G&amp;A bed avail.'!$AW$5:$BE$18,7,FALSE),"")</f>
        <v/>
      </c>
      <c r="P31" s="129" t="str">
        <f>IFERROR(VLOOKUP(P$4,'G&amp;A bed avail.'!$AW$5:$BE$18,7,FALSE),"")</f>
        <v/>
      </c>
      <c r="Q31" s="129" t="str">
        <f>IFERROR(VLOOKUP(Q$4,'G&amp;A bed avail.'!$AW$5:$BE$19,7,FALSE),"")</f>
        <v/>
      </c>
      <c r="R31" s="62" t="str">
        <f>IFERROR(VLOOKUP(R$4,'G&amp;A bed avail.'!$AW$5:$BD$19,7,FALSE),"")</f>
        <v/>
      </c>
      <c r="AA31" s="161"/>
      <c r="AB31" s="161"/>
      <c r="AC31" s="161"/>
      <c r="AD31" s="161"/>
    </row>
    <row r="32" spans="1:32" ht="7.5" customHeight="1" x14ac:dyDescent="0.35">
      <c r="B32" s="136"/>
      <c r="C32" s="1"/>
      <c r="D32" s="29"/>
      <c r="E32" s="29"/>
      <c r="F32" s="29"/>
      <c r="G32" s="29"/>
      <c r="H32" s="29"/>
      <c r="I32" s="29"/>
      <c r="J32" s="29"/>
      <c r="K32" s="29"/>
      <c r="L32" s="29"/>
      <c r="M32" s="29"/>
      <c r="N32" s="29"/>
      <c r="O32" s="29"/>
      <c r="P32" s="29"/>
      <c r="Q32" s="29"/>
      <c r="R32" s="29"/>
      <c r="AA32" s="161"/>
      <c r="AB32" s="161"/>
      <c r="AC32" s="161"/>
      <c r="AD32" s="161"/>
    </row>
    <row r="33" spans="2:30" x14ac:dyDescent="0.35">
      <c r="B33" s="136"/>
      <c r="C33" s="1" t="s">
        <v>38</v>
      </c>
      <c r="D33" s="158" t="s">
        <v>18</v>
      </c>
      <c r="E33" s="158"/>
      <c r="F33" s="158"/>
      <c r="G33" s="162" t="s">
        <v>39</v>
      </c>
      <c r="H33" s="162"/>
      <c r="I33" s="162"/>
      <c r="J33" s="162"/>
      <c r="K33" s="148" t="s">
        <v>20</v>
      </c>
      <c r="L33" s="148"/>
      <c r="M33" s="148"/>
      <c r="N33" s="167" t="str">
        <f>TEXT('G&amp;A bed avail.'!BM6,"0,0")&amp;" ("&amp;TEXT('G&amp;A bed avail.'!BO6,"d-mmm")&amp;")"</f>
        <v>100,573 (8-Jan)</v>
      </c>
      <c r="O33" s="168"/>
      <c r="P33" s="168"/>
      <c r="Q33" s="168"/>
      <c r="R33" s="63"/>
      <c r="AA33" s="161"/>
      <c r="AB33" s="161"/>
      <c r="AC33" s="161"/>
      <c r="AD33" s="161"/>
    </row>
    <row r="34" spans="2:30" ht="7.5" customHeight="1" x14ac:dyDescent="0.35">
      <c r="B34" s="136"/>
      <c r="C34" s="1"/>
      <c r="D34" s="29"/>
      <c r="E34" s="29"/>
      <c r="F34" s="29"/>
      <c r="G34" s="29"/>
      <c r="H34" s="29"/>
      <c r="I34" s="29"/>
      <c r="J34" s="29"/>
      <c r="K34" s="29"/>
      <c r="L34" s="29"/>
      <c r="M34" s="29"/>
      <c r="N34" s="29"/>
      <c r="O34" s="29"/>
      <c r="P34" s="29"/>
      <c r="Q34" s="29"/>
      <c r="R34" s="29"/>
      <c r="AA34" s="161"/>
      <c r="AB34" s="161"/>
      <c r="AC34" s="161"/>
      <c r="AD34" s="161"/>
    </row>
    <row r="35" spans="2:30" ht="15" customHeight="1" x14ac:dyDescent="0.35">
      <c r="B35" s="136"/>
      <c r="C35" s="9" t="s">
        <v>40</v>
      </c>
      <c r="D35" s="85">
        <v>2399.8571428571427</v>
      </c>
      <c r="E35" s="85">
        <v>2249.5714285714284</v>
      </c>
      <c r="F35" s="85">
        <v>1987.4285714285713</v>
      </c>
      <c r="G35" s="85">
        <v>1727.8571428571429</v>
      </c>
      <c r="H35" s="85">
        <v>3065.8571428571427</v>
      </c>
      <c r="I35" s="85">
        <v>3611.7142857142858</v>
      </c>
      <c r="J35" s="85">
        <v>3702.8571428571427</v>
      </c>
      <c r="K35" s="85">
        <v>3630</v>
      </c>
      <c r="L35" s="85">
        <v>3882.8571428571427</v>
      </c>
      <c r="M35" s="85">
        <v>4015.2857142857142</v>
      </c>
      <c r="N35" s="85">
        <v>3861.5714285714284</v>
      </c>
      <c r="O35" s="85">
        <v>3602.7142857142858</v>
      </c>
      <c r="P35" s="85">
        <v>3373.5714285714284</v>
      </c>
      <c r="Q35" s="85"/>
      <c r="AA35" s="161"/>
      <c r="AB35" s="161"/>
      <c r="AC35" s="161"/>
      <c r="AD35" s="161"/>
    </row>
    <row r="36" spans="2:30" ht="15" customHeight="1" x14ac:dyDescent="0.35">
      <c r="B36" s="136"/>
      <c r="C36" s="1" t="s">
        <v>18</v>
      </c>
      <c r="D36" s="91">
        <v>2785</v>
      </c>
      <c r="E36" s="91">
        <v>2968.1428571428573</v>
      </c>
      <c r="F36" s="91">
        <v>3184.8571428571427</v>
      </c>
      <c r="G36" s="91">
        <v>2625.8571428571427</v>
      </c>
      <c r="H36" s="91">
        <v>2389</v>
      </c>
      <c r="I36" s="91">
        <v>3522.8571428571427</v>
      </c>
      <c r="J36" s="91">
        <v>3325</v>
      </c>
      <c r="K36" s="91">
        <v>3526.8571428571427</v>
      </c>
      <c r="L36" s="91">
        <v>3824.4285714285716</v>
      </c>
      <c r="M36" s="91">
        <v>3707.7142857142858</v>
      </c>
      <c r="N36" s="91">
        <v>3670.5714285714284</v>
      </c>
      <c r="O36" s="91">
        <v>3578.5714285714284</v>
      </c>
      <c r="P36" s="91">
        <v>3351.8571428571427</v>
      </c>
      <c r="Q36" s="91">
        <v>3083.1428571428573</v>
      </c>
      <c r="S36" s="2"/>
      <c r="AA36" s="161"/>
      <c r="AB36" s="161"/>
      <c r="AC36" s="161"/>
      <c r="AD36" s="161"/>
    </row>
    <row r="37" spans="2:30" ht="7.5" customHeight="1" x14ac:dyDescent="0.35">
      <c r="B37" s="136"/>
      <c r="C37" s="1"/>
      <c r="D37" s="26"/>
      <c r="E37" s="26"/>
      <c r="F37" s="26"/>
      <c r="G37" s="26"/>
      <c r="H37" s="26"/>
      <c r="I37" s="26"/>
      <c r="J37" s="26"/>
      <c r="K37" s="26"/>
      <c r="L37" s="26"/>
      <c r="M37" s="26"/>
      <c r="N37" s="26"/>
      <c r="O37" s="26"/>
      <c r="P37" s="26"/>
      <c r="Q37" s="26"/>
      <c r="R37" s="26">
        <v>0.85</v>
      </c>
      <c r="AA37" s="161"/>
      <c r="AB37" s="161"/>
      <c r="AC37" s="161"/>
      <c r="AD37" s="161"/>
    </row>
    <row r="38" spans="2:30" x14ac:dyDescent="0.35">
      <c r="B38" s="136"/>
      <c r="C38" s="13" t="s">
        <v>20</v>
      </c>
      <c r="D38" s="47">
        <f>IFERROR(VLOOKUP(D$4, 'G&amp;A bed avail.'!$AW$22:$BE$35,2,FALSE),"")</f>
        <v>2852.8571428571427</v>
      </c>
      <c r="E38" s="47">
        <f>IFERROR(VLOOKUP(E$4, 'G&amp;A bed avail.'!$AW$22:$BE$35,2,FALSE),"")</f>
        <v>2907.5714285714284</v>
      </c>
      <c r="F38" s="47">
        <f>IFERROR(VLOOKUP(F$4, 'G&amp;A bed avail.'!$AW$22:$BE$35,2,FALSE),"")</f>
        <v>2876</v>
      </c>
      <c r="G38" s="47">
        <f>IFERROR(VLOOKUP(G$4, 'G&amp;A bed avail.'!$AW$22:$BE$35,2,FALSE),"")</f>
        <v>2834.2857142857142</v>
      </c>
      <c r="H38" s="47">
        <f>IFERROR(VLOOKUP(H$4, 'G&amp;A bed avail.'!$AW$22:$BE$35,2,FALSE),"")</f>
        <v>2309.2857142857142</v>
      </c>
      <c r="I38" s="47">
        <f>IFERROR(VLOOKUP(I$4, 'G&amp;A bed avail.'!$AW$22:$BE$35,2,FALSE),"")</f>
        <v>3285.2857142857142</v>
      </c>
      <c r="J38" s="47">
        <f>IFERROR(VLOOKUP(J$4, 'G&amp;A bed avail.'!$AW$22:$BE$35,2,FALSE),"")</f>
        <v>3644.7142857142858</v>
      </c>
      <c r="K38" s="47">
        <f>IFERROR(VLOOKUP(K$4, 'G&amp;A bed avail.'!$AW$22:$BE$35,2,FALSE),"")</f>
        <v>3361.4285714285716</v>
      </c>
      <c r="L38" s="47" t="str">
        <f>IFERROR(VLOOKUP(L$4, 'G&amp;A bed avail.'!$AW$22:$BE$35,2,FALSE),"")</f>
        <v/>
      </c>
      <c r="M38" s="47" t="str">
        <f>IFERROR(VLOOKUP(M$4, 'G&amp;A bed avail.'!$AW$22:$BE$35,2,FALSE),"")</f>
        <v/>
      </c>
      <c r="N38" s="47" t="str">
        <f>IFERROR(VLOOKUP(N$4, 'G&amp;A bed avail.'!$AW$22:$BE$35,2,FALSE),"")</f>
        <v/>
      </c>
      <c r="O38" s="47" t="str">
        <f>IFERROR(VLOOKUP(O$4, 'G&amp;A bed avail.'!$AW$22:$BE$35,2,FALSE),"")</f>
        <v/>
      </c>
      <c r="P38" s="47" t="str">
        <f>IFERROR(VLOOKUP(P$4, 'G&amp;A bed avail.'!$AW$22:$BE$35,2,FALSE),"")</f>
        <v/>
      </c>
      <c r="Q38" s="47" t="str">
        <f>IFERROR(VLOOKUP(Q$4, 'G&amp;A bed avail.'!$AW$22:$BE$36,2,FALSE),"")</f>
        <v/>
      </c>
      <c r="R38" s="61" t="str">
        <f>IFERROR(VLOOKUP(R$4, 'G&amp;A bed avail.'!$AW$22:$BD$36,2,FALSE),"")</f>
        <v/>
      </c>
      <c r="AA38" s="161"/>
      <c r="AB38" s="161"/>
      <c r="AC38" s="161"/>
      <c r="AD38" s="161"/>
    </row>
    <row r="39" spans="2:30" x14ac:dyDescent="0.35">
      <c r="B39" s="136"/>
      <c r="C39" s="1" t="s">
        <v>21</v>
      </c>
      <c r="D39" s="129">
        <f>IFERROR(VLOOKUP(D$4, 'G&amp;A bed avail.'!$AW$22:$BE$35,3,FALSE),"")</f>
        <v>338.28571428571428</v>
      </c>
      <c r="E39" s="129">
        <f>IFERROR(VLOOKUP(E$4, 'G&amp;A bed avail.'!$AW$22:$BE$35,3,FALSE),"")</f>
        <v>337</v>
      </c>
      <c r="F39" s="129">
        <f>IFERROR(VLOOKUP(F$4, 'G&amp;A bed avail.'!$AW$22:$BE$35,3,FALSE),"")</f>
        <v>354.14285714285717</v>
      </c>
      <c r="G39" s="129">
        <f>IFERROR(VLOOKUP(G$4, 'G&amp;A bed avail.'!$AW$22:$BE$35,3,FALSE),"")</f>
        <v>357.14285714285717</v>
      </c>
      <c r="H39" s="129">
        <f>IFERROR(VLOOKUP(H$4, 'G&amp;A bed avail.'!$AW$22:$BE$35,3,FALSE),"")</f>
        <v>273.71428571428572</v>
      </c>
      <c r="I39" s="129">
        <f>IFERROR(VLOOKUP(I$4, 'G&amp;A bed avail.'!$AW$22:$BE$35,3,FALSE),"")</f>
        <v>376.57142857142856</v>
      </c>
      <c r="J39" s="129">
        <f>IFERROR(VLOOKUP(J$4, 'G&amp;A bed avail.'!$AW$22:$BE$35,3,FALSE),"")</f>
        <v>423.57142857142856</v>
      </c>
      <c r="K39" s="129">
        <f>IFERROR(VLOOKUP(K$4, 'G&amp;A bed avail.'!$AW$22:$BE$35,3,FALSE),"")</f>
        <v>416.28571428571428</v>
      </c>
      <c r="L39" s="129" t="str">
        <f>IFERROR(VLOOKUP(L$4, 'G&amp;A bed avail.'!$AW$22:$BE$35,3,FALSE),"")</f>
        <v/>
      </c>
      <c r="M39" s="129" t="str">
        <f>IFERROR(VLOOKUP(M$4, 'G&amp;A bed avail.'!$AW$22:$BE$35,3,FALSE),"")</f>
        <v/>
      </c>
      <c r="N39" s="129" t="str">
        <f>IFERROR(VLOOKUP(N$4, 'G&amp;A bed avail.'!$AW$22:$BE$35,3,FALSE),"")</f>
        <v/>
      </c>
      <c r="O39" s="129" t="str">
        <f>IFERROR(VLOOKUP(O$4, 'G&amp;A bed avail.'!$AW$22:$BE$35,3,FALSE),"")</f>
        <v/>
      </c>
      <c r="P39" s="129" t="str">
        <f>IFERROR(VLOOKUP(P$4, 'G&amp;A bed avail.'!$AW$22:$BE$35,3,FALSE),"")</f>
        <v/>
      </c>
      <c r="Q39" s="129" t="str">
        <f>IFERROR(VLOOKUP(Q$4, 'G&amp;A bed avail.'!$AW$22:$BE$36,3,FALSE),"")</f>
        <v/>
      </c>
      <c r="R39" s="62" t="str">
        <f>IFERROR(VLOOKUP(R$4, 'G&amp;A bed avail.'!$AW$22:$BD$36,3,FALSE),"")</f>
        <v/>
      </c>
      <c r="AA39" s="12"/>
      <c r="AB39" s="12"/>
      <c r="AC39" s="12"/>
      <c r="AD39" s="12"/>
    </row>
    <row r="40" spans="2:30" ht="15" customHeight="1" x14ac:dyDescent="0.35">
      <c r="B40" s="136"/>
      <c r="C40" s="1" t="s">
        <v>22</v>
      </c>
      <c r="D40" s="129">
        <f>IFERROR(VLOOKUP(D$4, 'G&amp;A bed avail.'!$AW$22:$BE$35,4,FALSE),"")</f>
        <v>562.57142857142856</v>
      </c>
      <c r="E40" s="129">
        <f>IFERROR(VLOOKUP(E$4, 'G&amp;A bed avail.'!$AW$22:$BE$35,4,FALSE),"")</f>
        <v>584</v>
      </c>
      <c r="F40" s="129">
        <f>IFERROR(VLOOKUP(F$4, 'G&amp;A bed avail.'!$AW$22:$BE$35,4,FALSE),"")</f>
        <v>558.57142857142856</v>
      </c>
      <c r="G40" s="129">
        <f>IFERROR(VLOOKUP(G$4, 'G&amp;A bed avail.'!$AW$22:$BE$35,4,FALSE),"")</f>
        <v>566.28571428571433</v>
      </c>
      <c r="H40" s="129">
        <f>IFERROR(VLOOKUP(H$4, 'G&amp;A bed avail.'!$AW$22:$BE$35,4,FALSE),"")</f>
        <v>526.57142857142856</v>
      </c>
      <c r="I40" s="129">
        <f>IFERROR(VLOOKUP(I$4, 'G&amp;A bed avail.'!$AW$22:$BE$35,4,FALSE),"")</f>
        <v>639.14285714285711</v>
      </c>
      <c r="J40" s="129">
        <f>IFERROR(VLOOKUP(J$4, 'G&amp;A bed avail.'!$AW$22:$BE$35,4,FALSE),"")</f>
        <v>703.28571428571433</v>
      </c>
      <c r="K40" s="129">
        <f>IFERROR(VLOOKUP(K$4, 'G&amp;A bed avail.'!$AW$22:$BE$35,4,FALSE),"")</f>
        <v>627.71428571428567</v>
      </c>
      <c r="L40" s="129" t="str">
        <f>IFERROR(VLOOKUP(L$4, 'G&amp;A bed avail.'!$AW$22:$BE$35,4,FALSE),"")</f>
        <v/>
      </c>
      <c r="M40" s="129" t="str">
        <f>IFERROR(VLOOKUP(M$4, 'G&amp;A bed avail.'!$AW$22:$BE$35,4,FALSE),"")</f>
        <v/>
      </c>
      <c r="N40" s="129" t="str">
        <f>IFERROR(VLOOKUP(N$4, 'G&amp;A bed avail.'!$AW$22:$BE$35,4,FALSE),"")</f>
        <v/>
      </c>
      <c r="O40" s="129" t="str">
        <f>IFERROR(VLOOKUP(O$4, 'G&amp;A bed avail.'!$AW$22:$BE$35,4,FALSE),"")</f>
        <v/>
      </c>
      <c r="P40" s="129" t="str">
        <f>IFERROR(VLOOKUP(P$4, 'G&amp;A bed avail.'!$AW$22:$BE$35,4,FALSE),"")</f>
        <v/>
      </c>
      <c r="Q40" s="129" t="str">
        <f>IFERROR(VLOOKUP(Q$4, 'G&amp;A bed avail.'!$AW$22:$BE$36,4,FALSE),"")</f>
        <v/>
      </c>
      <c r="R40" s="62" t="str">
        <f>IFERROR(VLOOKUP(R$4, 'G&amp;A bed avail.'!$AW$22:$BD$36,4,FALSE),"")</f>
        <v/>
      </c>
      <c r="AA40" s="12"/>
      <c r="AB40" s="12"/>
      <c r="AC40" s="12"/>
      <c r="AD40" s="12"/>
    </row>
    <row r="41" spans="2:30" ht="15" customHeight="1" x14ac:dyDescent="0.35">
      <c r="B41" s="136"/>
      <c r="C41" s="1" t="s">
        <v>24</v>
      </c>
      <c r="D41" s="129">
        <f>IFERROR(VLOOKUP(D$4, 'G&amp;A bed avail.'!$AW$22:$BE$35,8,FALSE),"")</f>
        <v>403.85714285714283</v>
      </c>
      <c r="E41" s="129">
        <f>IFERROR(VLOOKUP(E$4, 'G&amp;A bed avail.'!$AW$22:$BE$35,8,FALSE),"")</f>
        <v>419.71428571428572</v>
      </c>
      <c r="F41" s="129">
        <f>IFERROR(VLOOKUP(F$4, 'G&amp;A bed avail.'!$AW$22:$BE$35,8,FALSE),"")</f>
        <v>413.28571428571428</v>
      </c>
      <c r="G41" s="129">
        <f>IFERROR(VLOOKUP(G$4, 'G&amp;A bed avail.'!$AW$22:$BE$35,8,FALSE),"")</f>
        <v>390.71428571428572</v>
      </c>
      <c r="H41" s="129">
        <f>IFERROR(VLOOKUP(H$4, 'G&amp;A bed avail.'!$AW$22:$BE$35,8,FALSE),"")</f>
        <v>320.57142857142856</v>
      </c>
      <c r="I41" s="129">
        <f>IFERROR(VLOOKUP(I$4, 'G&amp;A bed avail.'!$AW$22:$BE$35,8,FALSE),"")</f>
        <v>467.85714285714283</v>
      </c>
      <c r="J41" s="129">
        <f>IFERROR(VLOOKUP(J$4, 'G&amp;A bed avail.'!$AW$22:$BE$35,8,FALSE),"")</f>
        <v>476.57142857142856</v>
      </c>
      <c r="K41" s="129">
        <f>IFERROR(VLOOKUP(K$4, 'G&amp;A bed avail.'!$AW$22:$BE$35,8,FALSE),"")</f>
        <v>400.85714285714283</v>
      </c>
      <c r="L41" s="129" t="str">
        <f>IFERROR(VLOOKUP(L$4, 'G&amp;A bed avail.'!$AW$22:$BE$35,8,FALSE),"")</f>
        <v/>
      </c>
      <c r="M41" s="129" t="str">
        <f>IFERROR(VLOOKUP(M$4, 'G&amp;A bed avail.'!$AW$22:$BE$35,8,FALSE),"")</f>
        <v/>
      </c>
      <c r="N41" s="129" t="str">
        <f>IFERROR(VLOOKUP(N$4, 'G&amp;A bed avail.'!$AW$22:$BE$35,8,FALSE),"")</f>
        <v/>
      </c>
      <c r="O41" s="129" t="str">
        <f>IFERROR(VLOOKUP(O$4, 'G&amp;A bed avail.'!$AW$22:$BE$35,8,FALSE),"")</f>
        <v/>
      </c>
      <c r="P41" s="129" t="str">
        <f>IFERROR(VLOOKUP(P$4, 'G&amp;A bed avail.'!$AW$22:$BE$35,8,FALSE),"")</f>
        <v/>
      </c>
      <c r="Q41" s="129" t="str">
        <f>IFERROR(VLOOKUP(Q$4, 'G&amp;A bed avail.'!$AW$22:$BE$36,8,FALSE),"")</f>
        <v/>
      </c>
      <c r="R41" s="62"/>
      <c r="AA41" s="12"/>
      <c r="AB41" s="12"/>
      <c r="AC41" s="12"/>
      <c r="AD41" s="12"/>
    </row>
    <row r="42" spans="2:30" ht="15" customHeight="1" x14ac:dyDescent="0.35">
      <c r="B42" s="136"/>
      <c r="C42" s="1" t="s">
        <v>25</v>
      </c>
      <c r="D42" s="129">
        <f>IFERROR(VLOOKUP(D$4, 'G&amp;A bed avail.'!$AW$22:$BE$35,5,FALSE),"")</f>
        <v>441.14285714285717</v>
      </c>
      <c r="E42" s="129">
        <f>IFERROR(VLOOKUP(E$4, 'G&amp;A bed avail.'!$AW$22:$BE$35,5,FALSE),"")</f>
        <v>460.42857142857144</v>
      </c>
      <c r="F42" s="129">
        <f>IFERROR(VLOOKUP(F$4, 'G&amp;A bed avail.'!$AW$22:$BE$35,5,FALSE),"")</f>
        <v>445.57142857142856</v>
      </c>
      <c r="G42" s="129">
        <f>IFERROR(VLOOKUP(G$4, 'G&amp;A bed avail.'!$AW$22:$BE$35,5,FALSE),"")</f>
        <v>472.85714285714283</v>
      </c>
      <c r="H42" s="129">
        <f>IFERROR(VLOOKUP(H$4, 'G&amp;A bed avail.'!$AW$22:$BE$35,5,FALSE),"")</f>
        <v>406.28571428571428</v>
      </c>
      <c r="I42" s="129">
        <f>IFERROR(VLOOKUP(I$4, 'G&amp;A bed avail.'!$AW$22:$BE$35,5,FALSE),"")</f>
        <v>545.28571428571433</v>
      </c>
      <c r="J42" s="129">
        <f>IFERROR(VLOOKUP(J$4, 'G&amp;A bed avail.'!$AW$22:$BE$35,5,FALSE),"")</f>
        <v>620.57142857142856</v>
      </c>
      <c r="K42" s="129">
        <f>IFERROR(VLOOKUP(K$4, 'G&amp;A bed avail.'!$AW$22:$BE$35,5,FALSE),"")</f>
        <v>601.28571428571433</v>
      </c>
      <c r="L42" s="129" t="str">
        <f>IFERROR(VLOOKUP(L$4, 'G&amp;A bed avail.'!$AW$22:$BE$35,5,FALSE),"")</f>
        <v/>
      </c>
      <c r="M42" s="129" t="str">
        <f>IFERROR(VLOOKUP(M$4, 'G&amp;A bed avail.'!$AW$22:$BE$35,5,FALSE),"")</f>
        <v/>
      </c>
      <c r="N42" s="129" t="str">
        <f>IFERROR(VLOOKUP(N$4, 'G&amp;A bed avail.'!$AW$22:$BE$35,5,FALSE),"")</f>
        <v/>
      </c>
      <c r="O42" s="129" t="str">
        <f>IFERROR(VLOOKUP(O$4, 'G&amp;A bed avail.'!$AW$22:$BE$35,5,FALSE),"")</f>
        <v/>
      </c>
      <c r="P42" s="129" t="str">
        <f>IFERROR(VLOOKUP(P$4, 'G&amp;A bed avail.'!$AW$22:$BE$35,5,FALSE),"")</f>
        <v/>
      </c>
      <c r="Q42" s="129" t="str">
        <f>IFERROR(VLOOKUP(Q$4, 'G&amp;A bed avail.'!$AW$22:$BE$36,5,FALSE),"")</f>
        <v/>
      </c>
      <c r="R42" s="62"/>
      <c r="AA42" s="12"/>
      <c r="AB42" s="12"/>
      <c r="AC42" s="12"/>
      <c r="AD42" s="12"/>
    </row>
    <row r="43" spans="2:30" x14ac:dyDescent="0.35">
      <c r="B43" s="136"/>
      <c r="C43" s="1" t="s">
        <v>37</v>
      </c>
      <c r="D43" s="129">
        <f>IFERROR(VLOOKUP(D$4, 'G&amp;A bed avail.'!$AW$22:$BE$35,9,FALSE),"")</f>
        <v>187.85714285714286</v>
      </c>
      <c r="E43" s="129">
        <f>IFERROR(VLOOKUP(E$4, 'G&amp;A bed avail.'!$AW$22:$BE$35,9,FALSE),"")</f>
        <v>180.57142857142858</v>
      </c>
      <c r="F43" s="129">
        <f>IFERROR(VLOOKUP(F$4, 'G&amp;A bed avail.'!$AW$22:$BE$35,9,FALSE),"")</f>
        <v>195.85714285714286</v>
      </c>
      <c r="G43" s="129">
        <f>IFERROR(VLOOKUP(G$4, 'G&amp;A bed avail.'!$AW$22:$BE$35,9,FALSE),"")</f>
        <v>190.42857142857142</v>
      </c>
      <c r="H43" s="129">
        <f>IFERROR(VLOOKUP(H$4, 'G&amp;A bed avail.'!$AW$22:$BE$35,9,FALSE),"")</f>
        <v>133</v>
      </c>
      <c r="I43" s="129">
        <f>IFERROR(VLOOKUP(I$4, 'G&amp;A bed avail.'!$AW$22:$BE$35,9,FALSE),"")</f>
        <v>223.28571428571428</v>
      </c>
      <c r="J43" s="129">
        <f>IFERROR(VLOOKUP(J$4, 'G&amp;A bed avail.'!$AW$22:$BE$35,9,FALSE),"")</f>
        <v>267.85714285714283</v>
      </c>
      <c r="K43" s="129">
        <f>IFERROR(VLOOKUP(K$4, 'G&amp;A bed avail.'!$AW$22:$BE$35,9,FALSE),"")</f>
        <v>252.85714285714286</v>
      </c>
      <c r="L43" s="129" t="str">
        <f>IFERROR(VLOOKUP(L$4, 'G&amp;A bed avail.'!$AW$22:$BE$35,9,FALSE),"")</f>
        <v/>
      </c>
      <c r="M43" s="129" t="str">
        <f>IFERROR(VLOOKUP(M$4, 'G&amp;A bed avail.'!$AW$22:$BE$35,9,FALSE),"")</f>
        <v/>
      </c>
      <c r="N43" s="129" t="str">
        <f>IFERROR(VLOOKUP(N$4, 'G&amp;A bed avail.'!$AW$22:$BE$35,9,FALSE),"")</f>
        <v/>
      </c>
      <c r="O43" s="129" t="str">
        <f>IFERROR(VLOOKUP(O$4, 'G&amp;A bed avail.'!$AW$22:$BE$35,9,FALSE),"")</f>
        <v/>
      </c>
      <c r="P43" s="129" t="str">
        <f>IFERROR(VLOOKUP(P$4, 'G&amp;A bed avail.'!$AW$22:$BE$35,9,FALSE),"")</f>
        <v/>
      </c>
      <c r="Q43" s="129" t="str">
        <f>IFERROR(VLOOKUP(Q$4, 'G&amp;A bed avail.'!$AW$22:$BE$36,9,FALSE),"")</f>
        <v/>
      </c>
      <c r="R43" s="62" t="str">
        <f>IFERROR(VLOOKUP(R$4, 'G&amp;A bed avail.'!$AW$22:$BD$36,5,FALSE),"")</f>
        <v/>
      </c>
      <c r="AA43" s="12"/>
      <c r="AB43" s="12"/>
      <c r="AC43" s="12"/>
      <c r="AD43" s="12"/>
    </row>
    <row r="44" spans="2:30" x14ac:dyDescent="0.35">
      <c r="B44" s="136"/>
      <c r="C44" s="1" t="s">
        <v>27</v>
      </c>
      <c r="D44" s="129">
        <f>IFERROR(VLOOKUP(D$4, 'G&amp;A bed avail.'!$AW$22:$BE$35,6,FALSE),"")</f>
        <v>516</v>
      </c>
      <c r="E44" s="129">
        <f>IFERROR(VLOOKUP(E$4, 'G&amp;A bed avail.'!$AW$22:$BE$35,6,FALSE),"")</f>
        <v>539.71428571428567</v>
      </c>
      <c r="F44" s="129">
        <f>IFERROR(VLOOKUP(F$4, 'G&amp;A bed avail.'!$AW$22:$BE$35,6,FALSE),"")</f>
        <v>529</v>
      </c>
      <c r="G44" s="129">
        <f>IFERROR(VLOOKUP(G$4, 'G&amp;A bed avail.'!$AW$22:$BE$35,6,FALSE),"")</f>
        <v>482.57142857142856</v>
      </c>
      <c r="H44" s="129">
        <f>IFERROR(VLOOKUP(H$4, 'G&amp;A bed avail.'!$AW$22:$BE$35,6,FALSE),"")</f>
        <v>390.28571428571428</v>
      </c>
      <c r="I44" s="129">
        <f>IFERROR(VLOOKUP(I$4, 'G&amp;A bed avail.'!$AW$22:$BE$35,6,FALSE),"")</f>
        <v>590.71428571428567</v>
      </c>
      <c r="J44" s="129">
        <f>IFERROR(VLOOKUP(J$4, 'G&amp;A bed avail.'!$AW$22:$BE$35,6,FALSE),"")</f>
        <v>714.28571428571433</v>
      </c>
      <c r="K44" s="129">
        <f>IFERROR(VLOOKUP(K$4, 'G&amp;A bed avail.'!$AW$22:$BE$35,6,FALSE),"")</f>
        <v>670.28571428571433</v>
      </c>
      <c r="L44" s="129" t="str">
        <f>IFERROR(VLOOKUP(L$4, 'G&amp;A bed avail.'!$AW$22:$BE$35,6,FALSE),"")</f>
        <v/>
      </c>
      <c r="M44" s="129" t="str">
        <f>IFERROR(VLOOKUP(M$4, 'G&amp;A bed avail.'!$AW$22:$BE$35,6,FALSE),"")</f>
        <v/>
      </c>
      <c r="N44" s="129" t="str">
        <f>IFERROR(VLOOKUP(N$4, 'G&amp;A bed avail.'!$AW$22:$BE$35,6,FALSE),"")</f>
        <v/>
      </c>
      <c r="O44" s="129" t="str">
        <f>IFERROR(VLOOKUP(O$4, 'G&amp;A bed avail.'!$AW$22:$BE$35,6,FALSE),"")</f>
        <v/>
      </c>
      <c r="P44" s="129" t="str">
        <f>IFERROR(VLOOKUP(P$4, 'G&amp;A bed avail.'!$AW$22:$BE$35,6,FALSE),"")</f>
        <v/>
      </c>
      <c r="Q44" s="129" t="str">
        <f>IFERROR(VLOOKUP(Q$4, 'G&amp;A bed avail.'!$AW$22:$BE$36,6,FALSE),"")</f>
        <v/>
      </c>
      <c r="R44" s="62" t="str">
        <f>IFERROR(VLOOKUP(R$4, 'G&amp;A bed avail.'!$AW$22:$BD$36,6,FALSE),"")</f>
        <v/>
      </c>
      <c r="AA44" s="12"/>
      <c r="AB44" s="12"/>
      <c r="AC44" s="12"/>
      <c r="AD44" s="12"/>
    </row>
    <row r="45" spans="2:30" x14ac:dyDescent="0.35">
      <c r="B45" s="136"/>
      <c r="C45" s="1" t="s">
        <v>28</v>
      </c>
      <c r="D45" s="129">
        <f>IFERROR(VLOOKUP(D$4, 'G&amp;A bed avail.'!$AW$22:$BE$35,7,FALSE),"")</f>
        <v>403.14285714285717</v>
      </c>
      <c r="E45" s="129">
        <f>IFERROR(VLOOKUP(E$4, 'G&amp;A bed avail.'!$AW$22:$BE$35,7,FALSE),"")</f>
        <v>386.14285714285717</v>
      </c>
      <c r="F45" s="129">
        <f>IFERROR(VLOOKUP(F$4, 'G&amp;A bed avail.'!$AW$22:$BE$35,7,FALSE),"")</f>
        <v>379.57142857142856</v>
      </c>
      <c r="G45" s="129">
        <f>IFERROR(VLOOKUP(G$4, 'G&amp;A bed avail.'!$AW$22:$BE$35,7,FALSE),"")</f>
        <v>374.28571428571428</v>
      </c>
      <c r="H45" s="129">
        <f>IFERROR(VLOOKUP(H$4, 'G&amp;A bed avail.'!$AW$22:$BE$35,7,FALSE),"")</f>
        <v>258.85714285714283</v>
      </c>
      <c r="I45" s="129">
        <f>IFERROR(VLOOKUP(I$4, 'G&amp;A bed avail.'!$AW$22:$BE$35,7,FALSE),"")</f>
        <v>442.42857142857144</v>
      </c>
      <c r="J45" s="129">
        <f>IFERROR(VLOOKUP(J$4, 'G&amp;A bed avail.'!$AW$22:$BE$35,7,FALSE),"")</f>
        <v>438.57142857142856</v>
      </c>
      <c r="K45" s="129">
        <f>IFERROR(VLOOKUP(K$4, 'G&amp;A bed avail.'!$AW$22:$BE$35,7,FALSE),"")</f>
        <v>392.14285714285717</v>
      </c>
      <c r="L45" s="129" t="str">
        <f>IFERROR(VLOOKUP(L$4, 'G&amp;A bed avail.'!$AW$22:$BE$35,7,FALSE),"")</f>
        <v/>
      </c>
      <c r="M45" s="129" t="str">
        <f>IFERROR(VLOOKUP(M$4, 'G&amp;A bed avail.'!$AW$22:$BE$35,7,FALSE),"")</f>
        <v/>
      </c>
      <c r="N45" s="129" t="str">
        <f>IFERROR(VLOOKUP(N$4, 'G&amp;A bed avail.'!$AW$22:$BE$35,7,FALSE),"")</f>
        <v/>
      </c>
      <c r="O45" s="129" t="str">
        <f>IFERROR(VLOOKUP(O$4, 'G&amp;A bed avail.'!$AW$22:$BE$35,7,FALSE),"")</f>
        <v/>
      </c>
      <c r="P45" s="129" t="str">
        <f>IFERROR(VLOOKUP(P$4, 'G&amp;A bed avail.'!$AW$22:$BE$35,7,FALSE),"")</f>
        <v/>
      </c>
      <c r="Q45" s="129" t="str">
        <f>IFERROR(VLOOKUP(Q$4, 'G&amp;A bed avail.'!$AW$22:$BE$36,7,FALSE),"")</f>
        <v/>
      </c>
      <c r="R45" s="62" t="str">
        <f>IFERROR(VLOOKUP(R$4, 'G&amp;A bed avail.'!$AW$22:$BD$36,7,FALSE),"")</f>
        <v/>
      </c>
      <c r="AA45" s="12"/>
      <c r="AB45" s="12"/>
      <c r="AC45" s="12"/>
      <c r="AD45" s="12"/>
    </row>
    <row r="46" spans="2:30" ht="7.5" customHeight="1" x14ac:dyDescent="0.35">
      <c r="B46" s="136"/>
      <c r="C46" s="1"/>
      <c r="D46" s="29"/>
      <c r="E46" s="29"/>
      <c r="F46" s="29"/>
      <c r="G46" s="29"/>
      <c r="H46" s="29"/>
      <c r="I46" s="29"/>
      <c r="J46" s="29"/>
      <c r="K46" s="29"/>
      <c r="L46" s="29"/>
      <c r="M46" s="29"/>
      <c r="N46" s="29"/>
      <c r="O46" s="29"/>
      <c r="P46" s="29"/>
      <c r="Q46" s="29"/>
      <c r="R46" s="29"/>
      <c r="AA46" s="12"/>
      <c r="AB46" s="12"/>
      <c r="AC46" s="12"/>
      <c r="AD46" s="12"/>
    </row>
    <row r="47" spans="2:30" ht="14.5" customHeight="1" x14ac:dyDescent="0.35">
      <c r="B47" s="136"/>
      <c r="C47" s="1" t="s">
        <v>41</v>
      </c>
      <c r="D47" s="139" t="s">
        <v>18</v>
      </c>
      <c r="E47" s="140"/>
      <c r="F47" s="141"/>
      <c r="G47" s="139" t="s">
        <v>42</v>
      </c>
      <c r="H47" s="140"/>
      <c r="I47" s="140"/>
      <c r="J47" s="140"/>
      <c r="K47" s="148" t="s">
        <v>20</v>
      </c>
      <c r="L47" s="148"/>
      <c r="M47" s="148"/>
      <c r="N47" s="159" t="str">
        <f>TEXT('G&amp;A bed avail.'!BM7,"0,0")&amp;" ("&amp;TEXT('G&amp;A bed avail.'!BO7,"d-mmm")&amp;")"</f>
        <v>4,031 (7-Jan)</v>
      </c>
      <c r="O47" s="160"/>
      <c r="P47" s="160"/>
      <c r="Q47" s="160"/>
      <c r="R47" s="59"/>
      <c r="AA47" s="12"/>
      <c r="AB47" s="12"/>
      <c r="AC47" s="12"/>
      <c r="AD47" s="12"/>
    </row>
    <row r="48" spans="2:30" ht="7.5" customHeight="1" x14ac:dyDescent="0.35">
      <c r="B48" s="136"/>
      <c r="C48" s="1"/>
      <c r="D48" s="29"/>
      <c r="E48" s="29"/>
      <c r="F48" s="29"/>
      <c r="G48" s="29"/>
      <c r="H48" s="29"/>
      <c r="I48" s="29"/>
      <c r="J48" s="29"/>
      <c r="K48" s="29"/>
      <c r="L48" s="29"/>
      <c r="M48" s="29"/>
      <c r="N48" s="29"/>
      <c r="O48" s="29"/>
      <c r="P48" s="29"/>
      <c r="Q48" s="29"/>
      <c r="R48" s="29"/>
      <c r="AA48" s="12"/>
      <c r="AB48" s="12"/>
      <c r="AC48" s="12"/>
      <c r="AD48" s="12"/>
    </row>
    <row r="49" spans="2:30" ht="15" customHeight="1" x14ac:dyDescent="0.35">
      <c r="B49" s="136"/>
      <c r="C49" s="9" t="s">
        <v>43</v>
      </c>
      <c r="D49" s="86">
        <v>99508</v>
      </c>
      <c r="E49" s="86">
        <v>99673.71428571429</v>
      </c>
      <c r="F49" s="86">
        <v>100100.85714285714</v>
      </c>
      <c r="G49" s="86">
        <v>99939.857142857145</v>
      </c>
      <c r="H49" s="86">
        <v>100270.57142857143</v>
      </c>
      <c r="I49" s="86">
        <v>102134.28571428571</v>
      </c>
      <c r="J49" s="86">
        <v>102229.71428571429</v>
      </c>
      <c r="K49" s="86">
        <v>101472.85714285714</v>
      </c>
      <c r="L49" s="86">
        <v>101048.14285714286</v>
      </c>
      <c r="M49" s="86">
        <v>101375.14285714286</v>
      </c>
      <c r="N49" s="86">
        <v>100855.42857142857</v>
      </c>
      <c r="O49" s="86">
        <v>101067.28571428571</v>
      </c>
      <c r="P49" s="86">
        <v>101067.57142857143</v>
      </c>
      <c r="Q49" s="86">
        <v>101029.14285714286</v>
      </c>
      <c r="R49" s="85"/>
      <c r="AA49" s="137"/>
      <c r="AB49" s="137"/>
      <c r="AC49" s="137"/>
      <c r="AD49" s="137"/>
    </row>
    <row r="50" spans="2:30" ht="15" customHeight="1" x14ac:dyDescent="0.35">
      <c r="B50" s="136"/>
      <c r="C50" s="1" t="s">
        <v>18</v>
      </c>
      <c r="D50" s="68">
        <v>100903.42857142857</v>
      </c>
      <c r="E50" s="68">
        <v>101259.57142857143</v>
      </c>
      <c r="F50" s="68">
        <v>101199.42857142857</v>
      </c>
      <c r="G50" s="68">
        <v>100739.85714285714</v>
      </c>
      <c r="H50" s="68">
        <v>100008</v>
      </c>
      <c r="I50" s="68">
        <v>102225.57142857143</v>
      </c>
      <c r="J50" s="68">
        <v>102783.85714285714</v>
      </c>
      <c r="K50" s="68">
        <v>103277.28571428571</v>
      </c>
      <c r="L50" s="68">
        <v>103688.14285714286</v>
      </c>
      <c r="M50" s="68">
        <v>103584</v>
      </c>
      <c r="N50" s="68">
        <v>103557.28571428571</v>
      </c>
      <c r="O50" s="68">
        <v>103596.85714285714</v>
      </c>
      <c r="P50" s="68">
        <v>103273</v>
      </c>
      <c r="Q50" s="68">
        <v>102893.57142857143</v>
      </c>
      <c r="S50" s="2"/>
      <c r="AA50" s="137"/>
      <c r="AB50" s="137"/>
      <c r="AC50" s="137"/>
      <c r="AD50" s="137"/>
    </row>
    <row r="51" spans="2:30" ht="7.5" customHeight="1" x14ac:dyDescent="0.35">
      <c r="B51" s="136"/>
      <c r="C51" s="1"/>
      <c r="D51" s="26">
        <v>0.85</v>
      </c>
      <c r="E51" s="26">
        <v>0.85</v>
      </c>
      <c r="F51" s="26">
        <v>0.85</v>
      </c>
      <c r="G51" s="26">
        <v>0.85</v>
      </c>
      <c r="H51" s="26">
        <v>0.85</v>
      </c>
      <c r="I51" s="26">
        <v>0.85</v>
      </c>
      <c r="J51" s="26">
        <v>0.85</v>
      </c>
      <c r="K51" s="26">
        <v>0.85</v>
      </c>
      <c r="L51" s="26">
        <v>0.85</v>
      </c>
      <c r="M51" s="26">
        <v>0.85</v>
      </c>
      <c r="N51" s="26">
        <v>0.85</v>
      </c>
      <c r="O51" s="26">
        <v>0.85</v>
      </c>
      <c r="P51" s="26">
        <v>0.85</v>
      </c>
      <c r="Q51" s="26"/>
      <c r="R51" s="26">
        <v>0.85</v>
      </c>
      <c r="AA51" s="137"/>
      <c r="AB51" s="137"/>
      <c r="AC51" s="137"/>
      <c r="AD51" s="137"/>
    </row>
    <row r="52" spans="2:30" x14ac:dyDescent="0.35">
      <c r="B52" s="136"/>
      <c r="C52" s="13" t="s">
        <v>20</v>
      </c>
      <c r="D52" s="95">
        <f>IFERROR(VLOOKUP(D$4, 'G&amp;A bed avail.'!$AW$38:$BE$52,2,FALSE),"")</f>
        <v>102070</v>
      </c>
      <c r="E52" s="95">
        <f>IFERROR(VLOOKUP(E$4, 'G&amp;A bed avail.'!$AW$38:$BE$52,2,FALSE),"")</f>
        <v>102179.42857142857</v>
      </c>
      <c r="F52" s="95">
        <f>IFERROR(VLOOKUP(F$4, 'G&amp;A bed avail.'!$AW$38:$BE$52,2,FALSE),"")</f>
        <v>102464</v>
      </c>
      <c r="G52" s="95">
        <f>IFERROR(VLOOKUP(G$4, 'G&amp;A bed avail.'!$AW$38:$BE$52,2,FALSE),"")</f>
        <v>102603.85714285714</v>
      </c>
      <c r="H52" s="95">
        <f>IFERROR(VLOOKUP(H$4, 'G&amp;A bed avail.'!$AW$38:$BE$52,2,FALSE),"")</f>
        <v>101308.85714285714</v>
      </c>
      <c r="I52" s="95">
        <f>IFERROR(VLOOKUP(I$4, 'G&amp;A bed avail.'!$AW$38:$BE$52,2,FALSE),"")</f>
        <v>102545.85714285714</v>
      </c>
      <c r="J52" s="95">
        <f>IFERROR(VLOOKUP(J$4, 'G&amp;A bed avail.'!$AW$38:$BE$52,2,FALSE),"")</f>
        <v>103847</v>
      </c>
      <c r="K52" s="95">
        <f>IFERROR(VLOOKUP(K$4, 'G&amp;A bed avail.'!$AW$38:$BE$52,2,FALSE),"")</f>
        <v>103327.42857142857</v>
      </c>
      <c r="L52" s="95" t="str">
        <f>IFERROR(VLOOKUP(L$4, 'G&amp;A bed avail.'!$AW$38:$BE$52,2,FALSE),"")</f>
        <v/>
      </c>
      <c r="M52" s="95" t="str">
        <f>IFERROR(VLOOKUP(M$4, 'G&amp;A bed avail.'!$AW$38:$BE$52,2,FALSE),"")</f>
        <v/>
      </c>
      <c r="N52" s="95" t="str">
        <f>IFERROR(VLOOKUP(N$4, 'G&amp;A bed avail.'!$AW$38:$BE$52,2,FALSE),"")</f>
        <v/>
      </c>
      <c r="O52" s="95" t="str">
        <f>IFERROR(VLOOKUP(O$4, 'G&amp;A bed avail.'!$AW$38:$BE$52,2,FALSE),"")</f>
        <v/>
      </c>
      <c r="P52" s="95" t="str">
        <f>IFERROR(VLOOKUP(P$4, 'G&amp;A bed avail.'!$AW$38:$BE$52,2,FALSE),"")</f>
        <v/>
      </c>
      <c r="Q52" s="95" t="str">
        <f>IFERROR(VLOOKUP(Q$4, 'G&amp;A bed avail.'!$AW$38:$BE$52,2,FALSE),"")</f>
        <v/>
      </c>
      <c r="R52" s="61" t="str">
        <f>IFERROR(VLOOKUP(R$4, 'G&amp;A bed avail.'!$AW$38:$BD$52,2,FALSE),"")</f>
        <v/>
      </c>
      <c r="AA52" s="137"/>
      <c r="AB52" s="137"/>
      <c r="AC52" s="137"/>
      <c r="AD52" s="137"/>
    </row>
    <row r="53" spans="2:30" ht="14.5" customHeight="1" x14ac:dyDescent="0.35">
      <c r="B53" s="136"/>
      <c r="C53" s="1" t="s">
        <v>21</v>
      </c>
      <c r="D53" s="129">
        <f>IFERROR(VLOOKUP(D$4, 'G&amp;A bed avail.'!$AW$38:$BE$52,3,FALSE),"")</f>
        <v>15130.142857142857</v>
      </c>
      <c r="E53" s="129">
        <f>IFERROR(VLOOKUP(E$4, 'G&amp;A bed avail.'!$AW$38:$BE$52,3,FALSE),"")</f>
        <v>15160.571428571429</v>
      </c>
      <c r="F53" s="129">
        <f>IFERROR(VLOOKUP(F$4, 'G&amp;A bed avail.'!$AW$38:$BE$52,3,FALSE),"")</f>
        <v>15157.285714285714</v>
      </c>
      <c r="G53" s="129">
        <f>IFERROR(VLOOKUP(G$4, 'G&amp;A bed avail.'!$AW$38:$BE$52,3,FALSE),"")</f>
        <v>15210.142857142857</v>
      </c>
      <c r="H53" s="129">
        <f>IFERROR(VLOOKUP(H$4, 'G&amp;A bed avail.'!$AW$38:$BE$52,3,FALSE),"")</f>
        <v>15078.285714285714</v>
      </c>
      <c r="I53" s="129">
        <f>IFERROR(VLOOKUP(I$4, 'G&amp;A bed avail.'!$AW$38:$BE$52,3,FALSE),"")</f>
        <v>14902.428571428571</v>
      </c>
      <c r="J53" s="129">
        <f>IFERROR(VLOOKUP(J$4, 'G&amp;A bed avail.'!$AW$38:$BE$52,3,FALSE),"")</f>
        <v>15358.428571428571</v>
      </c>
      <c r="K53" s="129">
        <f>IFERROR(VLOOKUP(K$4, 'G&amp;A bed avail.'!$AW$38:$BE$52,3,FALSE),"")</f>
        <v>15205.714285714286</v>
      </c>
      <c r="L53" s="129" t="str">
        <f>IFERROR(VLOOKUP(L$4, 'G&amp;A bed avail.'!$AW$38:$BE$52,3,FALSE),"")</f>
        <v/>
      </c>
      <c r="M53" s="129" t="str">
        <f>IFERROR(VLOOKUP(M$4, 'G&amp;A bed avail.'!$AW$38:$BE$52,3,FALSE),"")</f>
        <v/>
      </c>
      <c r="N53" s="129" t="str">
        <f>IFERROR(VLOOKUP(N$4, 'G&amp;A bed avail.'!$AW$38:$BE$52,3,FALSE),"")</f>
        <v/>
      </c>
      <c r="O53" s="129" t="str">
        <f>IFERROR(VLOOKUP(O$4, 'G&amp;A bed avail.'!$AW$38:$BE$52,3,FALSE),"")</f>
        <v/>
      </c>
      <c r="P53" s="129" t="str">
        <f>IFERROR(VLOOKUP(P$4, 'G&amp;A bed avail.'!$AW$38:$BE$52,3,FALSE),"")</f>
        <v/>
      </c>
      <c r="Q53" s="129" t="str">
        <f>IFERROR(VLOOKUP(Q$4, 'G&amp;A bed avail.'!$AW$38:$BE$52,3,FALSE),"")</f>
        <v/>
      </c>
      <c r="R53" s="62" t="str">
        <f>IFERROR(VLOOKUP(R$4, 'G&amp;A bed avail.'!$AW$38:$BD$52,3,FALSE),"")</f>
        <v/>
      </c>
    </row>
    <row r="54" spans="2:30" ht="15" customHeight="1" x14ac:dyDescent="0.35">
      <c r="B54" s="136"/>
      <c r="C54" s="1" t="s">
        <v>22</v>
      </c>
      <c r="D54" s="129">
        <f>IFERROR(VLOOKUP(D$4, 'G&amp;A bed avail.'!$AW$38:$BE$52,4,FALSE),"")</f>
        <v>19284</v>
      </c>
      <c r="E54" s="129">
        <f>IFERROR(VLOOKUP(E$4, 'G&amp;A bed avail.'!$AW$38:$BE$52,4,FALSE),"")</f>
        <v>19448.714285714286</v>
      </c>
      <c r="F54" s="129">
        <f>IFERROR(VLOOKUP(F$4, 'G&amp;A bed avail.'!$AW$38:$BE$52,4,FALSE),"")</f>
        <v>19448.571428571428</v>
      </c>
      <c r="G54" s="129">
        <f>IFERROR(VLOOKUP(G$4, 'G&amp;A bed avail.'!$AW$38:$BE$52,4,FALSE),"")</f>
        <v>19447</v>
      </c>
      <c r="H54" s="129">
        <f>IFERROR(VLOOKUP(H$4, 'G&amp;A bed avail.'!$AW$38:$BE$52,4,FALSE),"")</f>
        <v>19269.142857142859</v>
      </c>
      <c r="I54" s="129">
        <f>IFERROR(VLOOKUP(I$4, 'G&amp;A bed avail.'!$AW$38:$BE$52,4,FALSE),"")</f>
        <v>19490.428571428572</v>
      </c>
      <c r="J54" s="129">
        <f>IFERROR(VLOOKUP(J$4, 'G&amp;A bed avail.'!$AW$38:$BE$52,4,FALSE),"")</f>
        <v>19646.142857142859</v>
      </c>
      <c r="K54" s="129">
        <f>IFERROR(VLOOKUP(K$4, 'G&amp;A bed avail.'!$AW$38:$BE$52,4,FALSE),"")</f>
        <v>19578.571428571428</v>
      </c>
      <c r="L54" s="129" t="str">
        <f>IFERROR(VLOOKUP(L$4, 'G&amp;A bed avail.'!$AW$38:$BE$52,4,FALSE),"")</f>
        <v/>
      </c>
      <c r="M54" s="129" t="str">
        <f>IFERROR(VLOOKUP(M$4, 'G&amp;A bed avail.'!$AW$38:$BE$52,4,FALSE),"")</f>
        <v/>
      </c>
      <c r="N54" s="129" t="str">
        <f>IFERROR(VLOOKUP(N$4, 'G&amp;A bed avail.'!$AW$38:$BE$52,4,FALSE),"")</f>
        <v/>
      </c>
      <c r="O54" s="129" t="str">
        <f>IFERROR(VLOOKUP(O$4, 'G&amp;A bed avail.'!$AW$38:$BE$52,4,FALSE),"")</f>
        <v/>
      </c>
      <c r="P54" s="129" t="str">
        <f>IFERROR(VLOOKUP(P$4, 'G&amp;A bed avail.'!$AW$38:$BE$52,4,FALSE),"")</f>
        <v/>
      </c>
      <c r="Q54" s="129" t="str">
        <f>IFERROR(VLOOKUP(Q$4, 'G&amp;A bed avail.'!$AW$38:$BE$52,4,FALSE),"")</f>
        <v/>
      </c>
      <c r="R54" s="62" t="str">
        <f>IFERROR(VLOOKUP(R$4, 'G&amp;A bed avail.'!$AW$38:$BD$52,4,FALSE),"")</f>
        <v/>
      </c>
    </row>
    <row r="55" spans="2:30" ht="15" customHeight="1" x14ac:dyDescent="0.35">
      <c r="B55" s="136"/>
      <c r="C55" s="1" t="s">
        <v>24</v>
      </c>
      <c r="D55" s="129">
        <f>IFERROR(VLOOKUP(D$4, 'G&amp;A bed avail.'!$AW$38:$BE$52,8,FALSE),"")</f>
        <v>10972.428571428571</v>
      </c>
      <c r="E55" s="129">
        <f>IFERROR(VLOOKUP(E$4, 'G&amp;A bed avail.'!$AW$38:$BE$52,8,FALSE),"")</f>
        <v>10938.571428571429</v>
      </c>
      <c r="F55" s="129">
        <f>IFERROR(VLOOKUP(F$4, 'G&amp;A bed avail.'!$AW$38:$BE$52,8,FALSE),"")</f>
        <v>10944</v>
      </c>
      <c r="G55" s="129">
        <f>IFERROR(VLOOKUP(G$4, 'G&amp;A bed avail.'!$AW$38:$BE$52,8,FALSE),"")</f>
        <v>10936.285714285714</v>
      </c>
      <c r="H55" s="129">
        <f>IFERROR(VLOOKUP(H$4, 'G&amp;A bed avail.'!$AW$38:$BE$52,8,FALSE),"")</f>
        <v>10787.714285714286</v>
      </c>
      <c r="I55" s="129">
        <f>IFERROR(VLOOKUP(I$4, 'G&amp;A bed avail.'!$AW$38:$BE$52,8,FALSE),"")</f>
        <v>10985.428571428571</v>
      </c>
      <c r="J55" s="129">
        <f>IFERROR(VLOOKUP(J$4, 'G&amp;A bed avail.'!$AW$38:$BE$52,8,FALSE),"")</f>
        <v>10998.428571428571</v>
      </c>
      <c r="K55" s="129">
        <f>IFERROR(VLOOKUP(K$4, 'G&amp;A bed avail.'!$AW$38:$BE$52,8,FALSE),"")</f>
        <v>10961.714285714286</v>
      </c>
      <c r="L55" s="129" t="str">
        <f>IFERROR(VLOOKUP(L$4, 'G&amp;A bed avail.'!$AW$38:$BE$52,8,FALSE),"")</f>
        <v/>
      </c>
      <c r="M55" s="129" t="str">
        <f>IFERROR(VLOOKUP(M$4, 'G&amp;A bed avail.'!$AW$38:$BE$52,8,FALSE),"")</f>
        <v/>
      </c>
      <c r="N55" s="129" t="str">
        <f>IFERROR(VLOOKUP(N$4, 'G&amp;A bed avail.'!$AW$38:$BE$52,8,FALSE),"")</f>
        <v/>
      </c>
      <c r="O55" s="129" t="str">
        <f>IFERROR(VLOOKUP(O$4, 'G&amp;A bed avail.'!$AW$38:$BE$52,8,FALSE),"")</f>
        <v/>
      </c>
      <c r="P55" s="129" t="str">
        <f>IFERROR(VLOOKUP(P$4, 'G&amp;A bed avail.'!$AW$38:$BE$52,8,FALSE),"")</f>
        <v/>
      </c>
      <c r="Q55" s="129" t="str">
        <f>IFERROR(VLOOKUP(Q$4, 'G&amp;A bed avail.'!$AW$38:$BE$52,8,FALSE),"")</f>
        <v/>
      </c>
      <c r="R55" s="62"/>
    </row>
    <row r="56" spans="2:30" ht="15" customHeight="1" x14ac:dyDescent="0.35">
      <c r="B56" s="136"/>
      <c r="C56" s="1" t="s">
        <v>25</v>
      </c>
      <c r="D56" s="129">
        <f>IFERROR(VLOOKUP(D$4, 'G&amp;A bed avail.'!$AW$38:$BE$52,5,FALSE),"")</f>
        <v>17751.714285714286</v>
      </c>
      <c r="E56" s="129">
        <f>IFERROR(VLOOKUP(E$4, 'G&amp;A bed avail.'!$AW$38:$BE$52,5,FALSE),"")</f>
        <v>17775.285714285714</v>
      </c>
      <c r="F56" s="129">
        <f>IFERROR(VLOOKUP(F$4, 'G&amp;A bed avail.'!$AW$38:$BE$52,5,FALSE),"")</f>
        <v>17718.571428571428</v>
      </c>
      <c r="G56" s="129">
        <f>IFERROR(VLOOKUP(G$4, 'G&amp;A bed avail.'!$AW$38:$BE$52,5,FALSE),"")</f>
        <v>17752.571428571428</v>
      </c>
      <c r="H56" s="129">
        <f>IFERROR(VLOOKUP(H$4, 'G&amp;A bed avail.'!$AW$38:$BE$52,5,FALSE),"")</f>
        <v>17513.857142857141</v>
      </c>
      <c r="I56" s="129">
        <f>IFERROR(VLOOKUP(I$4, 'G&amp;A bed avail.'!$AW$38:$BE$52,5,FALSE),"")</f>
        <v>17804.571428571428</v>
      </c>
      <c r="J56" s="129">
        <f>IFERROR(VLOOKUP(J$4, 'G&amp;A bed avail.'!$AW$38:$BE$52,5,FALSE),"")</f>
        <v>18103.142857142859</v>
      </c>
      <c r="K56" s="129">
        <f>IFERROR(VLOOKUP(K$4, 'G&amp;A bed avail.'!$AW$38:$BE$52,5,FALSE),"")</f>
        <v>18048.714285714286</v>
      </c>
      <c r="L56" s="129" t="str">
        <f>IFERROR(VLOOKUP(L$4, 'G&amp;A bed avail.'!$AW$38:$BE$52,5,FALSE),"")</f>
        <v/>
      </c>
      <c r="M56" s="129" t="str">
        <f>IFERROR(VLOOKUP(M$4, 'G&amp;A bed avail.'!$AW$38:$BE$52,5,FALSE),"")</f>
        <v/>
      </c>
      <c r="N56" s="129" t="str">
        <f>IFERROR(VLOOKUP(N$4, 'G&amp;A bed avail.'!$AW$38:$BE$52,5,FALSE),"")</f>
        <v/>
      </c>
      <c r="O56" s="129" t="str">
        <f>IFERROR(VLOOKUP(O$4, 'G&amp;A bed avail.'!$AW$38:$BE$52,5,FALSE),"")</f>
        <v/>
      </c>
      <c r="P56" s="129" t="str">
        <f>IFERROR(VLOOKUP(P$4, 'G&amp;A bed avail.'!$AW$38:$BE$52,5,FALSE),"")</f>
        <v/>
      </c>
      <c r="Q56" s="129" t="str">
        <f>IFERROR(VLOOKUP(Q$4, 'G&amp;A bed avail.'!$AW$38:$BE$52,5,FALSE),"")</f>
        <v/>
      </c>
      <c r="R56" s="62"/>
    </row>
    <row r="57" spans="2:30" x14ac:dyDescent="0.35">
      <c r="B57" s="136"/>
      <c r="C57" s="1" t="s">
        <v>37</v>
      </c>
      <c r="D57" s="129">
        <f>IFERROR(VLOOKUP(D$4, 'G&amp;A bed avail.'!$AW$38:$BE$52,9,FALSE),"")</f>
        <v>15004.285714285714</v>
      </c>
      <c r="E57" s="129">
        <f>IFERROR(VLOOKUP(E$4, 'G&amp;A bed avail.'!$AW$38:$BE$52,9,FALSE),"")</f>
        <v>14910</v>
      </c>
      <c r="F57" s="129">
        <f>IFERROR(VLOOKUP(F$4, 'G&amp;A bed avail.'!$AW$38:$BE$52,9,FALSE),"")</f>
        <v>15248.142857142857</v>
      </c>
      <c r="G57" s="129">
        <f>IFERROR(VLOOKUP(G$4, 'G&amp;A bed avail.'!$AW$38:$BE$52,9,FALSE),"")</f>
        <v>15319.857142857143</v>
      </c>
      <c r="H57" s="129">
        <f>IFERROR(VLOOKUP(H$4, 'G&amp;A bed avail.'!$AW$38:$BE$52,9,FALSE),"")</f>
        <v>15172</v>
      </c>
      <c r="I57" s="129">
        <f>IFERROR(VLOOKUP(I$4, 'G&amp;A bed avail.'!$AW$38:$BE$52,9,FALSE),"")</f>
        <v>15320.857142857143</v>
      </c>
      <c r="J57" s="129">
        <f>IFERROR(VLOOKUP(J$4, 'G&amp;A bed avail.'!$AW$38:$BE$52,9,FALSE),"")</f>
        <v>15431</v>
      </c>
      <c r="K57" s="129">
        <f>IFERROR(VLOOKUP(K$4, 'G&amp;A bed avail.'!$AW$38:$BE$52,9,FALSE),"")</f>
        <v>15412.285714285714</v>
      </c>
      <c r="L57" s="129" t="str">
        <f>IFERROR(VLOOKUP(L$4, 'G&amp;A bed avail.'!$AW$38:$BE$52,9,FALSE),"")</f>
        <v/>
      </c>
      <c r="M57" s="129" t="str">
        <f>IFERROR(VLOOKUP(M$4, 'G&amp;A bed avail.'!$AW$38:$BE$52,9,FALSE),"")</f>
        <v/>
      </c>
      <c r="N57" s="129" t="str">
        <f>IFERROR(VLOOKUP(N$4, 'G&amp;A bed avail.'!$AW$38:$BE$52,9,FALSE),"")</f>
        <v/>
      </c>
      <c r="O57" s="129" t="str">
        <f>IFERROR(VLOOKUP(O$4, 'G&amp;A bed avail.'!$AW$38:$BE$52,9,FALSE),"")</f>
        <v/>
      </c>
      <c r="P57" s="129" t="str">
        <f>IFERROR(VLOOKUP(P$4, 'G&amp;A bed avail.'!$AW$38:$BE$52,9,FALSE),"")</f>
        <v/>
      </c>
      <c r="Q57" s="129" t="str">
        <f>IFERROR(VLOOKUP(Q$4, 'G&amp;A bed avail.'!$AW$38:$BE$52,9,FALSE),"")</f>
        <v/>
      </c>
      <c r="R57" s="62" t="str">
        <f>IFERROR(VLOOKUP(R$4, 'G&amp;A bed avail.'!$AW$38:$BD$52,5,FALSE),"")</f>
        <v/>
      </c>
    </row>
    <row r="58" spans="2:30" x14ac:dyDescent="0.35">
      <c r="B58" s="136"/>
      <c r="C58" s="1" t="s">
        <v>27</v>
      </c>
      <c r="D58" s="129">
        <f>IFERROR(VLOOKUP(D$4, 'G&amp;A bed avail.'!$AW$38:$BE$52,6,FALSE),"")</f>
        <v>13702.428571428571</v>
      </c>
      <c r="E58" s="129">
        <f>IFERROR(VLOOKUP(E$4, 'G&amp;A bed avail.'!$AW$38:$BE$52,6,FALSE),"")</f>
        <v>13725.714285714286</v>
      </c>
      <c r="F58" s="129">
        <f>IFERROR(VLOOKUP(F$4, 'G&amp;A bed avail.'!$AW$38:$BE$52,6,FALSE),"")</f>
        <v>13745.285714285714</v>
      </c>
      <c r="G58" s="129">
        <f>IFERROR(VLOOKUP(G$4, 'G&amp;A bed avail.'!$AW$38:$BE$52,6,FALSE),"")</f>
        <v>13718.285714285714</v>
      </c>
      <c r="H58" s="129">
        <f>IFERROR(VLOOKUP(H$4, 'G&amp;A bed avail.'!$AW$38:$BE$52,6,FALSE),"")</f>
        <v>13478.428571428571</v>
      </c>
      <c r="I58" s="129">
        <f>IFERROR(VLOOKUP(I$4, 'G&amp;A bed avail.'!$AW$38:$BE$52,6,FALSE),"")</f>
        <v>13773.714285714286</v>
      </c>
      <c r="J58" s="129">
        <f>IFERROR(VLOOKUP(J$4, 'G&amp;A bed avail.'!$AW$38:$BE$52,6,FALSE),"")</f>
        <v>14026.714285714286</v>
      </c>
      <c r="K58" s="129">
        <f>IFERROR(VLOOKUP(K$4, 'G&amp;A bed avail.'!$AW$38:$BE$52,6,FALSE),"")</f>
        <v>13961</v>
      </c>
      <c r="L58" s="129" t="str">
        <f>IFERROR(VLOOKUP(L$4, 'G&amp;A bed avail.'!$AW$38:$BE$52,6,FALSE),"")</f>
        <v/>
      </c>
      <c r="M58" s="129" t="str">
        <f>IFERROR(VLOOKUP(M$4, 'G&amp;A bed avail.'!$AW$38:$BE$52,6,FALSE),"")</f>
        <v/>
      </c>
      <c r="N58" s="129" t="str">
        <f>IFERROR(VLOOKUP(N$4, 'G&amp;A bed avail.'!$AW$38:$BE$52,6,FALSE),"")</f>
        <v/>
      </c>
      <c r="O58" s="129" t="str">
        <f>IFERROR(VLOOKUP(O$4, 'G&amp;A bed avail.'!$AW$38:$BE$52,6,FALSE),"")</f>
        <v/>
      </c>
      <c r="P58" s="129" t="str">
        <f>IFERROR(VLOOKUP(P$4, 'G&amp;A bed avail.'!$AW$38:$BE$52,6,FALSE),"")</f>
        <v/>
      </c>
      <c r="Q58" s="129" t="str">
        <f>IFERROR(VLOOKUP(Q$4, 'G&amp;A bed avail.'!$AW$38:$BE$52,6,FALSE),"")</f>
        <v/>
      </c>
      <c r="R58" s="62" t="str">
        <f>IFERROR(VLOOKUP(R$4, 'G&amp;A bed avail.'!$AW$38:$BD$52,6,FALSE),"")</f>
        <v/>
      </c>
    </row>
    <row r="59" spans="2:30" x14ac:dyDescent="0.35">
      <c r="B59" s="136"/>
      <c r="C59" s="1" t="s">
        <v>28</v>
      </c>
      <c r="D59" s="129">
        <f>IFERROR(VLOOKUP(D$4, 'G&amp;A bed avail.'!$AW$38:$BE$52,7,FALSE),"")</f>
        <v>10225</v>
      </c>
      <c r="E59" s="129">
        <f>IFERROR(VLOOKUP(E$4, 'G&amp;A bed avail.'!$AW$38:$BE$52,7,FALSE),"")</f>
        <v>10220.571428571429</v>
      </c>
      <c r="F59" s="129">
        <f>IFERROR(VLOOKUP(F$4, 'G&amp;A bed avail.'!$AW$38:$BE$52,7,FALSE),"")</f>
        <v>10202.142857142857</v>
      </c>
      <c r="G59" s="129">
        <f>IFERROR(VLOOKUP(G$4, 'G&amp;A bed avail.'!$AW$38:$BE$52,7,FALSE),"")</f>
        <v>10219.714285714286</v>
      </c>
      <c r="H59" s="129">
        <f>IFERROR(VLOOKUP(H$4, 'G&amp;A bed avail.'!$AW$38:$BE$52,7,FALSE),"")</f>
        <v>10009.428571428571</v>
      </c>
      <c r="I59" s="129">
        <f>IFERROR(VLOOKUP(I$4, 'G&amp;A bed avail.'!$AW$38:$BE$52,7,FALSE),"")</f>
        <v>10268.428571428571</v>
      </c>
      <c r="J59" s="129">
        <f>IFERROR(VLOOKUP(J$4, 'G&amp;A bed avail.'!$AW$38:$BE$52,7,FALSE),"")</f>
        <v>10283.142857142857</v>
      </c>
      <c r="K59" s="129">
        <f>IFERROR(VLOOKUP(K$4, 'G&amp;A bed avail.'!$AW$38:$BE$52,7,FALSE),"")</f>
        <v>10159.428571428571</v>
      </c>
      <c r="L59" s="129" t="str">
        <f>IFERROR(VLOOKUP(L$4, 'G&amp;A bed avail.'!$AW$38:$BE$52,7,FALSE),"")</f>
        <v/>
      </c>
      <c r="M59" s="129" t="str">
        <f>IFERROR(VLOOKUP(M$4, 'G&amp;A bed avail.'!$AW$38:$BE$52,7,FALSE),"")</f>
        <v/>
      </c>
      <c r="N59" s="129" t="str">
        <f>IFERROR(VLOOKUP(N$4, 'G&amp;A bed avail.'!$AW$38:$BE$52,7,FALSE),"")</f>
        <v/>
      </c>
      <c r="O59" s="129" t="str">
        <f>IFERROR(VLOOKUP(O$4, 'G&amp;A bed avail.'!$AW$38:$BE$52,7,FALSE),"")</f>
        <v/>
      </c>
      <c r="P59" s="129" t="str">
        <f>IFERROR(VLOOKUP(P$4, 'G&amp;A bed avail.'!$AW$38:$BE$52,7,FALSE),"")</f>
        <v/>
      </c>
      <c r="Q59" s="129" t="str">
        <f>IFERROR(VLOOKUP(Q$4, 'G&amp;A bed avail.'!$AW$38:$BE$52,7,FALSE),"")</f>
        <v/>
      </c>
      <c r="R59" s="62" t="str">
        <f>IFERROR(VLOOKUP(R$4, 'G&amp;A bed avail.'!$AW$38:$BD$52,7,FALSE),"")</f>
        <v/>
      </c>
    </row>
    <row r="60" spans="2:30" ht="7.5" customHeight="1" x14ac:dyDescent="0.35">
      <c r="B60" s="136"/>
      <c r="C60" s="1"/>
      <c r="D60" s="29"/>
      <c r="E60" s="29"/>
      <c r="F60" s="29"/>
      <c r="G60" s="29"/>
      <c r="H60" s="29"/>
      <c r="I60" s="29"/>
      <c r="J60" s="29"/>
      <c r="K60" s="29"/>
      <c r="L60" s="29"/>
      <c r="M60" s="29"/>
      <c r="N60" s="29"/>
      <c r="O60" s="29"/>
      <c r="P60" s="29"/>
      <c r="Q60" s="29"/>
      <c r="R60" s="29"/>
    </row>
    <row r="61" spans="2:30" ht="17.149999999999999" customHeight="1" x14ac:dyDescent="0.35">
      <c r="B61" s="136"/>
      <c r="C61" s="1" t="s">
        <v>44</v>
      </c>
      <c r="D61" s="158" t="s">
        <v>18</v>
      </c>
      <c r="E61" s="158"/>
      <c r="F61" s="158"/>
      <c r="G61" s="139" t="s">
        <v>45</v>
      </c>
      <c r="H61" s="140"/>
      <c r="I61" s="140"/>
      <c r="J61" s="140"/>
      <c r="K61" s="148" t="s">
        <v>20</v>
      </c>
      <c r="L61" s="148"/>
      <c r="M61" s="148"/>
      <c r="N61" s="166" t="str">
        <f>TEXT('G&amp;A bed avail.'!BM8,"0,0")&amp;" ("&amp;TEXT('G&amp;A bed avail.'!BO8,"d-mmm")&amp;")"</f>
        <v>104,591 (8-Jan)</v>
      </c>
      <c r="O61" s="166"/>
      <c r="P61" s="166"/>
      <c r="Q61" s="166"/>
      <c r="R61" s="59"/>
    </row>
    <row r="62" spans="2:30" ht="14.5" customHeight="1" x14ac:dyDescent="0.35">
      <c r="C62" s="1"/>
      <c r="D62" s="84">
        <v>0.87132848938056506</v>
      </c>
      <c r="E62" s="84">
        <v>0.88944465840683073</v>
      </c>
      <c r="F62" s="84">
        <v>0.88805132036518131</v>
      </c>
      <c r="G62" s="84">
        <v>0.82878958398013036</v>
      </c>
      <c r="H62" s="84">
        <v>0.86668413786050313</v>
      </c>
      <c r="I62" s="84">
        <v>0.88654682863035061</v>
      </c>
      <c r="J62" s="84">
        <v>0.87229437909811591</v>
      </c>
      <c r="K62" s="84">
        <v>0.87596501557125928</v>
      </c>
      <c r="L62" s="84">
        <v>0.86871120973613958</v>
      </c>
      <c r="M62" s="84">
        <v>0.86092496840351351</v>
      </c>
      <c r="N62" s="84">
        <v>0.84420397626141075</v>
      </c>
      <c r="O62" s="84">
        <v>0.85172699587833334</v>
      </c>
      <c r="P62" s="84">
        <v>0.85793532631740033</v>
      </c>
      <c r="Q62" s="84"/>
    </row>
    <row r="63" spans="2:30" ht="14.5" customHeight="1" x14ac:dyDescent="0.35">
      <c r="C63" s="1"/>
      <c r="D63" s="84"/>
      <c r="E63" s="84"/>
      <c r="F63" s="84"/>
      <c r="G63" s="84"/>
      <c r="H63" s="84"/>
      <c r="I63" s="84"/>
      <c r="J63" s="84"/>
      <c r="K63" s="84"/>
      <c r="L63" s="84"/>
      <c r="M63" s="84"/>
      <c r="N63" s="84"/>
      <c r="O63" s="84"/>
      <c r="P63" s="84"/>
      <c r="Q63" s="84"/>
    </row>
    <row r="64" spans="2:30" ht="15" customHeight="1" x14ac:dyDescent="0.35">
      <c r="B64" s="136" t="s">
        <v>46</v>
      </c>
      <c r="C64" s="1" t="s">
        <v>18</v>
      </c>
      <c r="D64" s="92">
        <v>0.94447024311788919</v>
      </c>
      <c r="E64" s="92">
        <v>0.94740532464655902</v>
      </c>
      <c r="F64" s="92">
        <v>0.94897769044432778</v>
      </c>
      <c r="G64" s="92">
        <v>0.91417781868149794</v>
      </c>
      <c r="H64" s="92">
        <v>0.89544693567371758</v>
      </c>
      <c r="I64" s="92">
        <v>0.93180627156470497</v>
      </c>
      <c r="J64" s="92">
        <v>0.93297168677126896</v>
      </c>
      <c r="K64" s="92">
        <v>0.94344905047576499</v>
      </c>
      <c r="L64" s="92">
        <v>0.94814808691447017</v>
      </c>
      <c r="M64" s="92">
        <v>0.94650994086235052</v>
      </c>
      <c r="N64" s="92">
        <v>0.94569741247425509</v>
      </c>
      <c r="O64" s="92">
        <v>0.94033740681598177</v>
      </c>
      <c r="P64" s="92">
        <v>0.93836447363506714</v>
      </c>
      <c r="Q64" s="92">
        <v>0.93254055855217943</v>
      </c>
      <c r="S64" s="2"/>
      <c r="AA64" s="137" t="s">
        <v>47</v>
      </c>
      <c r="AB64" s="137"/>
      <c r="AC64" s="137"/>
      <c r="AD64" s="137"/>
    </row>
    <row r="65" spans="2:30" ht="7.5" customHeight="1" x14ac:dyDescent="0.35">
      <c r="B65" s="136"/>
      <c r="C65" s="1"/>
      <c r="D65" s="130">
        <v>0.94505538678871481</v>
      </c>
      <c r="E65" s="130">
        <v>0.94494034822191264</v>
      </c>
      <c r="F65" s="130">
        <v>0.94437039214734853</v>
      </c>
      <c r="G65" s="130">
        <v>0.93053965313424214</v>
      </c>
      <c r="H65" s="130">
        <v>0.93206381590382592</v>
      </c>
      <c r="I65" s="130">
        <v>0.94553668839343163</v>
      </c>
      <c r="J65" s="130">
        <v>0.9423832601088864</v>
      </c>
      <c r="K65" s="130">
        <v>0.93790176120285507</v>
      </c>
      <c r="L65" s="130">
        <v>0.94003141359776177</v>
      </c>
      <c r="M65" s="130">
        <v>0.94410154081163877</v>
      </c>
      <c r="N65" s="130">
        <v>0.93759808948594026</v>
      </c>
      <c r="O65" s="130">
        <v>0.94057141564813262</v>
      </c>
      <c r="P65" s="130">
        <v>0.94131366144008322</v>
      </c>
      <c r="Q65" s="130">
        <v>0.94258516637349332</v>
      </c>
      <c r="R65" s="26">
        <v>0.85</v>
      </c>
      <c r="AA65" s="137"/>
      <c r="AB65" s="137"/>
      <c r="AC65" s="137"/>
      <c r="AD65" s="137"/>
    </row>
    <row r="66" spans="2:30" x14ac:dyDescent="0.35">
      <c r="B66" s="136"/>
      <c r="C66" s="13" t="s">
        <v>20</v>
      </c>
      <c r="D66" s="48">
        <f>IFERROR(VLOOKUP(D$4,'G&amp;A bed occ.'!$AA$3:$AI$16,2,FALSE),"")</f>
        <v>0.94628476255790839</v>
      </c>
      <c r="E66" s="48">
        <f>IFERROR(VLOOKUP(E$4,'G&amp;A bed occ.'!$AA$3:$AI$16,2,FALSE),"")</f>
        <v>0.94599555963179616</v>
      </c>
      <c r="F66" s="48">
        <f>IFERROR(VLOOKUP(F$4,'G&amp;A bed occ.'!$AA$3:$AI$16,2,FALSE),"")</f>
        <v>0.94087261309895598</v>
      </c>
      <c r="G66" s="48">
        <f>IFERROR(VLOOKUP(G$4,'G&amp;A bed occ.'!$AA$3:$AI$16,2,FALSE),"")</f>
        <v>0.93455690192654972</v>
      </c>
      <c r="H66" s="48">
        <f>IFERROR(VLOOKUP(H$4,'G&amp;A bed occ.'!$AA$3:$AI$16,2,FALSE),"")</f>
        <v>0.89034804459347794</v>
      </c>
      <c r="I66" s="48">
        <f>IFERROR(VLOOKUP(I$4,'G&amp;A bed occ.'!$AA$3:$AI$16,2,FALSE),"")</f>
        <v>0.92795975598373415</v>
      </c>
      <c r="J66" s="48">
        <f>IFERROR(VLOOKUP(J$4,'G&amp;A bed occ.'!$AA$3:$AI$16,2,FALSE),"")</f>
        <v>0.94019085770412236</v>
      </c>
      <c r="K66" s="48">
        <f>IFERROR(VLOOKUP(K$4,'G&amp;A bed occ.'!$AA$3:$AI$16,2,FALSE),"")</f>
        <v>0.93982513286473512</v>
      </c>
      <c r="L66" s="48" t="str">
        <f>IFERROR(VLOOKUP(L$4,'G&amp;A bed occ.'!$AA$3:$AI$16,2,FALSE),"")</f>
        <v/>
      </c>
      <c r="M66" s="48" t="str">
        <f>IFERROR(VLOOKUP(M$4,'G&amp;A bed occ.'!$AA$3:$AI$16,2,FALSE),"")</f>
        <v/>
      </c>
      <c r="N66" s="48" t="str">
        <f>IFERROR(VLOOKUP(N$4,'G&amp;A bed occ.'!$AA$3:$AI$16,2,FALSE),"")</f>
        <v/>
      </c>
      <c r="O66" s="48" t="str">
        <f>IFERROR(VLOOKUP(O$4,'G&amp;A bed occ.'!$AA$3:$AI$16,2,FALSE),"")</f>
        <v/>
      </c>
      <c r="P66" s="48" t="str">
        <f>IFERROR(VLOOKUP(P$4,'G&amp;A bed occ.'!$AA$3:$AI$16,2,FALSE),"")</f>
        <v/>
      </c>
      <c r="Q66" s="48" t="str">
        <f>IFERROR(VLOOKUP(Q$4,'G&amp;A bed occ.'!$AA$3:$AI$17,2,FALSE),"")</f>
        <v/>
      </c>
      <c r="R66" s="64" t="str">
        <f>IFERROR(VLOOKUP(R$4,'G&amp;A bed occ.'!$AA$3:$AH$17,2,FALSE),"")</f>
        <v/>
      </c>
      <c r="AA66" s="137"/>
      <c r="AB66" s="137"/>
      <c r="AC66" s="137"/>
      <c r="AD66" s="137"/>
    </row>
    <row r="67" spans="2:30" x14ac:dyDescent="0.35">
      <c r="B67" s="136"/>
      <c r="C67" s="1" t="s">
        <v>21</v>
      </c>
      <c r="D67" s="131">
        <f>IFERROR(VLOOKUP(D$4,'G&amp;A bed occ.'!$AA$3:$AI$16,3,FALSE),"")</f>
        <v>0.94317870664992309</v>
      </c>
      <c r="E67" s="131">
        <f>IFERROR(VLOOKUP(E$4,'G&amp;A bed occ.'!$AA$3:$AI$16,3,FALSE),"")</f>
        <v>0.94247295616448679</v>
      </c>
      <c r="F67" s="131">
        <f>IFERROR(VLOOKUP(F$4,'G&amp;A bed occ.'!$AA$3:$AI$16,3,FALSE),"")</f>
        <v>0.94148971263230319</v>
      </c>
      <c r="G67" s="131">
        <f>IFERROR(VLOOKUP(G$4,'G&amp;A bed occ.'!$AA$3:$AI$16,3,FALSE),"")</f>
        <v>0.93241352105268105</v>
      </c>
      <c r="H67" s="131">
        <f>IFERROR(VLOOKUP(H$4,'G&amp;A bed occ.'!$AA$3:$AI$16,3,FALSE),"")</f>
        <v>0.87879448213135258</v>
      </c>
      <c r="I67" s="131">
        <f>IFERROR(VLOOKUP(I$4,'G&amp;A bed occ.'!$AA$3:$AI$16,3,FALSE),"")</f>
        <v>0.90848088039341623</v>
      </c>
      <c r="J67" s="131">
        <f>IFERROR(VLOOKUP(J$4,'G&amp;A bed occ.'!$AA$3:$AI$16,3,FALSE),"")</f>
        <v>0.92875015115013626</v>
      </c>
      <c r="K67" s="131">
        <f>IFERROR(VLOOKUP(K$4,'G&amp;A bed occ.'!$AA$3:$AI$16,3,FALSE),"")</f>
        <v>0.93497745208568206</v>
      </c>
      <c r="L67" s="131" t="str">
        <f>IFERROR(VLOOKUP(L$4,'G&amp;A bed occ.'!$AA$3:$AI$16,3,FALSE),"")</f>
        <v/>
      </c>
      <c r="M67" s="131" t="str">
        <f>IFERROR(VLOOKUP(M$4,'G&amp;A bed occ.'!$AA$3:$AI$16,3,FALSE),"")</f>
        <v/>
      </c>
      <c r="N67" s="131" t="str">
        <f>IFERROR(VLOOKUP(N$4,'G&amp;A bed occ.'!$AA$3:$AI$16,3,FALSE),"")</f>
        <v/>
      </c>
      <c r="O67" s="131" t="str">
        <f>IFERROR(VLOOKUP(O$4,'G&amp;A bed occ.'!$AA$3:$AI$16,3,FALSE),"")</f>
        <v/>
      </c>
      <c r="P67" s="131" t="str">
        <f>IFERROR(VLOOKUP(P$4,'G&amp;A bed occ.'!$AA$3:$AI$16,3,FALSE),"")</f>
        <v/>
      </c>
      <c r="Q67" s="131" t="str">
        <f>IFERROR(VLOOKUP(Q$4,'G&amp;A bed occ.'!$AA$3:$AI$17,3,FALSE),"")</f>
        <v/>
      </c>
      <c r="R67" s="65" t="str">
        <f>IFERROR(VLOOKUP(R$4,'G&amp;A bed occ.'!$AA$3:$AH$17,3,FALSE),"")</f>
        <v/>
      </c>
      <c r="AA67" s="137"/>
      <c r="AB67" s="137"/>
      <c r="AC67" s="137"/>
      <c r="AD67" s="137"/>
    </row>
    <row r="68" spans="2:30" ht="15" customHeight="1" x14ac:dyDescent="0.35">
      <c r="B68" s="136"/>
      <c r="C68" s="1" t="s">
        <v>22</v>
      </c>
      <c r="D68" s="131">
        <f>IFERROR(VLOOKUP(D$4,'G&amp;A bed occ.'!$AA$3:$AI$16,4,FALSE),"")</f>
        <v>0.95374403650694872</v>
      </c>
      <c r="E68" s="131">
        <f>IFERROR(VLOOKUP(E$4,'G&amp;A bed occ.'!$AA$3:$AI$16,4,FALSE),"")</f>
        <v>0.95336452648357217</v>
      </c>
      <c r="F68" s="131">
        <f>IFERROR(VLOOKUP(F$4,'G&amp;A bed occ.'!$AA$3:$AI$16,4,FALSE),"")</f>
        <v>0.94388129866314086</v>
      </c>
      <c r="G68" s="131">
        <f>IFERROR(VLOOKUP(G$4,'G&amp;A bed occ.'!$AA$3:$AI$16,4,FALSE),"")</f>
        <v>0.93966017527492307</v>
      </c>
      <c r="H68" s="131">
        <f>IFERROR(VLOOKUP(H$4,'G&amp;A bed occ.'!$AA$3:$AI$16,4,FALSE),"")</f>
        <v>0.8967483170724474</v>
      </c>
      <c r="I68" s="131">
        <f>IFERROR(VLOOKUP(I$4,'G&amp;A bed occ.'!$AA$3:$AI$16,4,FALSE),"")</f>
        <v>0.93512566607785508</v>
      </c>
      <c r="J68" s="131">
        <f>IFERROR(VLOOKUP(J$4,'G&amp;A bed occ.'!$AA$3:$AI$16,4,FALSE),"")</f>
        <v>0.94872130479992434</v>
      </c>
      <c r="K68" s="131">
        <f>IFERROR(VLOOKUP(K$4,'G&amp;A bed occ.'!$AA$3:$AI$16,4,FALSE),"")</f>
        <v>0.94550164173659246</v>
      </c>
      <c r="L68" s="131" t="str">
        <f>IFERROR(VLOOKUP(L$4,'G&amp;A bed occ.'!$AA$3:$AI$16,4,FALSE),"")</f>
        <v/>
      </c>
      <c r="M68" s="131" t="str">
        <f>IFERROR(VLOOKUP(M$4,'G&amp;A bed occ.'!$AA$3:$AI$16,4,FALSE),"")</f>
        <v/>
      </c>
      <c r="N68" s="131" t="str">
        <f>IFERROR(VLOOKUP(N$4,'G&amp;A bed occ.'!$AA$3:$AI$16,4,FALSE),"")</f>
        <v/>
      </c>
      <c r="O68" s="131" t="str">
        <f>IFERROR(VLOOKUP(O$4,'G&amp;A bed occ.'!$AA$3:$AI$16,4,FALSE),"")</f>
        <v/>
      </c>
      <c r="P68" s="131" t="str">
        <f>IFERROR(VLOOKUP(P$4,'G&amp;A bed occ.'!$AA$3:$AI$16,4,FALSE),"")</f>
        <v/>
      </c>
      <c r="Q68" s="131" t="str">
        <f>IFERROR(VLOOKUP(Q$4,'G&amp;A bed occ.'!$AA$3:$AI$17,4,FALSE),"")</f>
        <v/>
      </c>
      <c r="R68" s="65" t="str">
        <f>IFERROR(VLOOKUP(R$4,'G&amp;A bed occ.'!$AA$3:$AH$17,4,FALSE),"")</f>
        <v/>
      </c>
      <c r="AB68" s="12"/>
      <c r="AC68" s="12"/>
      <c r="AD68" s="12"/>
    </row>
    <row r="69" spans="2:30" ht="15" customHeight="1" x14ac:dyDescent="0.35">
      <c r="B69" s="136"/>
      <c r="C69" s="1" t="s">
        <v>24</v>
      </c>
      <c r="D69" s="131">
        <f>IFERROR(VLOOKUP(D$4,'G&amp;A bed occ.'!$AA$3:$AI$16,8,FALSE),"")</f>
        <v>0.94962698712356952</v>
      </c>
      <c r="E69" s="131">
        <f>IFERROR(VLOOKUP(E$4,'G&amp;A bed occ.'!$AA$3:$AI$16,8,FALSE),"")</f>
        <v>0.95331069609507635</v>
      </c>
      <c r="F69" s="131">
        <f>IFERROR(VLOOKUP(F$4,'G&amp;A bed occ.'!$AA$3:$AI$16,8,FALSE),"")</f>
        <v>0.95176743943191311</v>
      </c>
      <c r="G69" s="131">
        <f>IFERROR(VLOOKUP(G$4,'G&amp;A bed occ.'!$AA$3:$AI$16,8,FALSE),"")</f>
        <v>0.94811505603887447</v>
      </c>
      <c r="H69" s="131">
        <f>IFERROR(VLOOKUP(H$4,'G&amp;A bed occ.'!$AA$3:$AI$16,8,FALSE),"")</f>
        <v>0.91674391503562258</v>
      </c>
      <c r="I69" s="131">
        <f>IFERROR(VLOOKUP(I$4,'G&amp;A bed occ.'!$AA$3:$AI$16,8,FALSE),"")</f>
        <v>0.94988166142162345</v>
      </c>
      <c r="J69" s="131">
        <f>IFERROR(VLOOKUP(J$4,'G&amp;A bed occ.'!$AA$3:$AI$16,8,FALSE),"")</f>
        <v>0.95286339606956838</v>
      </c>
      <c r="K69" s="131">
        <f>IFERROR(VLOOKUP(K$4,'G&amp;A bed occ.'!$AA$3:$AI$16,8,FALSE),"")</f>
        <v>0.95189751342334361</v>
      </c>
      <c r="L69" s="131" t="str">
        <f>IFERROR(VLOOKUP(L$4,'G&amp;A bed occ.'!$AA$3:$AI$16,8,FALSE),"")</f>
        <v/>
      </c>
      <c r="M69" s="131" t="str">
        <f>IFERROR(VLOOKUP(M$4,'G&amp;A bed occ.'!$AA$3:$AI$16,8,FALSE),"")</f>
        <v/>
      </c>
      <c r="N69" s="131" t="str">
        <f>IFERROR(VLOOKUP(N$4,'G&amp;A bed occ.'!$AA$3:$AI$16,8,FALSE),"")</f>
        <v/>
      </c>
      <c r="O69" s="131" t="str">
        <f>IFERROR(VLOOKUP(O$4,'G&amp;A bed occ.'!$AA$3:$AI$16,8,FALSE),"")</f>
        <v/>
      </c>
      <c r="P69" s="131" t="str">
        <f>IFERROR(VLOOKUP(P$4,'G&amp;A bed occ.'!$AA$3:$AI$16,8,FALSE),"")</f>
        <v/>
      </c>
      <c r="Q69" s="131" t="str">
        <f>IFERROR(VLOOKUP(Q$4,'G&amp;A bed occ.'!$AA$3:$AI$17,8,FALSE),"")</f>
        <v/>
      </c>
      <c r="R69" s="65"/>
      <c r="AA69" s="149" t="s">
        <v>48</v>
      </c>
      <c r="AB69" s="149"/>
      <c r="AC69" s="149"/>
      <c r="AD69" s="149"/>
    </row>
    <row r="70" spans="2:30" ht="15" customHeight="1" x14ac:dyDescent="0.35">
      <c r="B70" s="136"/>
      <c r="C70" s="1" t="s">
        <v>25</v>
      </c>
      <c r="D70" s="131">
        <f>IFERROR(VLOOKUP(D$4,'G&amp;A bed occ.'!$AA$3:$AI$16,5,FALSE),"")</f>
        <v>0.93963560863337148</v>
      </c>
      <c r="E70" s="131">
        <f>IFERROR(VLOOKUP(E$4,'G&amp;A bed occ.'!$AA$3:$AI$16,5,FALSE),"")</f>
        <v>0.93713583064768902</v>
      </c>
      <c r="F70" s="131">
        <f>IFERROR(VLOOKUP(F$4,'G&amp;A bed occ.'!$AA$3:$AI$16,5,FALSE),"")</f>
        <v>0.92896073530597434</v>
      </c>
      <c r="G70" s="131">
        <f>IFERROR(VLOOKUP(G$4,'G&amp;A bed occ.'!$AA$3:$AI$16,5,FALSE),"")</f>
        <v>0.92158882415424725</v>
      </c>
      <c r="H70" s="131">
        <f>IFERROR(VLOOKUP(H$4,'G&amp;A bed occ.'!$AA$3:$AI$16,5,FALSE),"")</f>
        <v>0.87322691419855303</v>
      </c>
      <c r="I70" s="131">
        <f>IFERROR(VLOOKUP(I$4,'G&amp;A bed occ.'!$AA$3:$AI$16,5,FALSE),"")</f>
        <v>0.91787020989793955</v>
      </c>
      <c r="J70" s="131">
        <f>IFERROR(VLOOKUP(J$4,'G&amp;A bed occ.'!$AA$3:$AI$16,5,FALSE),"")</f>
        <v>0.9375798993071448</v>
      </c>
      <c r="K70" s="131">
        <f>IFERROR(VLOOKUP(K$4,'G&amp;A bed occ.'!$AA$3:$AI$16,5,FALSE),"")</f>
        <v>0.93399608994704808</v>
      </c>
      <c r="L70" s="131" t="str">
        <f>IFERROR(VLOOKUP(L$4,'G&amp;A bed occ.'!$AA$3:$AI$16,5,FALSE),"")</f>
        <v/>
      </c>
      <c r="M70" s="131" t="str">
        <f>IFERROR(VLOOKUP(M$4,'G&amp;A bed occ.'!$AA$3:$AI$16,5,FALSE),"")</f>
        <v/>
      </c>
      <c r="N70" s="131" t="str">
        <f>IFERROR(VLOOKUP(N$4,'G&amp;A bed occ.'!$AA$3:$AI$16,5,FALSE),"")</f>
        <v/>
      </c>
      <c r="O70" s="131" t="str">
        <f>IFERROR(VLOOKUP(O$4,'G&amp;A bed occ.'!$AA$3:$AI$16,5,FALSE),"")</f>
        <v/>
      </c>
      <c r="P70" s="131" t="str">
        <f>IFERROR(VLOOKUP(P$4,'G&amp;A bed occ.'!$AA$3:$AI$16,5,FALSE),"")</f>
        <v/>
      </c>
      <c r="Q70" s="131" t="str">
        <f>IFERROR(VLOOKUP(Q$4,'G&amp;A bed occ.'!$AA$3:$AI$17,5,FALSE),"")</f>
        <v/>
      </c>
      <c r="R70" s="65"/>
      <c r="AA70" s="149"/>
      <c r="AB70" s="149"/>
      <c r="AC70" s="149"/>
      <c r="AD70" s="149"/>
    </row>
    <row r="71" spans="2:30" x14ac:dyDescent="0.35">
      <c r="B71" s="136"/>
      <c r="C71" s="1" t="s">
        <v>37</v>
      </c>
      <c r="D71" s="131">
        <f>IFERROR(VLOOKUP(D$4,'G&amp;A bed occ.'!$AA$3:$AI$16,9,FALSE),"")</f>
        <v>0.94479672474531085</v>
      </c>
      <c r="E71" s="131">
        <f>IFERROR(VLOOKUP(E$4,'G&amp;A bed occ.'!$AA$3:$AI$16,9,FALSE),"")</f>
        <v>0.94703458848328059</v>
      </c>
      <c r="F71" s="131">
        <f>IFERROR(VLOOKUP(F$4,'G&amp;A bed occ.'!$AA$3:$AI$16,9,FALSE),"")</f>
        <v>0.94295324020723836</v>
      </c>
      <c r="G71" s="131">
        <f>IFERROR(VLOOKUP(G$4,'G&amp;A bed occ.'!$AA$3:$AI$16,9,FALSE),"")</f>
        <v>0.93233804865767123</v>
      </c>
      <c r="H71" s="131">
        <f>IFERROR(VLOOKUP(H$4,'G&amp;A bed occ.'!$AA$3:$AI$16,9,FALSE),"")</f>
        <v>0.88180294527513092</v>
      </c>
      <c r="I71" s="131">
        <f>IFERROR(VLOOKUP(I$4,'G&amp;A bed occ.'!$AA$3:$AI$16,9,FALSE),"")</f>
        <v>0.92153553512485309</v>
      </c>
      <c r="J71" s="131">
        <f>IFERROR(VLOOKUP(J$4,'G&amp;A bed occ.'!$AA$3:$AI$16,9,FALSE),"")</f>
        <v>0.93763944564281543</v>
      </c>
      <c r="K71" s="131">
        <f>IFERROR(VLOOKUP(K$4,'G&amp;A bed occ.'!$AA$3:$AI$16,9,FALSE),"")</f>
        <v>0.93683147025564018</v>
      </c>
      <c r="L71" s="131" t="str">
        <f>IFERROR(VLOOKUP(L$4,'G&amp;A bed occ.'!$AA$3:$AI$16,9,FALSE),"")</f>
        <v/>
      </c>
      <c r="M71" s="131" t="str">
        <f>IFERROR(VLOOKUP(M$4,'G&amp;A bed occ.'!$AA$3:$AI$16,9,FALSE),"")</f>
        <v/>
      </c>
      <c r="N71" s="131" t="str">
        <f>IFERROR(VLOOKUP(N$4,'G&amp;A bed occ.'!$AA$3:$AI$16,9,FALSE),"")</f>
        <v/>
      </c>
      <c r="O71" s="131" t="str">
        <f>IFERROR(VLOOKUP(O$4,'G&amp;A bed occ.'!$AA$3:$AI$16,9,FALSE),"")</f>
        <v/>
      </c>
      <c r="P71" s="131" t="str">
        <f>IFERROR(VLOOKUP(P$4,'G&amp;A bed occ.'!$AA$3:$AI$16,9,FALSE),"")</f>
        <v/>
      </c>
      <c r="Q71" s="131" t="str">
        <f>IFERROR(VLOOKUP(Q$4,'G&amp;A bed occ.'!$AA$3:$AI$17,9,FALSE),"")</f>
        <v/>
      </c>
      <c r="R71" s="65" t="str">
        <f>IFERROR(VLOOKUP(R$4,'G&amp;A bed occ.'!$AA$3:$AH$17,5,FALSE),"")</f>
        <v/>
      </c>
      <c r="AA71" s="149"/>
      <c r="AB71" s="149"/>
      <c r="AC71" s="149"/>
      <c r="AD71" s="149"/>
    </row>
    <row r="72" spans="2:30" x14ac:dyDescent="0.35">
      <c r="B72" s="136"/>
      <c r="C72" s="1" t="s">
        <v>27</v>
      </c>
      <c r="D72" s="131">
        <f>IFERROR(VLOOKUP(D$4,'G&amp;A bed occ.'!$AA$3:$AI$16,6,FALSE),"")</f>
        <v>0.94912267898287062</v>
      </c>
      <c r="E72" s="131">
        <f>IFERROR(VLOOKUP(E$4,'G&amp;A bed occ.'!$AA$3:$AI$16,6,FALSE),"")</f>
        <v>0.94460865945045791</v>
      </c>
      <c r="F72" s="131">
        <f>IFERROR(VLOOKUP(F$4,'G&amp;A bed occ.'!$AA$3:$AI$16,6,FALSE),"")</f>
        <v>0.9398443102570232</v>
      </c>
      <c r="G72" s="131">
        <f>IFERROR(VLOOKUP(G$4,'G&amp;A bed occ.'!$AA$3:$AI$16,6,FALSE),"")</f>
        <v>0.93815345524222105</v>
      </c>
      <c r="H72" s="131">
        <f>IFERROR(VLOOKUP(H$4,'G&amp;A bed occ.'!$AA$3:$AI$16,6,FALSE),"")</f>
        <v>0.90076206425081351</v>
      </c>
      <c r="I72" s="131">
        <f>IFERROR(VLOOKUP(I$4,'G&amp;A bed occ.'!$AA$3:$AI$16,6,FALSE),"")</f>
        <v>0.93912836043810155</v>
      </c>
      <c r="J72" s="131">
        <f>IFERROR(VLOOKUP(J$4,'G&amp;A bed occ.'!$AA$3:$AI$16,6,FALSE),"")</f>
        <v>0.93959485471600113</v>
      </c>
      <c r="K72" s="131">
        <f>IFERROR(VLOOKUP(K$4,'G&amp;A bed occ.'!$AA$3:$AI$16,6,FALSE),"")</f>
        <v>0.94085564889948525</v>
      </c>
      <c r="L72" s="131" t="str">
        <f>IFERROR(VLOOKUP(L$4,'G&amp;A bed occ.'!$AA$3:$AI$16,6,FALSE),"")</f>
        <v/>
      </c>
      <c r="M72" s="131" t="str">
        <f>IFERROR(VLOOKUP(M$4,'G&amp;A bed occ.'!$AA$3:$AI$16,6,FALSE),"")</f>
        <v/>
      </c>
      <c r="N72" s="131" t="str">
        <f>IFERROR(VLOOKUP(N$4,'G&amp;A bed occ.'!$AA$3:$AI$16,6,FALSE),"")</f>
        <v/>
      </c>
      <c r="O72" s="131" t="str">
        <f>IFERROR(VLOOKUP(O$4,'G&amp;A bed occ.'!$AA$3:$AI$16,6,FALSE),"")</f>
        <v/>
      </c>
      <c r="P72" s="131" t="str">
        <f>IFERROR(VLOOKUP(P$4,'G&amp;A bed occ.'!$AA$3:$AI$16,6,FALSE),"")</f>
        <v/>
      </c>
      <c r="Q72" s="131" t="str">
        <f>IFERROR(VLOOKUP(Q$4,'G&amp;A bed occ.'!$AA$3:$AI$17,6,FALSE),"")</f>
        <v/>
      </c>
      <c r="R72" s="65" t="str">
        <f>IFERROR(VLOOKUP(R$4,'G&amp;A bed occ.'!$AA$3:$AH$17,6,FALSE),"")</f>
        <v/>
      </c>
      <c r="AA72" s="149"/>
      <c r="AB72" s="149"/>
      <c r="AC72" s="149"/>
      <c r="AD72" s="149"/>
    </row>
    <row r="73" spans="2:30" x14ac:dyDescent="0.35">
      <c r="B73" s="136"/>
      <c r="C73" s="1" t="s">
        <v>28</v>
      </c>
      <c r="D73" s="131">
        <f>IFERROR(VLOOKUP(D$4,'G&amp;A bed occ.'!$AA$3:$AI$16,7,FALSE),"")</f>
        <v>0.9431505413901502</v>
      </c>
      <c r="E73" s="131">
        <f>IFERROR(VLOOKUP(E$4,'G&amp;A bed occ.'!$AA$3:$AI$16,7,FALSE),"")</f>
        <v>0.94512467851951243</v>
      </c>
      <c r="F73" s="131">
        <f>IFERROR(VLOOKUP(F$4,'G&amp;A bed occ.'!$AA$3:$AI$16,7,FALSE),"")</f>
        <v>0.94149688440803758</v>
      </c>
      <c r="G73" s="131">
        <f>IFERROR(VLOOKUP(G$4,'G&amp;A bed occ.'!$AA$3:$AI$16,7,FALSE),"")</f>
        <v>0.93455226592859741</v>
      </c>
      <c r="H73" s="131">
        <f>IFERROR(VLOOKUP(H$4,'G&amp;A bed occ.'!$AA$3:$AI$16,7,FALSE),"")</f>
        <v>0.895869608654697</v>
      </c>
      <c r="I73" s="131">
        <f>IFERROR(VLOOKUP(I$4,'G&amp;A bed occ.'!$AA$3:$AI$16,7,FALSE),"")</f>
        <v>0.93127339000264331</v>
      </c>
      <c r="J73" s="131">
        <f>IFERROR(VLOOKUP(J$4,'G&amp;A bed occ.'!$AA$3:$AI$16,7,FALSE),"")</f>
        <v>0.93666472173598958</v>
      </c>
      <c r="K73" s="131">
        <f>IFERROR(VLOOKUP(K$4,'G&amp;A bed occ.'!$AA$3:$AI$16,7,FALSE),"")</f>
        <v>0.93659654648742896</v>
      </c>
      <c r="L73" s="131" t="str">
        <f>IFERROR(VLOOKUP(L$4,'G&amp;A bed occ.'!$AA$3:$AI$16,7,FALSE),"")</f>
        <v/>
      </c>
      <c r="M73" s="131" t="str">
        <f>IFERROR(VLOOKUP(M$4,'G&amp;A bed occ.'!$AA$3:$AI$16,7,FALSE),"")</f>
        <v/>
      </c>
      <c r="N73" s="131" t="str">
        <f>IFERROR(VLOOKUP(N$4,'G&amp;A bed occ.'!$AA$3:$AI$16,7,FALSE),"")</f>
        <v/>
      </c>
      <c r="O73" s="131" t="str">
        <f>IFERROR(VLOOKUP(O$4,'G&amp;A bed occ.'!$AA$3:$AI$16,7,FALSE),"")</f>
        <v/>
      </c>
      <c r="P73" s="131" t="str">
        <f>IFERROR(VLOOKUP(P$4,'G&amp;A bed occ.'!$AA$3:$AI$16,7,FALSE),"")</f>
        <v/>
      </c>
      <c r="Q73" s="131" t="str">
        <f>IFERROR(VLOOKUP(Q$4,'G&amp;A bed occ.'!$AA$3:$AI$17,7,FALSE),"")</f>
        <v/>
      </c>
      <c r="R73" s="65" t="str">
        <f>IFERROR(VLOOKUP(R$4,'G&amp;A bed occ.'!$AA$3:$AH$17,7,FALSE),"")</f>
        <v/>
      </c>
      <c r="AA73" s="149"/>
      <c r="AB73" s="149"/>
      <c r="AC73" s="149"/>
      <c r="AD73" s="149"/>
    </row>
    <row r="74" spans="2:30" ht="7.5" customHeight="1" x14ac:dyDescent="0.35">
      <c r="B74" s="136"/>
      <c r="C74" s="6"/>
      <c r="R74" s="60"/>
      <c r="AA74" s="149"/>
      <c r="AB74" s="149"/>
      <c r="AC74" s="149"/>
      <c r="AD74" s="149"/>
    </row>
    <row r="75" spans="2:30" ht="15" customHeight="1" x14ac:dyDescent="0.35">
      <c r="B75" s="136"/>
      <c r="C75" s="7" t="s">
        <v>49</v>
      </c>
      <c r="D75" s="49">
        <f>IF(ISBLANK(HLOOKUP(D4, 'G&amp;A bed occ.'!AM149:AZ150,2,FALSE)),"",HLOOKUP(D4,'G&amp;A bed occ.'!AM149:AZ150,2,FALSE))</f>
        <v>130</v>
      </c>
      <c r="E75" s="49">
        <f>IF(ISBLANK(HLOOKUP(E4, 'G&amp;A bed occ.'!AN149:BA150,2,FALSE)),"",HLOOKUP(E4,'G&amp;A bed occ.'!AN149:BA150,2,FALSE))</f>
        <v>129</v>
      </c>
      <c r="F75" s="49">
        <f>IF(ISBLANK(HLOOKUP(F4, 'G&amp;A bed occ.'!AO149:BB150,2,FALSE))," ",HLOOKUP(F4,'G&amp;A bed occ.'!AO149:BB150,2,FALSE))</f>
        <v>129</v>
      </c>
      <c r="G75" s="49">
        <f>IF(ISBLANK(HLOOKUP(G4, 'G&amp;A bed occ.'!AP149:BC150,2,FALSE)),"",HLOOKUP(G4,'G&amp;A bed occ.'!AP149:BC150,2,FALSE))</f>
        <v>127</v>
      </c>
      <c r="H75" s="49">
        <f>IF(ISBLANK(HLOOKUP(H4, 'G&amp;A bed occ.'!AQ149:BD150,2,FALSE)),"",HLOOKUP(H4,'G&amp;A bed occ.'!AQ149:BD150,2,FALSE))</f>
        <v>118</v>
      </c>
      <c r="I75" s="49">
        <f>IF(ISBLANK(HLOOKUP(I4,'G&amp;A bed occ.'!AR149:BE150,2,FALSE)),"",HLOOKUP(I4,'G&amp;A bed occ.'!AR149:BE150,2,FALSE))</f>
        <v>121</v>
      </c>
      <c r="J75" s="49">
        <f>IF(ISBLANK(HLOOKUP(J4, 'G&amp;A bed occ.'!AS149:BF150,2,FALSE)),"",HLOOKUP(J4,'G&amp;A bed occ.'!AS149:BF150,2,FALSE))</f>
        <v>126</v>
      </c>
      <c r="K75" s="49">
        <f>IF(ISBLANK(HLOOKUP(K4, 'G&amp;A bed occ.'!AT149:BG150,2,FALSE)),"",HLOOKUP(K4,'G&amp;A bed occ.'!AT149:BG150,2,FALSE))</f>
        <v>127</v>
      </c>
      <c r="L75" s="49" t="str">
        <f>IF(ISBLANK(HLOOKUP(L4, 'G&amp;A bed occ.'!AU149:BH150,2,FALSE)),"",HLOOKUP(L4,'G&amp;A bed occ.'!AU149:BH150,2,FALSE))</f>
        <v/>
      </c>
      <c r="M75" s="49" t="str">
        <f>IF(ISBLANK(HLOOKUP(M4, 'G&amp;A bed occ.'!AV149:BI150,2,FALSE)),"",HLOOKUP(M4,'G&amp;A bed occ.'!AV149:BI150,2,FALSE))</f>
        <v/>
      </c>
      <c r="N75" s="49" t="str">
        <f>IF(ISBLANK(HLOOKUP(N4, 'G&amp;A bed occ.'!AW149:BJ150,2,FALSE)),"",HLOOKUP(N4,'G&amp;A bed occ.'!AW149:BJ150,2,FALSE))</f>
        <v/>
      </c>
      <c r="O75" s="49" t="str">
        <f>IF(ISBLANK(HLOOKUP(O4, 'G&amp;A bed occ.'!AX149:BK150,2,FALSE)),"",HLOOKUP(O4,'G&amp;A bed occ.'!AX149:BK150,2,FALSE))</f>
        <v/>
      </c>
      <c r="P75" s="49" t="str">
        <f>IF(ISBLANK(HLOOKUP(P4, 'G&amp;A bed occ.'!AY149:BL150,2,FALSE)),"",HLOOKUP(P4,'G&amp;A bed occ.'!AY149:BL150,2,FALSE))</f>
        <v/>
      </c>
      <c r="Q75" s="49" t="str">
        <f>IF(ISBLANK(HLOOKUP(Q4, 'G&amp;A bed occ.'!AZ149:BM150,2,FALSE)),"",HLOOKUP(Q4,'G&amp;A bed occ.'!AZ149:BM150,2,FALSE))</f>
        <v/>
      </c>
      <c r="R75" s="66"/>
      <c r="AA75" s="149"/>
      <c r="AB75" s="149"/>
      <c r="AC75" s="149"/>
      <c r="AD75" s="149"/>
    </row>
    <row r="76" spans="2:30" ht="7.5" customHeight="1" x14ac:dyDescent="0.35">
      <c r="B76" s="136"/>
      <c r="C76" s="7"/>
      <c r="R76" s="60"/>
      <c r="AA76" s="149"/>
      <c r="AB76" s="149"/>
      <c r="AC76" s="149"/>
      <c r="AD76" s="149"/>
    </row>
    <row r="77" spans="2:30" x14ac:dyDescent="0.35">
      <c r="B77" s="136"/>
      <c r="C77" s="7" t="s">
        <v>50</v>
      </c>
      <c r="D77" s="49">
        <f>IF(ISBLANK(HLOOKUP(D4,'G&amp;A bed occ.'!AM290:AZ291,2,FALSE)),"",HLOOKUP(D4,'G&amp;A bed occ.'!AM290:AZ291,2,FALSE))</f>
        <v>98</v>
      </c>
      <c r="E77" s="49">
        <f>IF(ISBLANK(HLOOKUP(E4,'G&amp;A bed occ.'!AN290:BA291,2,FALSE)),"",HLOOKUP(E4,'G&amp;A bed occ.'!AN290:BA291,2,FALSE))</f>
        <v>95</v>
      </c>
      <c r="F77" s="49">
        <f>IF(ISBLANK(HLOOKUP(F4,'G&amp;A bed occ.'!AO290:BB291,2,FALSE)),"",HLOOKUP(F4,'G&amp;A bed occ.'!AO290:BB291,2,FALSE))</f>
        <v>86</v>
      </c>
      <c r="G77" s="49">
        <f>IF(ISBLANK(HLOOKUP(G4,'G&amp;A bed occ.'!AP290:BC291,2,FALSE)),"",HLOOKUP(G4,'G&amp;A bed occ.'!AP290:BC291,2,FALSE))</f>
        <v>85</v>
      </c>
      <c r="H77" s="49">
        <f>IF(ISBLANK(HLOOKUP(H4,'G&amp;A bed occ.'!AQ290:BD291,2,FALSE)),"",HLOOKUP(H4,'G&amp;A bed occ.'!AQ290:BD291,2,FALSE))</f>
        <v>45</v>
      </c>
      <c r="I77" s="49">
        <f>IF(ISBLANK(HLOOKUP(I4,'G&amp;A bed occ.'!AR290:BE291,2,FALSE)),"",HLOOKUP(I4,'G&amp;A bed occ.'!AR290:BE291,2,FALSE))</f>
        <v>70</v>
      </c>
      <c r="J77" s="49">
        <f>IF(ISBLANK(HLOOKUP(J4,'G&amp;A bed occ.'!AS290:BF291,2,FALSE)),"",HLOOKUP(J4,'G&amp;A bed occ.'!AS290:BF291,2,FALSE))</f>
        <v>92</v>
      </c>
      <c r="K77" s="49">
        <f>IF(ISBLANK(HLOOKUP(K4,'G&amp;A bed occ.'!AT290:BG291,2,FALSE)),"",HLOOKUP(K4,'G&amp;A bed occ.'!AT290:BG291,2,FALSE))</f>
        <v>87</v>
      </c>
      <c r="L77" s="49" t="str">
        <f>IF(ISBLANK(HLOOKUP(L4,'G&amp;A bed occ.'!AU290:BH291,2,FALSE)),"",HLOOKUP(L4,'G&amp;A bed occ.'!AU290:BH291,2,FALSE))</f>
        <v/>
      </c>
      <c r="M77" s="49" t="str">
        <f>IF(ISBLANK(HLOOKUP(M4,'G&amp;A bed occ.'!AV290:BI291,2,FALSE)),"",HLOOKUP(M4,'G&amp;A bed occ.'!AV290:BI291,2,FALSE))</f>
        <v/>
      </c>
      <c r="N77" s="49" t="str">
        <f>IF(ISBLANK(HLOOKUP(N4,'G&amp;A bed occ.'!AW290:BJ291,2,FALSE)),"",HLOOKUP(N4,'G&amp;A bed occ.'!AW290:BJ291,2,FALSE))</f>
        <v/>
      </c>
      <c r="O77" s="49" t="str">
        <f>IF(ISBLANK(HLOOKUP(O4,'G&amp;A bed occ.'!AX290:BK291,2,FALSE)),"",HLOOKUP(O4,'G&amp;A bed occ.'!AX290:BK291,2,FALSE))</f>
        <v/>
      </c>
      <c r="P77" s="49" t="str">
        <f>IF(ISBLANK(HLOOKUP(P4,'G&amp;A bed occ.'!AY290:BL291,2,FALSE)),"",HLOOKUP(P4,'G&amp;A bed occ.'!AY290:BL291,2,FALSE))</f>
        <v/>
      </c>
      <c r="Q77" s="49" t="str">
        <f>IF(ISBLANK(HLOOKUP(Q4,'G&amp;A bed occ.'!AZ290:BM291,2,FALSE)),"",HLOOKUP(Q4,'G&amp;A bed occ.'!AZ290:BM291,2,FALSE))</f>
        <v/>
      </c>
      <c r="R77" s="66"/>
      <c r="AA77" s="149"/>
      <c r="AB77" s="149"/>
      <c r="AC77" s="149"/>
      <c r="AD77" s="149"/>
    </row>
    <row r="78" spans="2:30" ht="7.5" customHeight="1" x14ac:dyDescent="0.35">
      <c r="B78" s="136"/>
      <c r="C78" s="7"/>
      <c r="R78" s="60"/>
      <c r="AA78" s="149"/>
      <c r="AB78" s="149"/>
      <c r="AC78" s="149"/>
      <c r="AD78" s="149"/>
    </row>
    <row r="79" spans="2:30" ht="15" customHeight="1" x14ac:dyDescent="0.35">
      <c r="B79" s="136"/>
      <c r="C79" s="7" t="s">
        <v>51</v>
      </c>
      <c r="D79" s="49">
        <f>IF(ISBLANK(HLOOKUP(D4,'G&amp;A bed occ.'!AM431:AZ432,2,FALSE)),"",HLOOKUP(D4,'G&amp;A bed occ.'!AM431:AZ432,2,FALSE))</f>
        <v>8</v>
      </c>
      <c r="E79" s="49">
        <f>IF(ISBLANK(HLOOKUP(E4,'G&amp;A bed occ.'!AN431:BA432,2,FALSE)),"",HLOOKUP(E4,'G&amp;A bed occ.'!AN431:BA432,2,FALSE))</f>
        <v>13</v>
      </c>
      <c r="F79" s="49">
        <f>IF(ISBLANK(HLOOKUP(F4,'G&amp;A bed occ.'!AO431:BB432,2,FALSE)),"",HLOOKUP(F4,'G&amp;A bed occ.'!AO431:BB432,2,FALSE))</f>
        <v>8</v>
      </c>
      <c r="G79" s="49">
        <f>IF(ISBLANK(HLOOKUP(G4,'G&amp;A bed occ.'!AP431:BC432,2,FALSE)),"",HLOOKUP(G4,'G&amp;A bed occ.'!AP431:BC432,2,FALSE))</f>
        <v>5</v>
      </c>
      <c r="H79" s="49">
        <f>IF(ISBLANK(HLOOKUP(H4,'G&amp;A bed occ.'!AQ431:BD432,2,FALSE)),"",HLOOKUP(H4,'G&amp;A bed occ.'!AQ431:BD432,2,FALSE))</f>
        <v>4</v>
      </c>
      <c r="I79" s="49">
        <f>IF(ISBLANK(HLOOKUP(I4,'G&amp;A bed occ.'!AR431:BE432,2,FALSE)),"",HLOOKUP(I4,'G&amp;A bed occ.'!AR431:BE432,2,FALSE))</f>
        <v>3</v>
      </c>
      <c r="J79" s="49">
        <f>IF(ISBLANK(HLOOKUP(J4,'G&amp;A bed occ.'!AS431:BF432,2,FALSE)),"",HLOOKUP(J4,'G&amp;A bed occ.'!AS431:BF432,2,FALSE))</f>
        <v>4</v>
      </c>
      <c r="K79" s="49">
        <f>IF(ISBLANK(HLOOKUP(K4,'G&amp;A bed occ.'!AT431:BG432,2,FALSE)),"",HLOOKUP(K4,'G&amp;A bed occ.'!AT431:BG432,2,FALSE))</f>
        <v>5</v>
      </c>
      <c r="L79" s="49" t="str">
        <f>IF(ISBLANK(HLOOKUP(L4,'G&amp;A bed occ.'!AU431:BH432,2,FALSE)),"",HLOOKUP(L4,'G&amp;A bed occ.'!AU431:BH432,2,FALSE))</f>
        <v xml:space="preserve"> </v>
      </c>
      <c r="M79" s="49" t="str">
        <f>IF(ISBLANK(HLOOKUP(M4,'G&amp;A bed occ.'!AV431:BI432,2,FALSE)),"",HLOOKUP(M4,'G&amp;A bed occ.'!AV431:BI432,2,FALSE))</f>
        <v xml:space="preserve"> </v>
      </c>
      <c r="N79" s="49" t="str">
        <f>IF(ISBLANK(HLOOKUP(N4,'G&amp;A bed occ.'!AW431:BJ432,2,FALSE)),"",HLOOKUP(N4,'G&amp;A bed occ.'!AW431:BJ432,2,FALSE))</f>
        <v xml:space="preserve"> </v>
      </c>
      <c r="O79" s="49" t="str">
        <f>IF(ISBLANK(HLOOKUP(O4,'G&amp;A bed occ.'!AX431:BK432,2,FALSE)),"",HLOOKUP(O4,'G&amp;A bed occ.'!AX431:BK432,2,FALSE))</f>
        <v xml:space="preserve"> </v>
      </c>
      <c r="P79" s="49" t="str">
        <f>IF(ISBLANK(HLOOKUP(P4,'G&amp;A bed occ.'!AY431:BL432,2,FALSE)),"",HLOOKUP(P4,'G&amp;A bed occ.'!AY431:BL432,2,FALSE))</f>
        <v xml:space="preserve"> </v>
      </c>
      <c r="Q79" s="49" t="str">
        <f>IF(ISBLANK(HLOOKUP(Q4,'G&amp;A bed occ.'!AZ431:BM432,2,FALSE)),"",HLOOKUP(Q4,'G&amp;A bed occ.'!AZ431:BM432,2,FALSE))</f>
        <v xml:space="preserve"> </v>
      </c>
      <c r="R79" s="66"/>
      <c r="AA79" s="149"/>
      <c r="AB79" s="149"/>
      <c r="AC79" s="149"/>
      <c r="AD79" s="149"/>
    </row>
    <row r="80" spans="2:30" ht="30" customHeight="1" x14ac:dyDescent="0.35">
      <c r="C80" s="1"/>
    </row>
    <row r="81" spans="2:30" ht="15" customHeight="1" x14ac:dyDescent="0.35">
      <c r="B81" s="136" t="s">
        <v>52</v>
      </c>
      <c r="C81" s="9" t="s">
        <v>53</v>
      </c>
      <c r="D81" s="126">
        <v>48062.857142857145</v>
      </c>
      <c r="E81" s="126">
        <v>48359.428571428572</v>
      </c>
      <c r="F81" s="126">
        <v>48646.571428571428</v>
      </c>
      <c r="G81" s="126">
        <v>46481.571428571428</v>
      </c>
      <c r="H81" s="126">
        <v>49214.714285714283</v>
      </c>
      <c r="I81" s="126">
        <v>52099.714285714283</v>
      </c>
      <c r="J81" s="126">
        <v>50784.142857142855</v>
      </c>
      <c r="K81" s="126">
        <v>49810.571428571428</v>
      </c>
      <c r="L81" s="126">
        <v>49039.428571428572</v>
      </c>
      <c r="M81" s="126">
        <v>48893</v>
      </c>
      <c r="N81" s="126">
        <v>48780.142857142855</v>
      </c>
      <c r="O81" s="126">
        <v>48530</v>
      </c>
      <c r="P81" s="126">
        <v>48692.857142857145</v>
      </c>
      <c r="Q81" s="126">
        <v>48648.142857142855</v>
      </c>
      <c r="AA81" s="137" t="s">
        <v>54</v>
      </c>
      <c r="AB81" s="137"/>
      <c r="AC81" s="137"/>
      <c r="AD81" s="137"/>
    </row>
    <row r="82" spans="2:30" x14ac:dyDescent="0.35">
      <c r="B82" s="136"/>
      <c r="C82" s="1" t="s">
        <v>18</v>
      </c>
      <c r="D82" s="91">
        <v>47031.428571428572</v>
      </c>
      <c r="E82" s="91">
        <v>47350.714285714283</v>
      </c>
      <c r="F82" s="91">
        <v>47688.428571428572</v>
      </c>
      <c r="G82" s="91">
        <v>45887</v>
      </c>
      <c r="H82" s="91">
        <v>44926.571428571428</v>
      </c>
      <c r="I82" s="91">
        <v>49162</v>
      </c>
      <c r="J82" s="91">
        <v>48758.571428571428</v>
      </c>
      <c r="K82" s="91">
        <v>48971.142857142855</v>
      </c>
      <c r="L82" s="91">
        <v>49555.285714285717</v>
      </c>
      <c r="M82" s="91">
        <v>49834.285714285717</v>
      </c>
      <c r="N82" s="91">
        <v>49711.428571428572</v>
      </c>
      <c r="O82" s="91">
        <v>49418.857142857145</v>
      </c>
      <c r="P82" s="91">
        <v>48807</v>
      </c>
      <c r="Q82" s="91">
        <v>48241.428571428572</v>
      </c>
      <c r="AA82" s="137"/>
      <c r="AB82" s="137"/>
      <c r="AC82" s="137"/>
      <c r="AD82" s="137"/>
    </row>
    <row r="83" spans="2:30" ht="7.5" customHeight="1" x14ac:dyDescent="0.35">
      <c r="B83" s="136"/>
      <c r="C83" s="9"/>
      <c r="AA83" s="137"/>
      <c r="AB83" s="137"/>
      <c r="AC83" s="137"/>
      <c r="AD83" s="137"/>
    </row>
    <row r="84" spans="2:30" x14ac:dyDescent="0.35">
      <c r="B84" s="136"/>
      <c r="C84" s="13" t="s">
        <v>20</v>
      </c>
      <c r="D84" s="47">
        <f>IFERROR(VLOOKUP(D$4,'Long stay'!$L$4:$T$18,2,FALSE),"")</f>
        <v>47551.571428571428</v>
      </c>
      <c r="E84" s="47">
        <f>IFERROR(VLOOKUP(E$4,'Long stay'!$L$4:$T$18,2,FALSE),"")</f>
        <v>48160</v>
      </c>
      <c r="F84" s="47">
        <f>IFERROR(VLOOKUP(F$4,'Long stay'!$L$4:$T$18,2,FALSE),"")</f>
        <v>48048.857142857145</v>
      </c>
      <c r="G84" s="47">
        <f>IFERROR(VLOOKUP(G$4,'Long stay'!$L$4:$T$18,2,FALSE),"")</f>
        <v>46742.857142857145</v>
      </c>
      <c r="H84" s="47">
        <f>IFERROR(VLOOKUP(H$4,'Long stay'!$L$4:$T$18,2,FALSE),"")</f>
        <v>45269.571428571428</v>
      </c>
      <c r="I84" s="47">
        <f>IFERROR(VLOOKUP(I$4,'Long stay'!$L$4:$T$18,2,FALSE),"")</f>
        <v>49667</v>
      </c>
      <c r="J84" s="47">
        <f>IFERROR(VLOOKUP(J$4,'Long stay'!$L$4:$T$18,2,FALSE),"")</f>
        <v>50329.142857142855</v>
      </c>
      <c r="K84" s="47">
        <f>IFERROR(VLOOKUP(K$4,'Long stay'!$L$4:$T$18,2,FALSE),"")</f>
        <v>50166.428571428572</v>
      </c>
      <c r="L84" s="47" t="str">
        <f>IFERROR(VLOOKUP(L$4,'Long stay'!$L$4:$T$18,2,FALSE),"")</f>
        <v/>
      </c>
      <c r="M84" s="47" t="str">
        <f>IFERROR(VLOOKUP(M$4,'Long stay'!$L$4:$T$18,2,FALSE),"")</f>
        <v/>
      </c>
      <c r="N84" s="47" t="str">
        <f>IFERROR(VLOOKUP(N$4,'Long stay'!$L$4:$T$18,2,FALSE),"")</f>
        <v/>
      </c>
      <c r="O84" s="47" t="str">
        <f>IFERROR(VLOOKUP(O$4,'Long stay'!$L$4:$T$18,2,FALSE),"")</f>
        <v/>
      </c>
      <c r="P84" s="47" t="str">
        <f>IFERROR(VLOOKUP(P$4,'Long stay'!$L$4:$T$18,2,FALSE),"")</f>
        <v/>
      </c>
      <c r="Q84" s="47" t="str">
        <f>IFERROR(VLOOKUP(Q$4,'Long stay'!$L$4:$T$18,2,FALSE),"")</f>
        <v/>
      </c>
      <c r="R84" s="61" t="str">
        <f>IFERROR(VLOOKUP(R$4,'Long stay'!$L$4:$S$18,2,FALSE),"")</f>
        <v/>
      </c>
      <c r="AA84" s="137"/>
      <c r="AB84" s="137"/>
      <c r="AC84" s="137"/>
      <c r="AD84" s="137"/>
    </row>
    <row r="85" spans="2:30" x14ac:dyDescent="0.35">
      <c r="B85" s="136"/>
      <c r="C85" s="1" t="s">
        <v>21</v>
      </c>
      <c r="D85" s="129">
        <f>IFERROR(VLOOKUP(D$4,'Long stay'!$L$4:$T$18,3,FALSE),"")</f>
        <v>7506.4285714285716</v>
      </c>
      <c r="E85" s="129">
        <f>IFERROR(VLOOKUP(E$4,'Long stay'!$L$4:$T$18,3,FALSE),"")</f>
        <v>7601.7142857142853</v>
      </c>
      <c r="F85" s="129">
        <f>IFERROR(VLOOKUP(F$4,'Long stay'!$L$4:$T$18,3,FALSE),"")</f>
        <v>7559</v>
      </c>
      <c r="G85" s="129">
        <f>IFERROR(VLOOKUP(G$4,'Long stay'!$L$4:$T$18,3,FALSE),"")</f>
        <v>7326.8571428571431</v>
      </c>
      <c r="H85" s="129">
        <f>IFERROR(VLOOKUP(H$4,'Long stay'!$L$4:$T$18,3,FALSE),"")</f>
        <v>6990</v>
      </c>
      <c r="I85" s="129">
        <f>IFERROR(VLOOKUP(I$4,'Long stay'!$L$4:$T$18,3,FALSE),"")</f>
        <v>7498</v>
      </c>
      <c r="J85" s="129">
        <f>IFERROR(VLOOKUP(J$4,'Long stay'!$L$4:$T$18,3,FALSE),"")</f>
        <v>7597.1428571428569</v>
      </c>
      <c r="K85" s="129">
        <f>IFERROR(VLOOKUP(K$4,'Long stay'!$L$4:$T$18,3,FALSE),"")</f>
        <v>7725.2857142857147</v>
      </c>
      <c r="L85" s="129" t="str">
        <f>IFERROR(VLOOKUP(L$4,'Long stay'!$L$4:$T$18,3,FALSE),"")</f>
        <v/>
      </c>
      <c r="M85" s="129" t="str">
        <f>IFERROR(VLOOKUP(M$4,'Long stay'!$L$4:$T$18,3,FALSE),"")</f>
        <v/>
      </c>
      <c r="N85" s="129" t="str">
        <f>IFERROR(VLOOKUP(N$4,'Long stay'!$L$4:$T$18,3,FALSE),"")</f>
        <v/>
      </c>
      <c r="O85" s="129" t="str">
        <f>IFERROR(VLOOKUP(O$4,'Long stay'!$L$4:$T$18,3,FALSE),"")</f>
        <v/>
      </c>
      <c r="P85" s="129" t="str">
        <f>IFERROR(VLOOKUP(P$4,'Long stay'!$L$4:$T$18,3,FALSE),"")</f>
        <v/>
      </c>
      <c r="Q85" s="129" t="str">
        <f>IFERROR(VLOOKUP(Q$4,'Long stay'!$L$4:$T$18,3,FALSE),"")</f>
        <v/>
      </c>
      <c r="R85" s="62" t="str">
        <f>IFERROR(VLOOKUP(R$4,'Long stay'!$L$4:$S$18,3,FALSE),"")</f>
        <v/>
      </c>
      <c r="AA85" s="137"/>
      <c r="AB85" s="137"/>
      <c r="AC85" s="137"/>
      <c r="AD85" s="137"/>
    </row>
    <row r="86" spans="2:30" ht="15" customHeight="1" x14ac:dyDescent="0.35">
      <c r="B86" s="136"/>
      <c r="C86" s="1" t="s">
        <v>22</v>
      </c>
      <c r="D86" s="129">
        <f>IFERROR(VLOOKUP(D$4,'Long stay'!$L$4:$T$18,4,FALSE),"")</f>
        <v>8374.7142857142862</v>
      </c>
      <c r="E86" s="129">
        <f>IFERROR(VLOOKUP(E$4,'Long stay'!$L$4:$T$18,4,FALSE),"")</f>
        <v>8613.8571428571431</v>
      </c>
      <c r="F86" s="129">
        <f>IFERROR(VLOOKUP(F$4,'Long stay'!$L$4:$T$18,4,FALSE),"")</f>
        <v>8554.5714285714294</v>
      </c>
      <c r="G86" s="129">
        <f>IFERROR(VLOOKUP(G$4,'Long stay'!$L$4:$T$18,4,FALSE),"")</f>
        <v>8261.8571428571431</v>
      </c>
      <c r="H86" s="129">
        <f>IFERROR(VLOOKUP(H$4,'Long stay'!$L$4:$T$18,4,FALSE),"")</f>
        <v>8180.1428571428569</v>
      </c>
      <c r="I86" s="129">
        <f>IFERROR(VLOOKUP(I$4,'Long stay'!$L$4:$T$18,4,FALSE),"")</f>
        <v>8871.1428571428569</v>
      </c>
      <c r="J86" s="129">
        <f>IFERROR(VLOOKUP(J$4,'Long stay'!$L$4:$T$18,4,FALSE),"")</f>
        <v>8897.4285714285706</v>
      </c>
      <c r="K86" s="129">
        <f>IFERROR(VLOOKUP(K$4,'Long stay'!$L$4:$T$18,4,FALSE),"")</f>
        <v>9020.2857142857138</v>
      </c>
      <c r="L86" s="129" t="str">
        <f>IFERROR(VLOOKUP(L$4,'Long stay'!$L$4:$T$18,4,FALSE),"")</f>
        <v/>
      </c>
      <c r="M86" s="129" t="str">
        <f>IFERROR(VLOOKUP(M$4,'Long stay'!$L$4:$T$18,4,FALSE),"")</f>
        <v/>
      </c>
      <c r="N86" s="129" t="str">
        <f>IFERROR(VLOOKUP(N$4,'Long stay'!$L$4:$T$18,4,FALSE),"")</f>
        <v/>
      </c>
      <c r="O86" s="129" t="str">
        <f>IFERROR(VLOOKUP(O$4,'Long stay'!$L$4:$T$18,4,FALSE),"")</f>
        <v/>
      </c>
      <c r="P86" s="129" t="str">
        <f>IFERROR(VLOOKUP(P$4,'Long stay'!$L$4:$T$18,4,FALSE),"")</f>
        <v/>
      </c>
      <c r="Q86" s="129" t="str">
        <f>IFERROR(VLOOKUP(Q$4,'Long stay'!$L$4:$T$18,4,FALSE),"")</f>
        <v/>
      </c>
      <c r="R86" s="62" t="str">
        <f>IFERROR(VLOOKUP(R$4,'Long stay'!$L$4:$S$18,4,FALSE),"")</f>
        <v/>
      </c>
      <c r="AA86" s="149" t="s">
        <v>55</v>
      </c>
      <c r="AB86" s="149"/>
      <c r="AC86" s="149"/>
      <c r="AD86" s="149"/>
    </row>
    <row r="87" spans="2:30" ht="15" customHeight="1" x14ac:dyDescent="0.35">
      <c r="B87" s="136"/>
      <c r="C87" s="1" t="s">
        <v>24</v>
      </c>
      <c r="D87" s="129">
        <f>IFERROR(VLOOKUP(D$4,'Long stay'!$L$4:$T$18,8,FALSE),"")</f>
        <v>5075.1428571428569</v>
      </c>
      <c r="E87" s="129">
        <f>IFERROR(VLOOKUP(E$4,'Long stay'!$L$4:$T$18,8,FALSE),"")</f>
        <v>4962.8571428571431</v>
      </c>
      <c r="F87" s="129">
        <f>IFERROR(VLOOKUP(F$4,'Long stay'!$L$4:$T$18,8,FALSE),"")</f>
        <v>4973.5714285714284</v>
      </c>
      <c r="G87" s="129">
        <f>IFERROR(VLOOKUP(G$4,'Long stay'!$L$4:$T$18,8,FALSE),"")</f>
        <v>4839.7142857142853</v>
      </c>
      <c r="H87" s="129">
        <f>IFERROR(VLOOKUP(H$4,'Long stay'!$L$4:$T$18,8,FALSE),"")</f>
        <v>4726.1428571428569</v>
      </c>
      <c r="I87" s="129">
        <f>IFERROR(VLOOKUP(I$4,'Long stay'!$L$4:$T$18,8,FALSE),"")</f>
        <v>5249.1428571428569</v>
      </c>
      <c r="J87" s="129">
        <f>IFERROR(VLOOKUP(J$4,'Long stay'!$L$4:$T$18,8,FALSE),"")</f>
        <v>5235</v>
      </c>
      <c r="K87" s="129">
        <f>IFERROR(VLOOKUP(K$4,'Long stay'!$L$4:$T$18,8,FALSE),"")</f>
        <v>5161</v>
      </c>
      <c r="L87" s="129" t="str">
        <f>IFERROR(VLOOKUP(L$4,'Long stay'!$L$4:$T$18,8,FALSE),"")</f>
        <v/>
      </c>
      <c r="M87" s="129" t="str">
        <f>IFERROR(VLOOKUP(M$4,'Long stay'!$L$4:$T$18,8,FALSE),"")</f>
        <v/>
      </c>
      <c r="N87" s="129" t="str">
        <f>IFERROR(VLOOKUP(N$4,'Long stay'!$L$4:$T$18,8,FALSE),"")</f>
        <v/>
      </c>
      <c r="O87" s="129" t="str">
        <f>IFERROR(VLOOKUP(O$4,'Long stay'!$L$4:$T$18,8,FALSE),"")</f>
        <v/>
      </c>
      <c r="P87" s="129" t="str">
        <f>IFERROR(VLOOKUP(P$4,'Long stay'!$L$4:$T$18,8,FALSE),"")</f>
        <v/>
      </c>
      <c r="Q87" s="129" t="str">
        <f>IFERROR(VLOOKUP(Q$4,'Long stay'!$L$4:$T$18,8,FALSE),"")</f>
        <v/>
      </c>
      <c r="R87" s="62"/>
      <c r="AA87" s="149"/>
      <c r="AB87" s="149"/>
      <c r="AC87" s="149"/>
      <c r="AD87" s="149"/>
    </row>
    <row r="88" spans="2:30" ht="15" customHeight="1" x14ac:dyDescent="0.35">
      <c r="B88" s="136"/>
      <c r="C88" s="1" t="s">
        <v>25</v>
      </c>
      <c r="D88" s="129">
        <f>IFERROR(VLOOKUP(D$4,'Long stay'!$L$4:$T$18,5,FALSE),"")</f>
        <v>8338</v>
      </c>
      <c r="E88" s="129">
        <f>IFERROR(VLOOKUP(E$4,'Long stay'!$L$4:$T$18,5,FALSE),"")</f>
        <v>8486.7142857142862</v>
      </c>
      <c r="F88" s="129">
        <f>IFERROR(VLOOKUP(F$4,'Long stay'!$L$4:$T$18,5,FALSE),"")</f>
        <v>8370.4285714285706</v>
      </c>
      <c r="G88" s="129">
        <f>IFERROR(VLOOKUP(G$4,'Long stay'!$L$4:$T$18,5,FALSE),"")</f>
        <v>8176.2857142857147</v>
      </c>
      <c r="H88" s="129">
        <f>IFERROR(VLOOKUP(H$4,'Long stay'!$L$4:$T$18,5,FALSE),"")</f>
        <v>7835</v>
      </c>
      <c r="I88" s="129">
        <f>IFERROR(VLOOKUP(I$4,'Long stay'!$L$4:$T$18,5,FALSE),"")</f>
        <v>8621.8571428571431</v>
      </c>
      <c r="J88" s="129">
        <f>IFERROR(VLOOKUP(J$4,'Long stay'!$L$4:$T$18,5,FALSE),"")</f>
        <v>8990.2857142857138</v>
      </c>
      <c r="K88" s="129">
        <f>IFERROR(VLOOKUP(K$4,'Long stay'!$L$4:$T$18,5,FALSE),"")</f>
        <v>8869.7142857142862</v>
      </c>
      <c r="L88" s="129" t="str">
        <f>IFERROR(VLOOKUP(L$4,'Long stay'!$L$4:$T$18,5,FALSE),"")</f>
        <v/>
      </c>
      <c r="M88" s="129" t="str">
        <f>IFERROR(VLOOKUP(M$4,'Long stay'!$L$4:$T$18,5,FALSE),"")</f>
        <v/>
      </c>
      <c r="N88" s="129" t="str">
        <f>IFERROR(VLOOKUP(N$4,'Long stay'!$L$4:$T$18,5,FALSE),"")</f>
        <v/>
      </c>
      <c r="O88" s="129" t="str">
        <f>IFERROR(VLOOKUP(O$4,'Long stay'!$L$4:$T$18,5,FALSE),"")</f>
        <v/>
      </c>
      <c r="P88" s="129" t="str">
        <f>IFERROR(VLOOKUP(P$4,'Long stay'!$L$4:$T$18,5,FALSE),"")</f>
        <v/>
      </c>
      <c r="Q88" s="129" t="str">
        <f>IFERROR(VLOOKUP(Q$4,'Long stay'!$L$4:$T$18,5,FALSE),"")</f>
        <v/>
      </c>
      <c r="R88" s="62"/>
      <c r="AA88" s="149"/>
      <c r="AB88" s="149"/>
      <c r="AC88" s="149"/>
      <c r="AD88" s="149"/>
    </row>
    <row r="89" spans="2:30" x14ac:dyDescent="0.35">
      <c r="B89" s="136"/>
      <c r="C89" s="1" t="s">
        <v>37</v>
      </c>
      <c r="D89" s="129">
        <f>IFERROR(VLOOKUP(D$4,'Long stay'!$L$4:$T$18,9,FALSE),"")</f>
        <v>7040.7142857142853</v>
      </c>
      <c r="E89" s="129">
        <f>IFERROR(VLOOKUP(E$4,'Long stay'!$L$4:$T$18,9,FALSE),"")</f>
        <v>7114.5714285714284</v>
      </c>
      <c r="F89" s="129">
        <f>IFERROR(VLOOKUP(F$4,'Long stay'!$L$4:$T$18,9,FALSE),"")</f>
        <v>7284.4285714285716</v>
      </c>
      <c r="G89" s="129">
        <f>IFERROR(VLOOKUP(G$4,'Long stay'!$L$4:$T$18,9,FALSE),"")</f>
        <v>7152.2857142857147</v>
      </c>
      <c r="H89" s="129">
        <f>IFERROR(VLOOKUP(H$4,'Long stay'!$L$4:$T$18,9,FALSE),"")</f>
        <v>6892.5714285714284</v>
      </c>
      <c r="I89" s="129">
        <f>IFERROR(VLOOKUP(I$4,'Long stay'!$L$4:$T$18,9,FALSE),"")</f>
        <v>7590.4285714285716</v>
      </c>
      <c r="J89" s="129">
        <f>IFERROR(VLOOKUP(J$4,'Long stay'!$L$4:$T$18,9,FALSE),"")</f>
        <v>7655.4285714285716</v>
      </c>
      <c r="K89" s="129">
        <f>IFERROR(VLOOKUP(K$4,'Long stay'!$L$4:$T$18,9,FALSE),"")</f>
        <v>7581.2857142857147</v>
      </c>
      <c r="L89" s="129" t="str">
        <f>IFERROR(VLOOKUP(L$4,'Long stay'!$L$4:$T$18,9,FALSE),"")</f>
        <v/>
      </c>
      <c r="M89" s="129" t="str">
        <f>IFERROR(VLOOKUP(M$4,'Long stay'!$L$4:$T$18,9,FALSE),"")</f>
        <v/>
      </c>
      <c r="N89" s="129" t="str">
        <f>IFERROR(VLOOKUP(N$4,'Long stay'!$L$4:$T$18,9,FALSE),"")</f>
        <v/>
      </c>
      <c r="O89" s="129" t="str">
        <f>IFERROR(VLOOKUP(O$4,'Long stay'!$L$4:$T$18,9,FALSE),"")</f>
        <v/>
      </c>
      <c r="P89" s="129" t="str">
        <f>IFERROR(VLOOKUP(P$4,'Long stay'!$L$4:$T$18,9,FALSE),"")</f>
        <v/>
      </c>
      <c r="Q89" s="129" t="str">
        <f>IFERROR(VLOOKUP(Q$4,'Long stay'!$L$4:$T$18,9,FALSE),"")</f>
        <v/>
      </c>
      <c r="R89" s="62" t="str">
        <f>IFERROR(VLOOKUP(R$4,'Long stay'!$L$4:$S$18,5,FALSE),"")</f>
        <v/>
      </c>
      <c r="AA89" s="149"/>
      <c r="AB89" s="149"/>
      <c r="AC89" s="149"/>
      <c r="AD89" s="149"/>
    </row>
    <row r="90" spans="2:30" ht="15" customHeight="1" x14ac:dyDescent="0.35">
      <c r="B90" s="136"/>
      <c r="C90" s="1" t="s">
        <v>27</v>
      </c>
      <c r="D90" s="129">
        <f>IFERROR(VLOOKUP(D$4,'Long stay'!$L$4:$T$18,6,FALSE),"")</f>
        <v>6825</v>
      </c>
      <c r="E90" s="129">
        <f>IFERROR(VLOOKUP(E$4,'Long stay'!$L$4:$T$18,6,FALSE),"")</f>
        <v>6902</v>
      </c>
      <c r="F90" s="129">
        <f>IFERROR(VLOOKUP(F$4,'Long stay'!$L$4:$T$18,6,FALSE),"")</f>
        <v>6825</v>
      </c>
      <c r="G90" s="129">
        <f>IFERROR(VLOOKUP(G$4,'Long stay'!$L$4:$T$18,6,FALSE),"")</f>
        <v>6598.4285714285716</v>
      </c>
      <c r="H90" s="129">
        <f>IFERROR(VLOOKUP(H$4,'Long stay'!$L$4:$T$18,6,FALSE),"")</f>
        <v>6377.4285714285716</v>
      </c>
      <c r="I90" s="129">
        <f>IFERROR(VLOOKUP(I$4,'Long stay'!$L$4:$T$18,6,FALSE),"")</f>
        <v>7130.1428571428569</v>
      </c>
      <c r="J90" s="129">
        <f>IFERROR(VLOOKUP(J$4,'Long stay'!$L$4:$T$18,6,FALSE),"")</f>
        <v>7196.7142857142853</v>
      </c>
      <c r="K90" s="129">
        <f>IFERROR(VLOOKUP(K$4,'Long stay'!$L$4:$T$18,6,FALSE),"")</f>
        <v>7124.8571428571431</v>
      </c>
      <c r="L90" s="129" t="str">
        <f>IFERROR(VLOOKUP(L$4,'Long stay'!$L$4:$T$18,6,FALSE),"")</f>
        <v/>
      </c>
      <c r="M90" s="129" t="str">
        <f>IFERROR(VLOOKUP(M$4,'Long stay'!$L$4:$T$18,6,FALSE),"")</f>
        <v/>
      </c>
      <c r="N90" s="129" t="str">
        <f>IFERROR(VLOOKUP(N$4,'Long stay'!$L$4:$T$18,6,FALSE),"")</f>
        <v/>
      </c>
      <c r="O90" s="129" t="str">
        <f>IFERROR(VLOOKUP(O$4,'Long stay'!$L$4:$T$18,6,FALSE),"")</f>
        <v/>
      </c>
      <c r="P90" s="129" t="str">
        <f>IFERROR(VLOOKUP(P$4,'Long stay'!$L$4:$T$18,6,FALSE),"")</f>
        <v/>
      </c>
      <c r="Q90" s="129" t="str">
        <f>IFERROR(VLOOKUP(Q$4,'Long stay'!$L$4:$T$18,6,FALSE),"")</f>
        <v/>
      </c>
      <c r="R90" s="62" t="str">
        <f>IFERROR(VLOOKUP(R$4,'Long stay'!$L$4:$S$18,6,FALSE),"")</f>
        <v/>
      </c>
      <c r="AA90" s="149"/>
      <c r="AB90" s="149"/>
      <c r="AC90" s="149"/>
      <c r="AD90" s="149"/>
    </row>
    <row r="91" spans="2:30" ht="15" customHeight="1" x14ac:dyDescent="0.35">
      <c r="B91" s="136"/>
      <c r="C91" s="1" t="s">
        <v>28</v>
      </c>
      <c r="D91" s="129">
        <f>IFERROR(VLOOKUP(D$4,'Long stay'!$L$4:$T$18,7,FALSE),"")</f>
        <v>4391.5714285714284</v>
      </c>
      <c r="E91" s="129">
        <f>IFERROR(VLOOKUP(E$4,'Long stay'!$L$4:$T$18,7,FALSE),"")</f>
        <v>4478.2857142857147</v>
      </c>
      <c r="F91" s="129">
        <f>IFERROR(VLOOKUP(F$4,'Long stay'!$L$4:$T$18,7,FALSE),"")</f>
        <v>4481.8571428571431</v>
      </c>
      <c r="G91" s="129">
        <f>IFERROR(VLOOKUP(G$4,'Long stay'!$L$4:$T$18,7,FALSE),"")</f>
        <v>4387.4285714285716</v>
      </c>
      <c r="H91" s="129">
        <f>IFERROR(VLOOKUP(H$4,'Long stay'!$L$4:$T$18,7,FALSE),"")</f>
        <v>4268.2857142857147</v>
      </c>
      <c r="I91" s="129">
        <f>IFERROR(VLOOKUP(I$4,'Long stay'!$L$4:$T$18,7,FALSE),"")</f>
        <v>4706.2857142857147</v>
      </c>
      <c r="J91" s="129">
        <f>IFERROR(VLOOKUP(J$4,'Long stay'!$L$4:$T$18,7,FALSE),"")</f>
        <v>4757.1428571428569</v>
      </c>
      <c r="K91" s="129">
        <f>IFERROR(VLOOKUP(K$4,'Long stay'!$L$4:$T$18,7,FALSE),"")</f>
        <v>4684</v>
      </c>
      <c r="L91" s="129" t="str">
        <f>IFERROR(VLOOKUP(L$4,'Long stay'!$L$4:$T$18,7,FALSE),"")</f>
        <v/>
      </c>
      <c r="M91" s="129" t="str">
        <f>IFERROR(VLOOKUP(M$4,'Long stay'!$L$4:$T$18,7,FALSE),"")</f>
        <v/>
      </c>
      <c r="N91" s="129" t="str">
        <f>IFERROR(VLOOKUP(N$4,'Long stay'!$L$4:$T$18,7,FALSE),"")</f>
        <v/>
      </c>
      <c r="O91" s="129" t="str">
        <f>IFERROR(VLOOKUP(O$4,'Long stay'!$L$4:$T$18,7,FALSE),"")</f>
        <v/>
      </c>
      <c r="P91" s="129" t="str">
        <f>IFERROR(VLOOKUP(P$4,'Long stay'!$L$4:$T$18,7,FALSE),"")</f>
        <v/>
      </c>
      <c r="Q91" s="129" t="str">
        <f>IFERROR(VLOOKUP(Q$4,'Long stay'!$L$4:$T$18,7,FALSE),"")</f>
        <v/>
      </c>
      <c r="R91" s="62" t="str">
        <f>IFERROR(VLOOKUP(R$4,'Long stay'!$L$4:$S$18,7,FALSE),"")</f>
        <v/>
      </c>
      <c r="AA91" s="149"/>
      <c r="AB91" s="149"/>
      <c r="AC91" s="149"/>
      <c r="AD91" s="149"/>
    </row>
    <row r="92" spans="2:30" ht="7.5" customHeight="1" x14ac:dyDescent="0.35">
      <c r="B92" s="136"/>
      <c r="AA92" s="149"/>
      <c r="AB92" s="149"/>
      <c r="AC92" s="149"/>
      <c r="AD92" s="149"/>
    </row>
    <row r="93" spans="2:30" ht="17.25" customHeight="1" x14ac:dyDescent="0.35">
      <c r="B93" s="136"/>
      <c r="C93" s="9" t="s">
        <v>56</v>
      </c>
      <c r="D93" s="126">
        <v>28560.428571428572</v>
      </c>
      <c r="E93" s="126">
        <v>28913.285714285714</v>
      </c>
      <c r="F93" s="126">
        <v>29059.714285714286</v>
      </c>
      <c r="G93" s="126">
        <v>27627.428571428572</v>
      </c>
      <c r="H93" s="126">
        <v>28270</v>
      </c>
      <c r="I93" s="126">
        <v>31189.571428571428</v>
      </c>
      <c r="J93" s="126">
        <v>30965.142857142859</v>
      </c>
      <c r="K93" s="126">
        <v>30045.571428571428</v>
      </c>
      <c r="L93" s="126">
        <v>29542</v>
      </c>
      <c r="M93" s="126">
        <v>29322.857142857141</v>
      </c>
      <c r="N93" s="126">
        <v>29275.428571428572</v>
      </c>
      <c r="O93" s="126">
        <v>29330.285714285714</v>
      </c>
      <c r="P93" s="126">
        <v>29183.142857142859</v>
      </c>
      <c r="Q93" s="126">
        <v>29268.571428571428</v>
      </c>
      <c r="AA93" s="149"/>
      <c r="AB93" s="149"/>
      <c r="AC93" s="149"/>
      <c r="AD93" s="149"/>
    </row>
    <row r="94" spans="2:30" ht="14.25" customHeight="1" x14ac:dyDescent="0.35">
      <c r="B94" s="136"/>
      <c r="C94" s="1" t="s">
        <v>18</v>
      </c>
      <c r="D94" s="91">
        <v>27718.285714285714</v>
      </c>
      <c r="E94" s="91">
        <v>27836.428571428572</v>
      </c>
      <c r="F94" s="91">
        <v>27728.857142857141</v>
      </c>
      <c r="G94" s="91">
        <v>26518</v>
      </c>
      <c r="H94" s="91">
        <v>26526.857142857141</v>
      </c>
      <c r="I94" s="91">
        <v>29270.714285714286</v>
      </c>
      <c r="J94" s="91">
        <v>29383.571428571428</v>
      </c>
      <c r="K94" s="91">
        <v>29037.285714285714</v>
      </c>
      <c r="L94" s="91">
        <v>28993</v>
      </c>
      <c r="M94" s="91">
        <v>29295.285714285714</v>
      </c>
      <c r="N94" s="91">
        <v>29500.142857142859</v>
      </c>
      <c r="O94" s="91">
        <v>29430.428571428572</v>
      </c>
      <c r="P94" s="91">
        <v>29191.857142857141</v>
      </c>
      <c r="Q94" s="91">
        <v>28860.857142857141</v>
      </c>
      <c r="R94" s="67"/>
      <c r="AA94" s="149"/>
      <c r="AB94" s="149"/>
      <c r="AC94" s="149"/>
      <c r="AD94" s="149"/>
    </row>
    <row r="95" spans="2:30" ht="8.25" customHeight="1" x14ac:dyDescent="0.35">
      <c r="B95" s="136"/>
      <c r="C95" s="9"/>
      <c r="R95" s="60"/>
      <c r="AA95" s="149"/>
      <c r="AB95" s="149"/>
      <c r="AC95" s="149"/>
      <c r="AD95" s="149"/>
    </row>
    <row r="96" spans="2:30" x14ac:dyDescent="0.35">
      <c r="B96" s="136"/>
      <c r="C96" s="13" t="s">
        <v>20</v>
      </c>
      <c r="D96" s="47">
        <f>IFERROR(VLOOKUP(D$4,'Long stay'!$BB$4:$BJ$18,2,FALSE),"")</f>
        <v>27286.428571428572</v>
      </c>
      <c r="E96" s="47">
        <f>IFERROR(VLOOKUP(E$4,'Long stay'!$BB$4:$BJ$18,2,FALSE),"")</f>
        <v>27682.571428571428</v>
      </c>
      <c r="F96" s="47">
        <f>IFERROR(VLOOKUP(F$4,'Long stay'!$BB$4:$BJ$18,2,FALSE),"")</f>
        <v>28187.857142857141</v>
      </c>
      <c r="G96" s="47">
        <f>IFERROR(VLOOKUP(G$4,'Long stay'!$BB$4:$BJ$18,2,FALSE),"")</f>
        <v>27341.428571428572</v>
      </c>
      <c r="H96" s="47">
        <f>IFERROR(VLOOKUP(H$4,'Long stay'!$BB$4:$BJ$18,2,FALSE),"")</f>
        <v>26182.142857142859</v>
      </c>
      <c r="I96" s="47">
        <f>IFERROR(VLOOKUP(I$4,'Long stay'!$BB$4:$BJ$18,2,FALSE),"")</f>
        <v>29210.571428571428</v>
      </c>
      <c r="J96" s="47">
        <f>IFERROR(VLOOKUP(J$4,'Long stay'!$BB$4:$BJ$18,2,FALSE),"")</f>
        <v>30198</v>
      </c>
      <c r="K96" s="47">
        <f>IFERROR(VLOOKUP(K$4,'Long stay'!$BB$4:$BJ$18,2,FALSE),"")</f>
        <v>29728.285714285714</v>
      </c>
      <c r="L96" s="47" t="str">
        <f>IFERROR(VLOOKUP(L$4,'Long stay'!$BB$4:$BJ$18,2,FALSE),"")</f>
        <v/>
      </c>
      <c r="M96" s="47" t="str">
        <f>IFERROR(VLOOKUP(M$4,'Long stay'!$BB$4:$BJ$18,2,FALSE),"")</f>
        <v/>
      </c>
      <c r="N96" s="47" t="str">
        <f>IFERROR(VLOOKUP(N$4,'Long stay'!$BB$4:$BJ$18,2,FALSE),"")</f>
        <v/>
      </c>
      <c r="O96" s="47" t="str">
        <f>IFERROR(VLOOKUP(O$4,'Long stay'!$BB$4:$BJ$18,2,FALSE),"")</f>
        <v/>
      </c>
      <c r="P96" s="47" t="str">
        <f>IFERROR(VLOOKUP(P$4,'Long stay'!$BB$4:$BJ$18,2,FALSE),"")</f>
        <v/>
      </c>
      <c r="Q96" s="47" t="str">
        <f>IFERROR(VLOOKUP(Q$4,'Long stay'!$BB$4:$BJ$18,2,FALSE),"")</f>
        <v/>
      </c>
      <c r="R96" s="61" t="str">
        <f>IFERROR(VLOOKUP(R$4,'Long stay'!$AF$4:$AM$18,2,FALSE),"")</f>
        <v/>
      </c>
      <c r="AA96" s="149"/>
      <c r="AB96" s="149"/>
      <c r="AC96" s="149"/>
      <c r="AD96" s="149"/>
    </row>
    <row r="97" spans="2:30" x14ac:dyDescent="0.35">
      <c r="B97" s="136"/>
      <c r="C97" s="1" t="s">
        <v>21</v>
      </c>
      <c r="D97" s="129">
        <f>IFERROR(VLOOKUP(D$4,'Long stay'!$BB$4:$BJ$18,3,FALSE),"")</f>
        <v>4668.1428571428569</v>
      </c>
      <c r="E97" s="129">
        <f>IFERROR(VLOOKUP(E$4,'Long stay'!$BB$4:$BJ$18,3,FALSE),"")</f>
        <v>4736.8571428571431</v>
      </c>
      <c r="F97" s="129">
        <f>IFERROR(VLOOKUP(F$4,'Long stay'!$BB$4:$BJ$18,3,FALSE),"")</f>
        <v>4777.1428571428569</v>
      </c>
      <c r="G97" s="129">
        <f>IFERROR(VLOOKUP(G$4,'Long stay'!$BB$4:$BJ$18,3,FALSE),"")</f>
        <v>4570.4285714285716</v>
      </c>
      <c r="H97" s="129">
        <f>IFERROR(VLOOKUP(H$4,'Long stay'!$BB$4:$BJ$18,3,FALSE),"")</f>
        <v>4292.5714285714284</v>
      </c>
      <c r="I97" s="129">
        <f>IFERROR(VLOOKUP(I$4,'Long stay'!$BB$4:$BJ$18,3,FALSE),"")</f>
        <v>4786.2857142857147</v>
      </c>
      <c r="J97" s="129">
        <f>IFERROR(VLOOKUP(J$4,'Long stay'!$BB$4:$BJ$18,3,FALSE),"")</f>
        <v>4857.7142857142853</v>
      </c>
      <c r="K97" s="129">
        <f>IFERROR(VLOOKUP(K$4,'Long stay'!$BB$4:$BJ$18,3,FALSE),"")</f>
        <v>4813.7142857142853</v>
      </c>
      <c r="L97" s="129" t="str">
        <f>IFERROR(VLOOKUP(L$4,'Long stay'!$BB$4:$BJ$18,3,FALSE),"")</f>
        <v/>
      </c>
      <c r="M97" s="129" t="str">
        <f>IFERROR(VLOOKUP(M$4,'Long stay'!$BB$4:$BJ$18,3,FALSE),"")</f>
        <v/>
      </c>
      <c r="N97" s="129" t="str">
        <f>IFERROR(VLOOKUP(N$4,'Long stay'!$BB$4:$BJ$18,3,FALSE),"")</f>
        <v/>
      </c>
      <c r="O97" s="129" t="str">
        <f>IFERROR(VLOOKUP(O$4,'Long stay'!$BB$4:$BJ$18,3,FALSE),"")</f>
        <v/>
      </c>
      <c r="P97" s="129" t="str">
        <f>IFERROR(VLOOKUP(P$4,'Long stay'!$BB$4:$BJ$18,3,FALSE),"")</f>
        <v/>
      </c>
      <c r="Q97" s="129" t="str">
        <f>IFERROR(VLOOKUP(Q$4,'Long stay'!$BB$4:$BJ$18,3,FALSE),"")</f>
        <v/>
      </c>
      <c r="R97" s="62" t="str">
        <f>IFERROR(VLOOKUP(R$4,'Long stay'!$AF$4:$AM$18,3,FALSE),"")</f>
        <v/>
      </c>
      <c r="AA97" s="149"/>
      <c r="AB97" s="149"/>
      <c r="AC97" s="149"/>
      <c r="AD97" s="149"/>
    </row>
    <row r="98" spans="2:30" x14ac:dyDescent="0.35">
      <c r="B98" s="136"/>
      <c r="C98" s="1" t="s">
        <v>22</v>
      </c>
      <c r="D98" s="129">
        <f>IFERROR(VLOOKUP(D$4,'Long stay'!$BB$4:$BJ$18,4,FALSE),"")</f>
        <v>4559.1428571428569</v>
      </c>
      <c r="E98" s="129">
        <f>IFERROR(VLOOKUP(E$4,'Long stay'!$BB$4:$BJ$18,4,FALSE),"")</f>
        <v>4581.5714285714284</v>
      </c>
      <c r="F98" s="129">
        <f>IFERROR(VLOOKUP(F$4,'Long stay'!$BB$4:$BJ$18,4,FALSE),"")</f>
        <v>4726.7142857142853</v>
      </c>
      <c r="G98" s="129">
        <f>IFERROR(VLOOKUP(G$4,'Long stay'!$BB$4:$BJ$18,4,FALSE),"")</f>
        <v>4533.4285714285716</v>
      </c>
      <c r="H98" s="129">
        <f>IFERROR(VLOOKUP(H$4,'Long stay'!$BB$4:$BJ$18,4,FALSE),"")</f>
        <v>4410.5714285714284</v>
      </c>
      <c r="I98" s="129">
        <f>IFERROR(VLOOKUP(I$4,'Long stay'!$BB$4:$BJ$18,4,FALSE),"")</f>
        <v>4851.7142857142853</v>
      </c>
      <c r="J98" s="129">
        <f>IFERROR(VLOOKUP(J$4,'Long stay'!$BB$4:$BJ$18,4,FALSE),"")</f>
        <v>5021</v>
      </c>
      <c r="K98" s="129">
        <f>IFERROR(VLOOKUP(K$4,'Long stay'!$BB$4:$BJ$18,4,FALSE),"")</f>
        <v>5042.2857142857147</v>
      </c>
      <c r="L98" s="129" t="str">
        <f>IFERROR(VLOOKUP(L$4,'Long stay'!$BB$4:$BJ$18,4,FALSE),"")</f>
        <v/>
      </c>
      <c r="M98" s="129" t="str">
        <f>IFERROR(VLOOKUP(M$4,'Long stay'!$BB$4:$BJ$18,4,FALSE),"")</f>
        <v/>
      </c>
      <c r="N98" s="129" t="str">
        <f>IFERROR(VLOOKUP(N$4,'Long stay'!$BB$4:$BJ$18,4,FALSE),"")</f>
        <v/>
      </c>
      <c r="O98" s="129" t="str">
        <f>IFERROR(VLOOKUP(O$4,'Long stay'!$BB$4:$BJ$18,4,FALSE),"")</f>
        <v/>
      </c>
      <c r="P98" s="129" t="str">
        <f>IFERROR(VLOOKUP(P$4,'Long stay'!$BB$4:$BJ$18,4,FALSE),"")</f>
        <v/>
      </c>
      <c r="Q98" s="129" t="str">
        <f>IFERROR(VLOOKUP(Q$4,'Long stay'!$BB$4:$BJ$18,4,FALSE),"")</f>
        <v/>
      </c>
      <c r="R98" s="62" t="str">
        <f>IFERROR(VLOOKUP(R$4,'Long stay'!$AF$4:$AM$18,4,FALSE),"")</f>
        <v/>
      </c>
      <c r="AA98" s="149"/>
      <c r="AB98" s="149"/>
      <c r="AC98" s="149"/>
      <c r="AD98" s="149"/>
    </row>
    <row r="99" spans="2:30" x14ac:dyDescent="0.35">
      <c r="B99" s="136"/>
      <c r="C99" s="1" t="s">
        <v>24</v>
      </c>
      <c r="D99" s="129">
        <f>IFERROR(VLOOKUP(D$4,'Long stay'!$BB$4:$BJ$18,8,FALSE),"")</f>
        <v>2527.2857142857142</v>
      </c>
      <c r="E99" s="129">
        <f>IFERROR(VLOOKUP(E$4,'Long stay'!$BB$4:$BJ$18,8,FALSE),"")</f>
        <v>2665.5714285714284</v>
      </c>
      <c r="F99" s="129">
        <f>IFERROR(VLOOKUP(F$4,'Long stay'!$BB$4:$BJ$18,8,FALSE),"")</f>
        <v>2791</v>
      </c>
      <c r="G99" s="129">
        <f>IFERROR(VLOOKUP(G$4,'Long stay'!$BB$4:$BJ$18,8,FALSE),"")</f>
        <v>2675.8571428571427</v>
      </c>
      <c r="H99" s="129">
        <f>IFERROR(VLOOKUP(H$4,'Long stay'!$BB$4:$BJ$18,8,FALSE),"")</f>
        <v>2603.7142857142858</v>
      </c>
      <c r="I99" s="129">
        <f>IFERROR(VLOOKUP(I$4,'Long stay'!$BB$4:$BJ$18,8,FALSE),"")</f>
        <v>2935</v>
      </c>
      <c r="J99" s="129">
        <f>IFERROR(VLOOKUP(J$4,'Long stay'!$BB$4:$BJ$18,8,FALSE),"")</f>
        <v>3042.1428571428573</v>
      </c>
      <c r="K99" s="129">
        <f>IFERROR(VLOOKUP(K$4,'Long stay'!$BB$4:$BJ$18,8,FALSE),"")</f>
        <v>2921.5714285714284</v>
      </c>
      <c r="L99" s="129" t="str">
        <f>IFERROR(VLOOKUP(L$4,'Long stay'!$BB$4:$BJ$18,8,FALSE),"")</f>
        <v/>
      </c>
      <c r="M99" s="129" t="str">
        <f>IFERROR(VLOOKUP(M$4,'Long stay'!$BB$4:$BJ$18,8,FALSE),"")</f>
        <v/>
      </c>
      <c r="N99" s="129" t="str">
        <f>IFERROR(VLOOKUP(N$4,'Long stay'!$BB$4:$BJ$18,8,FALSE),"")</f>
        <v/>
      </c>
      <c r="O99" s="129" t="str">
        <f>IFERROR(VLOOKUP(O$4,'Long stay'!$BB$4:$BJ$18,8,FALSE),"")</f>
        <v/>
      </c>
      <c r="P99" s="129" t="str">
        <f>IFERROR(VLOOKUP(P$4,'Long stay'!$BB$4:$BJ$18,8,FALSE),"")</f>
        <v/>
      </c>
      <c r="Q99" s="129" t="str">
        <f>IFERROR(VLOOKUP(Q$4,'Long stay'!$BB$4:$BJ$18,8,FALSE),"")</f>
        <v/>
      </c>
      <c r="R99" s="62"/>
      <c r="AA99" s="149"/>
      <c r="AB99" s="149"/>
      <c r="AC99" s="149"/>
      <c r="AD99" s="149"/>
    </row>
    <row r="100" spans="2:30" x14ac:dyDescent="0.35">
      <c r="B100" s="136"/>
      <c r="C100" s="1" t="s">
        <v>25</v>
      </c>
      <c r="D100" s="129">
        <f>IFERROR(VLOOKUP(D$4,'Long stay'!$BB$4:$BJ$18,5,FALSE),"")</f>
        <v>4761.4285714285716</v>
      </c>
      <c r="E100" s="129">
        <f>IFERROR(VLOOKUP(E$4,'Long stay'!$BB$4:$BJ$18,5,FALSE),"")</f>
        <v>4841.8571428571431</v>
      </c>
      <c r="F100" s="129">
        <f>IFERROR(VLOOKUP(F$4,'Long stay'!$BB$4:$BJ$18,5,FALSE),"")</f>
        <v>4822.2857142857147</v>
      </c>
      <c r="G100" s="129">
        <f>IFERROR(VLOOKUP(G$4,'Long stay'!$BB$4:$BJ$18,5,FALSE),"")</f>
        <v>4758</v>
      </c>
      <c r="H100" s="129">
        <f>IFERROR(VLOOKUP(H$4,'Long stay'!$BB$4:$BJ$18,5,FALSE),"")</f>
        <v>4522.7142857142853</v>
      </c>
      <c r="I100" s="129">
        <f>IFERROR(VLOOKUP(I$4,'Long stay'!$BB$4:$BJ$18,5,FALSE),"")</f>
        <v>4977.8571428571431</v>
      </c>
      <c r="J100" s="129">
        <f>IFERROR(VLOOKUP(J$4,'Long stay'!$BB$4:$BJ$18,5,FALSE),"")</f>
        <v>5262</v>
      </c>
      <c r="K100" s="129">
        <f>IFERROR(VLOOKUP(K$4,'Long stay'!$BB$4:$BJ$18,5,FALSE),"")</f>
        <v>5231.1428571428569</v>
      </c>
      <c r="L100" s="129" t="str">
        <f>IFERROR(VLOOKUP(L$4,'Long stay'!$BB$4:$BJ$18,5,FALSE),"")</f>
        <v/>
      </c>
      <c r="M100" s="129" t="str">
        <f>IFERROR(VLOOKUP(M$4,'Long stay'!$BB$4:$BJ$18,5,FALSE),"")</f>
        <v/>
      </c>
      <c r="N100" s="129" t="str">
        <f>IFERROR(VLOOKUP(N$4,'Long stay'!$BB$4:$BJ$18,5,FALSE),"")</f>
        <v/>
      </c>
      <c r="O100" s="129" t="str">
        <f>IFERROR(VLOOKUP(O$4,'Long stay'!$BB$4:$BJ$18,5,FALSE),"")</f>
        <v/>
      </c>
      <c r="P100" s="129" t="str">
        <f>IFERROR(VLOOKUP(P$4,'Long stay'!$BB$4:$BJ$18,5,FALSE),"")</f>
        <v/>
      </c>
      <c r="Q100" s="129" t="str">
        <f>IFERROR(VLOOKUP(Q$4,'Long stay'!$BB$4:$BJ$18,5,FALSE),"")</f>
        <v/>
      </c>
      <c r="R100" s="62"/>
      <c r="AA100" s="149"/>
      <c r="AB100" s="149"/>
      <c r="AC100" s="149"/>
      <c r="AD100" s="149"/>
    </row>
    <row r="101" spans="2:30" x14ac:dyDescent="0.35">
      <c r="B101" s="136"/>
      <c r="C101" s="1" t="s">
        <v>37</v>
      </c>
      <c r="D101" s="129">
        <f>IFERROR(VLOOKUP(D$4,'Long stay'!$BB$4:$BJ$18,9,FALSE),"")</f>
        <v>4299.1428571428569</v>
      </c>
      <c r="E101" s="129">
        <f>IFERROR(VLOOKUP(E$4,'Long stay'!$BB$4:$BJ$18,9,FALSE),"")</f>
        <v>4348.4285714285716</v>
      </c>
      <c r="F101" s="129">
        <f>IFERROR(VLOOKUP(F$4,'Long stay'!$BB$4:$BJ$18,9,FALSE),"")</f>
        <v>4541.7142857142853</v>
      </c>
      <c r="G101" s="129">
        <f>IFERROR(VLOOKUP(G$4,'Long stay'!$BB$4:$BJ$18,9,FALSE),"")</f>
        <v>4408.1428571428569</v>
      </c>
      <c r="H101" s="129">
        <f>IFERROR(VLOOKUP(H$4,'Long stay'!$BB$4:$BJ$18,9,FALSE),"")</f>
        <v>4267.7142857142853</v>
      </c>
      <c r="I101" s="129">
        <f>IFERROR(VLOOKUP(I$4,'Long stay'!$BB$4:$BJ$18,9,FALSE),"")</f>
        <v>4798.4285714285716</v>
      </c>
      <c r="J101" s="129">
        <f>IFERROR(VLOOKUP(J$4,'Long stay'!$BB$4:$BJ$18,9,FALSE),"")</f>
        <v>4918</v>
      </c>
      <c r="K101" s="129">
        <f>IFERROR(VLOOKUP(K$4,'Long stay'!$BB$4:$BJ$18,9,FALSE),"")</f>
        <v>4748</v>
      </c>
      <c r="L101" s="129" t="str">
        <f>IFERROR(VLOOKUP(L$4,'Long stay'!$BB$4:$BJ$18,9,FALSE),"")</f>
        <v/>
      </c>
      <c r="M101" s="129" t="str">
        <f>IFERROR(VLOOKUP(M$4,'Long stay'!$BB$4:$BJ$18,9,FALSE),"")</f>
        <v/>
      </c>
      <c r="N101" s="129" t="str">
        <f>IFERROR(VLOOKUP(N$4,'Long stay'!$BB$4:$BJ$18,9,FALSE),"")</f>
        <v/>
      </c>
      <c r="O101" s="129" t="str">
        <f>IFERROR(VLOOKUP(O$4,'Long stay'!$BB$4:$BJ$18,9,FALSE),"")</f>
        <v/>
      </c>
      <c r="P101" s="129" t="str">
        <f>IFERROR(VLOOKUP(P$4,'Long stay'!$BB$4:$BJ$18,9,FALSE),"")</f>
        <v/>
      </c>
      <c r="Q101" s="129" t="str">
        <f>IFERROR(VLOOKUP(Q$4,'Long stay'!$BB$4:$BJ$18,9,FALSE),"")</f>
        <v/>
      </c>
      <c r="R101" s="62" t="str">
        <f>IFERROR(VLOOKUP(R$4,'Long stay'!$AF$4:$AM$18,5,FALSE),"")</f>
        <v/>
      </c>
      <c r="AA101" s="149"/>
      <c r="AB101" s="149"/>
      <c r="AC101" s="149"/>
      <c r="AD101" s="149"/>
    </row>
    <row r="102" spans="2:30" x14ac:dyDescent="0.35">
      <c r="B102" s="136"/>
      <c r="C102" s="1" t="s">
        <v>27</v>
      </c>
      <c r="D102" s="129">
        <f>IFERROR(VLOOKUP(D$4,'Long stay'!$BB$4:$BJ$18,6,FALSE),"")</f>
        <v>4065</v>
      </c>
      <c r="E102" s="129">
        <f>IFERROR(VLOOKUP(E$4,'Long stay'!$BB$4:$BJ$18,6,FALSE),"")</f>
        <v>4063.7142857142858</v>
      </c>
      <c r="F102" s="129">
        <f>IFERROR(VLOOKUP(F$4,'Long stay'!$BB$4:$BJ$18,6,FALSE),"")</f>
        <v>4025.2857142857142</v>
      </c>
      <c r="G102" s="129">
        <f>IFERROR(VLOOKUP(G$4,'Long stay'!$BB$4:$BJ$18,6,FALSE),"")</f>
        <v>3941.5714285714284</v>
      </c>
      <c r="H102" s="129">
        <f>IFERROR(VLOOKUP(H$4,'Long stay'!$BB$4:$BJ$18,6,FALSE),"")</f>
        <v>3735.2857142857142</v>
      </c>
      <c r="I102" s="129">
        <f>IFERROR(VLOOKUP(I$4,'Long stay'!$BB$4:$BJ$18,6,FALSE),"")</f>
        <v>4192.7142857142853</v>
      </c>
      <c r="J102" s="129">
        <f>IFERROR(VLOOKUP(J$4,'Long stay'!$BB$4:$BJ$18,6,FALSE),"")</f>
        <v>4318.7142857142853</v>
      </c>
      <c r="K102" s="129">
        <f>IFERROR(VLOOKUP(K$4,'Long stay'!$BB$4:$BJ$18,6,FALSE),"")</f>
        <v>4265.1428571428569</v>
      </c>
      <c r="L102" s="129" t="str">
        <f>IFERROR(VLOOKUP(L$4,'Long stay'!$BB$4:$BJ$18,6,FALSE),"")</f>
        <v/>
      </c>
      <c r="M102" s="129" t="str">
        <f>IFERROR(VLOOKUP(M$4,'Long stay'!$BB$4:$BJ$18,6,FALSE),"")</f>
        <v/>
      </c>
      <c r="N102" s="129" t="str">
        <f>IFERROR(VLOOKUP(N$4,'Long stay'!$BB$4:$BJ$18,6,FALSE),"")</f>
        <v/>
      </c>
      <c r="O102" s="129" t="str">
        <f>IFERROR(VLOOKUP(O$4,'Long stay'!$BB$4:$BJ$18,6,FALSE),"")</f>
        <v/>
      </c>
      <c r="P102" s="129" t="str">
        <f>IFERROR(VLOOKUP(P$4,'Long stay'!$BB$4:$BJ$18,6,FALSE),"")</f>
        <v/>
      </c>
      <c r="Q102" s="129" t="str">
        <f>IFERROR(VLOOKUP(Q$4,'Long stay'!$BB$4:$BJ$18,6,FALSE),"")</f>
        <v/>
      </c>
      <c r="R102" s="62" t="str">
        <f>IFERROR(VLOOKUP(R$4,'Long stay'!$AF$4:$AM$18,6,FALSE),"")</f>
        <v/>
      </c>
      <c r="AA102" s="39"/>
      <c r="AB102" s="39"/>
      <c r="AC102" s="39"/>
      <c r="AD102" s="39"/>
    </row>
    <row r="103" spans="2:30" x14ac:dyDescent="0.35">
      <c r="B103" s="136"/>
      <c r="C103" s="1" t="s">
        <v>28</v>
      </c>
      <c r="D103" s="129">
        <f>IFERROR(VLOOKUP(D$4,'Long stay'!$BB$4:$BJ$18,7,FALSE),"")</f>
        <v>2406.2857142857142</v>
      </c>
      <c r="E103" s="129">
        <f>IFERROR(VLOOKUP(E$4,'Long stay'!$BB$4:$BJ$18,7,FALSE),"")</f>
        <v>2444.5714285714284</v>
      </c>
      <c r="F103" s="129">
        <f>IFERROR(VLOOKUP(F$4,'Long stay'!$BB$4:$BJ$18,7,FALSE),"")</f>
        <v>2503.7142857142858</v>
      </c>
      <c r="G103" s="129">
        <f>IFERROR(VLOOKUP(G$4,'Long stay'!$BB$4:$BJ$18,7,FALSE),"")</f>
        <v>2454</v>
      </c>
      <c r="H103" s="129">
        <f>IFERROR(VLOOKUP(H$4,'Long stay'!$BB$4:$BJ$18,7,FALSE),"")</f>
        <v>2349.5714285714284</v>
      </c>
      <c r="I103" s="129">
        <f>IFERROR(VLOOKUP(I$4,'Long stay'!$BB$4:$BJ$18,7,FALSE),"")</f>
        <v>2668.5714285714284</v>
      </c>
      <c r="J103" s="129">
        <f>IFERROR(VLOOKUP(J$4,'Long stay'!$BB$4:$BJ$18,7,FALSE),"")</f>
        <v>2778.4285714285716</v>
      </c>
      <c r="K103" s="129">
        <f>IFERROR(VLOOKUP(K$4,'Long stay'!$BB$4:$BJ$18,7,FALSE),"")</f>
        <v>2706.4285714285716</v>
      </c>
      <c r="L103" s="129" t="str">
        <f>IFERROR(VLOOKUP(L$4,'Long stay'!$BB$4:$BJ$18,7,FALSE),"")</f>
        <v/>
      </c>
      <c r="M103" s="129" t="str">
        <f>IFERROR(VLOOKUP(M$4,'Long stay'!$BB$4:$BJ$18,7,FALSE),"")</f>
        <v/>
      </c>
      <c r="N103" s="129" t="str">
        <f>IFERROR(VLOOKUP(N$4,'Long stay'!$BB$4:$BJ$18,7,FALSE),"")</f>
        <v/>
      </c>
      <c r="O103" s="129" t="str">
        <f>IFERROR(VLOOKUP(O$4,'Long stay'!$BB$4:$BJ$18,7,FALSE),"")</f>
        <v/>
      </c>
      <c r="P103" s="129" t="str">
        <f>IFERROR(VLOOKUP(P$4,'Long stay'!$BB$4:$BJ$18,7,FALSE),"")</f>
        <v/>
      </c>
      <c r="Q103" s="129" t="str">
        <f>IFERROR(VLOOKUP(Q$4,'Long stay'!$BB$4:$BJ$18,7,FALSE),"")</f>
        <v/>
      </c>
      <c r="R103" s="62" t="str">
        <f>IFERROR(VLOOKUP(R$4,'Long stay'!$AF$4:$AM$18,7,FALSE),"")</f>
        <v/>
      </c>
      <c r="AA103" s="80"/>
      <c r="AB103" s="80"/>
      <c r="AC103" s="80"/>
      <c r="AD103" s="39"/>
    </row>
    <row r="104" spans="2:30" x14ac:dyDescent="0.35">
      <c r="B104" s="136"/>
      <c r="C104" s="9" t="s">
        <v>57</v>
      </c>
      <c r="D104" s="86">
        <v>18812.571428571428</v>
      </c>
      <c r="E104" s="86">
        <v>18943.142857142859</v>
      </c>
      <c r="F104" s="86">
        <v>19114.142857142859</v>
      </c>
      <c r="G104" s="86">
        <v>18143.571428571428</v>
      </c>
      <c r="H104" s="86">
        <v>18307</v>
      </c>
      <c r="I104" s="86">
        <v>19528.428571428572</v>
      </c>
      <c r="J104" s="86">
        <v>20226</v>
      </c>
      <c r="K104" s="86">
        <v>19887.714285714286</v>
      </c>
      <c r="L104" s="86">
        <v>19427.428571428572</v>
      </c>
      <c r="M104" s="86">
        <v>19361.714285714286</v>
      </c>
      <c r="N104" s="86">
        <v>19131.428571428572</v>
      </c>
      <c r="O104" s="86">
        <v>19220.571428571428</v>
      </c>
      <c r="P104" s="86">
        <v>19298.714285714286</v>
      </c>
      <c r="Q104" s="86">
        <v>19254.571428571428</v>
      </c>
      <c r="AA104" s="39"/>
      <c r="AB104" s="39"/>
      <c r="AC104" s="39"/>
      <c r="AD104" s="39"/>
    </row>
    <row r="105" spans="2:30" x14ac:dyDescent="0.35">
      <c r="B105" s="136"/>
      <c r="C105" s="1" t="s">
        <v>18</v>
      </c>
      <c r="D105" s="91">
        <v>17998.285714285714</v>
      </c>
      <c r="E105" s="91">
        <v>18092.142857142859</v>
      </c>
      <c r="F105" s="91">
        <v>17971</v>
      </c>
      <c r="G105" s="91">
        <v>17034.285714285714</v>
      </c>
      <c r="H105" s="91">
        <v>17131.428571428572</v>
      </c>
      <c r="I105" s="91">
        <v>19000</v>
      </c>
      <c r="J105" s="91">
        <v>19371</v>
      </c>
      <c r="K105" s="91">
        <v>19179.857142857141</v>
      </c>
      <c r="L105" s="91">
        <v>18869.571428571428</v>
      </c>
      <c r="M105" s="91">
        <v>18887.857142857141</v>
      </c>
      <c r="N105" s="91">
        <v>19085</v>
      </c>
      <c r="O105" s="91">
        <v>19202.857142857141</v>
      </c>
      <c r="P105" s="91">
        <v>19206.428571428572</v>
      </c>
      <c r="Q105" s="91">
        <v>19110</v>
      </c>
      <c r="AA105" s="39"/>
      <c r="AB105" s="39"/>
      <c r="AC105" s="39"/>
      <c r="AD105" s="39"/>
    </row>
    <row r="106" spans="2:30" ht="7.5" customHeight="1" x14ac:dyDescent="0.35">
      <c r="B106" s="136"/>
      <c r="C106" s="9"/>
      <c r="AA106" s="39"/>
      <c r="AB106" s="39"/>
      <c r="AC106" s="39"/>
      <c r="AD106" s="39"/>
    </row>
    <row r="107" spans="2:30" x14ac:dyDescent="0.35">
      <c r="B107" s="136"/>
      <c r="C107" s="13" t="s">
        <v>20</v>
      </c>
      <c r="D107" s="47">
        <f>IFERROR(VLOOKUP(D$4,'Long stay'!$AF$4:$AN$18,2,FALSE),"")</f>
        <v>17744.714285714286</v>
      </c>
      <c r="E107" s="47">
        <f>IFERROR(VLOOKUP(E$4,'Long stay'!$AF$4:$AN$18,2,FALSE),"")</f>
        <v>17741.857142857141</v>
      </c>
      <c r="F107" s="47">
        <f>IFERROR(VLOOKUP(F$4,'Long stay'!$AF$4:$AN$18,2,FALSE),"")</f>
        <v>17950.142857142859</v>
      </c>
      <c r="G107" s="47">
        <f>IFERROR(VLOOKUP(G$4,'Long stay'!$AF$4:$AN$18,2,FALSE),"")</f>
        <v>17770.142857142859</v>
      </c>
      <c r="H107" s="47">
        <f>IFERROR(VLOOKUP(H$4,'Long stay'!$AF$4:$AN$18,2,FALSE),"")</f>
        <v>16899.714285714286</v>
      </c>
      <c r="I107" s="47">
        <f>IFERROR(VLOOKUP(I$4,'Long stay'!$AF$4:$AN$18,2,FALSE),"")</f>
        <v>18597.428571428572</v>
      </c>
      <c r="J107" s="47">
        <f>IFERROR(VLOOKUP(J$4,'Long stay'!$AF$4:$AN$18,2,FALSE),"")</f>
        <v>19563.857142857141</v>
      </c>
      <c r="K107" s="47">
        <f>IFERROR(VLOOKUP(K$4,'Long stay'!$AF$4:$AN$18,2,FALSE),"")</f>
        <v>19585.142857142859</v>
      </c>
      <c r="L107" s="47" t="str">
        <f>IFERROR(VLOOKUP(L$4,'Long stay'!$AF$4:$AN$18,2,FALSE),"")</f>
        <v/>
      </c>
      <c r="M107" s="47" t="str">
        <f>IFERROR(VLOOKUP(M$4,'Long stay'!$AF$4:$AN$18,2,FALSE),"")</f>
        <v/>
      </c>
      <c r="N107" s="47" t="str">
        <f>IFERROR(VLOOKUP(N$4,'Long stay'!$AF$4:$AN$18,2,FALSE),"")</f>
        <v/>
      </c>
      <c r="O107" s="47" t="str">
        <f>IFERROR(VLOOKUP(O$4,'Long stay'!$AF$4:$AN$18,2,FALSE),"")</f>
        <v/>
      </c>
      <c r="P107" s="47" t="str">
        <f>IFERROR(VLOOKUP(P$4,'Long stay'!$AF$4:$AN$18,2,FALSE),"")</f>
        <v/>
      </c>
      <c r="Q107" s="47" t="str">
        <f>IFERROR(VLOOKUP(Q$4,'Long stay'!$AF$4:$AN$18,2,FALSE),"")</f>
        <v/>
      </c>
      <c r="R107" s="61" t="str">
        <f>IFERROR(VLOOKUP(R$4,'Long stay'!$AF$4:$AM$18,2,FALSE),"")</f>
        <v/>
      </c>
      <c r="AA107" s="39"/>
      <c r="AB107" s="39"/>
      <c r="AC107" s="39"/>
      <c r="AD107" s="39"/>
    </row>
    <row r="108" spans="2:30" x14ac:dyDescent="0.35">
      <c r="B108" s="136"/>
      <c r="C108" s="1" t="s">
        <v>21</v>
      </c>
      <c r="D108" s="129">
        <f>IFERROR(VLOOKUP(D$4,'Long stay'!$AF$4:$AN$18,3,FALSE),"")</f>
        <v>3213.8571428571427</v>
      </c>
      <c r="E108" s="129">
        <f>IFERROR(VLOOKUP(E$4,'Long stay'!$AF$4:$AN$18,3,FALSE),"")</f>
        <v>3270</v>
      </c>
      <c r="F108" s="129">
        <f>IFERROR(VLOOKUP(F$4,'Long stay'!$AF$4:$AN$18,3,FALSE),"")</f>
        <v>3295.1428571428573</v>
      </c>
      <c r="G108" s="129">
        <f>IFERROR(VLOOKUP(G$4,'Long stay'!$AF$4:$AN$18,3,FALSE),"")</f>
        <v>3210.8571428571427</v>
      </c>
      <c r="H108" s="129">
        <f>IFERROR(VLOOKUP(H$4,'Long stay'!$AF$4:$AN$18,3,FALSE),"")</f>
        <v>2990.8571428571427</v>
      </c>
      <c r="I108" s="129">
        <f>IFERROR(VLOOKUP(I$4,'Long stay'!$AF$4:$AN$18,3,FALSE),"")</f>
        <v>3259</v>
      </c>
      <c r="J108" s="129">
        <f>IFERROR(VLOOKUP(J$4,'Long stay'!$AF$4:$AN$18,3,FALSE),"")</f>
        <v>3451.2857142857142</v>
      </c>
      <c r="K108" s="129">
        <f>IFERROR(VLOOKUP(K$4,'Long stay'!$AF$4:$AN$18,3,FALSE),"")</f>
        <v>3417.1428571428573</v>
      </c>
      <c r="L108" s="129" t="str">
        <f>IFERROR(VLOOKUP(L$4,'Long stay'!$AF$4:$AN$18,3,FALSE),"")</f>
        <v/>
      </c>
      <c r="M108" s="129" t="str">
        <f>IFERROR(VLOOKUP(M$4,'Long stay'!$AF$4:$AN$18,3,FALSE),"")</f>
        <v/>
      </c>
      <c r="N108" s="129" t="str">
        <f>IFERROR(VLOOKUP(N$4,'Long stay'!$AF$4:$AN$18,3,FALSE),"")</f>
        <v/>
      </c>
      <c r="O108" s="129" t="str">
        <f>IFERROR(VLOOKUP(O$4,'Long stay'!$AF$4:$AN$18,3,FALSE),"")</f>
        <v/>
      </c>
      <c r="P108" s="129" t="str">
        <f>IFERROR(VLOOKUP(P$4,'Long stay'!$AF$4:$AN$18,3,FALSE),"")</f>
        <v/>
      </c>
      <c r="Q108" s="129" t="str">
        <f>IFERROR(VLOOKUP(Q$4,'Long stay'!$AF$4:$AN$18,3,FALSE),"")</f>
        <v/>
      </c>
      <c r="R108" s="62" t="str">
        <f>IFERROR(VLOOKUP(R$4,'Long stay'!$AF$4:$AM$18,3,FALSE),"")</f>
        <v/>
      </c>
      <c r="AA108" s="39"/>
      <c r="AB108" s="39"/>
      <c r="AC108" s="39"/>
      <c r="AD108" s="39"/>
    </row>
    <row r="109" spans="2:30" x14ac:dyDescent="0.35">
      <c r="B109" s="136"/>
      <c r="C109" s="1" t="s">
        <v>22</v>
      </c>
      <c r="D109" s="129">
        <f>IFERROR(VLOOKUP(D$4,'Long stay'!$AF$4:$AN$18,4,FALSE),"")</f>
        <v>2771.5714285714284</v>
      </c>
      <c r="E109" s="129">
        <f>IFERROR(VLOOKUP(E$4,'Long stay'!$AF$4:$AN$18,4,FALSE),"")</f>
        <v>2783.2857142857142</v>
      </c>
      <c r="F109" s="129">
        <f>IFERROR(VLOOKUP(F$4,'Long stay'!$AF$4:$AN$18,4,FALSE),"")</f>
        <v>2804</v>
      </c>
      <c r="G109" s="129">
        <f>IFERROR(VLOOKUP(G$4,'Long stay'!$AF$4:$AN$18,4,FALSE),"")</f>
        <v>2800.8571428571427</v>
      </c>
      <c r="H109" s="129">
        <f>IFERROR(VLOOKUP(H$4,'Long stay'!$AF$4:$AN$18,4,FALSE),"")</f>
        <v>2681</v>
      </c>
      <c r="I109" s="129">
        <f>IFERROR(VLOOKUP(I$4,'Long stay'!$AF$4:$AN$18,4,FALSE),"")</f>
        <v>2891.7142857142858</v>
      </c>
      <c r="J109" s="129">
        <f>IFERROR(VLOOKUP(J$4,'Long stay'!$AF$4:$AN$18,4,FALSE),"")</f>
        <v>3020.7142857142858</v>
      </c>
      <c r="K109" s="129">
        <f>IFERROR(VLOOKUP(K$4,'Long stay'!$AF$4:$AN$18,4,FALSE),"")</f>
        <v>3140.2857142857142</v>
      </c>
      <c r="L109" s="129" t="str">
        <f>IFERROR(VLOOKUP(L$4,'Long stay'!$AF$4:$AN$18,4,FALSE),"")</f>
        <v/>
      </c>
      <c r="M109" s="129" t="str">
        <f>IFERROR(VLOOKUP(M$4,'Long stay'!$AF$4:$AN$18,4,FALSE),"")</f>
        <v/>
      </c>
      <c r="N109" s="129" t="str">
        <f>IFERROR(VLOOKUP(N$4,'Long stay'!$AF$4:$AN$18,4,FALSE),"")</f>
        <v/>
      </c>
      <c r="O109" s="129" t="str">
        <f>IFERROR(VLOOKUP(O$4,'Long stay'!$AF$4:$AN$18,4,FALSE),"")</f>
        <v/>
      </c>
      <c r="P109" s="129" t="str">
        <f>IFERROR(VLOOKUP(P$4,'Long stay'!$AF$4:$AN$18,4,FALSE),"")</f>
        <v/>
      </c>
      <c r="Q109" s="129" t="str">
        <f>IFERROR(VLOOKUP(Q$4,'Long stay'!$AF$4:$AN$18,4,FALSE),"")</f>
        <v/>
      </c>
      <c r="R109" s="62" t="str">
        <f>IFERROR(VLOOKUP(R$4,'Long stay'!$AF$4:$AM$18,4,FALSE),"")</f>
        <v/>
      </c>
      <c r="AA109" s="39"/>
      <c r="AB109" s="39"/>
      <c r="AC109" s="39"/>
      <c r="AD109" s="39"/>
    </row>
    <row r="110" spans="2:30" x14ac:dyDescent="0.35">
      <c r="B110" s="136"/>
      <c r="C110" s="1" t="s">
        <v>24</v>
      </c>
      <c r="D110" s="129">
        <f>IFERROR(VLOOKUP(D$4,'Long stay'!$AF$4:$AN$18,8,FALSE),"")</f>
        <v>1507</v>
      </c>
      <c r="E110" s="129">
        <f>IFERROR(VLOOKUP(E$4,'Long stay'!$AF$4:$AN$18,8,FALSE),"")</f>
        <v>1547.2857142857142</v>
      </c>
      <c r="F110" s="129">
        <f>IFERROR(VLOOKUP(F$4,'Long stay'!$AF$4:$AN$18,8,FALSE),"")</f>
        <v>1657.4285714285713</v>
      </c>
      <c r="G110" s="129">
        <f>IFERROR(VLOOKUP(G$4,'Long stay'!$AF$4:$AN$18,8,FALSE),"")</f>
        <v>1642.8571428571429</v>
      </c>
      <c r="H110" s="129">
        <f>IFERROR(VLOOKUP(H$4,'Long stay'!$AF$4:$AN$18,8,FALSE),"")</f>
        <v>1549.8571428571429</v>
      </c>
      <c r="I110" s="129">
        <f>IFERROR(VLOOKUP(I$4,'Long stay'!$AF$4:$AN$18,8,FALSE),"")</f>
        <v>1775</v>
      </c>
      <c r="J110" s="129">
        <f>IFERROR(VLOOKUP(J$4,'Long stay'!$AF$4:$AN$18,8,FALSE),"")</f>
        <v>1880.7142857142858</v>
      </c>
      <c r="K110" s="129">
        <f>IFERROR(VLOOKUP(K$4,'Long stay'!$AF$4:$AN$18,8,FALSE),"")</f>
        <v>1856.2857142857142</v>
      </c>
      <c r="L110" s="129" t="str">
        <f>IFERROR(VLOOKUP(L$4,'Long stay'!$AF$4:$AN$18,8,FALSE),"")</f>
        <v/>
      </c>
      <c r="M110" s="129" t="str">
        <f>IFERROR(VLOOKUP(M$4,'Long stay'!$AF$4:$AN$18,8,FALSE),"")</f>
        <v/>
      </c>
      <c r="N110" s="129" t="str">
        <f>IFERROR(VLOOKUP(N$4,'Long stay'!$AF$4:$AN$18,8,FALSE),"")</f>
        <v/>
      </c>
      <c r="O110" s="129" t="str">
        <f>IFERROR(VLOOKUP(O$4,'Long stay'!$AF$4:$AN$18,8,FALSE),"")</f>
        <v/>
      </c>
      <c r="P110" s="129" t="str">
        <f>IFERROR(VLOOKUP(P$4,'Long stay'!$AF$4:$AN$18,8,FALSE),"")</f>
        <v/>
      </c>
      <c r="Q110" s="129" t="str">
        <f>IFERROR(VLOOKUP(Q$4,'Long stay'!$AF$4:$AN$18,8,FALSE),"")</f>
        <v/>
      </c>
      <c r="R110" s="62"/>
      <c r="AA110" s="39"/>
      <c r="AB110" s="39"/>
      <c r="AC110" s="39"/>
      <c r="AD110" s="39"/>
    </row>
    <row r="111" spans="2:30" x14ac:dyDescent="0.35">
      <c r="B111" s="136"/>
      <c r="C111" s="1" t="s">
        <v>25</v>
      </c>
      <c r="D111" s="129">
        <f>IFERROR(VLOOKUP(D$4,'Long stay'!$AF$4:$AN$18,5,FALSE),"")</f>
        <v>3133.5714285714284</v>
      </c>
      <c r="E111" s="129">
        <f>IFERROR(VLOOKUP(E$4,'Long stay'!$AF$4:$AN$18,5,FALSE),"")</f>
        <v>3094.1428571428573</v>
      </c>
      <c r="F111" s="129">
        <f>IFERROR(VLOOKUP(F$4,'Long stay'!$AF$4:$AN$18,5,FALSE),"")</f>
        <v>3017.5714285714284</v>
      </c>
      <c r="G111" s="129">
        <f>IFERROR(VLOOKUP(G$4,'Long stay'!$AF$4:$AN$18,5,FALSE),"")</f>
        <v>3030.2857142857142</v>
      </c>
      <c r="H111" s="129">
        <f>IFERROR(VLOOKUP(H$4,'Long stay'!$AF$4:$AN$18,5,FALSE),"")</f>
        <v>2905.8571428571427</v>
      </c>
      <c r="I111" s="129">
        <f>IFERROR(VLOOKUP(I$4,'Long stay'!$AF$4:$AN$18,5,FALSE),"")</f>
        <v>3171.2857142857142</v>
      </c>
      <c r="J111" s="129">
        <f>IFERROR(VLOOKUP(J$4,'Long stay'!$AF$4:$AN$18,5,FALSE),"")</f>
        <v>3339.5714285714284</v>
      </c>
      <c r="K111" s="129">
        <f>IFERROR(VLOOKUP(K$4,'Long stay'!$AF$4:$AN$18,5,FALSE),"")</f>
        <v>3357.8571428571427</v>
      </c>
      <c r="L111" s="129" t="str">
        <f>IFERROR(VLOOKUP(L$4,'Long stay'!$AF$4:$AN$18,5,FALSE),"")</f>
        <v/>
      </c>
      <c r="M111" s="129" t="str">
        <f>IFERROR(VLOOKUP(M$4,'Long stay'!$AF$4:$AN$18,5,FALSE),"")</f>
        <v/>
      </c>
      <c r="N111" s="129" t="str">
        <f>IFERROR(VLOOKUP(N$4,'Long stay'!$AF$4:$AN$18,5,FALSE),"")</f>
        <v/>
      </c>
      <c r="O111" s="129" t="str">
        <f>IFERROR(VLOOKUP(O$4,'Long stay'!$AF$4:$AN$18,5,FALSE),"")</f>
        <v/>
      </c>
      <c r="P111" s="129" t="str">
        <f>IFERROR(VLOOKUP(P$4,'Long stay'!$AF$4:$AN$18,5,FALSE),"")</f>
        <v/>
      </c>
      <c r="Q111" s="129" t="str">
        <f>IFERROR(VLOOKUP(Q$4,'Long stay'!$AF$4:$AN$18,5,FALSE),"")</f>
        <v/>
      </c>
      <c r="R111" s="62"/>
      <c r="AA111" s="39"/>
      <c r="AB111" s="39"/>
      <c r="AC111" s="39"/>
      <c r="AD111" s="39"/>
    </row>
    <row r="112" spans="2:30" x14ac:dyDescent="0.35">
      <c r="B112" s="136"/>
      <c r="C112" s="1" t="s">
        <v>37</v>
      </c>
      <c r="D112" s="129">
        <f>IFERROR(VLOOKUP(D$4,'Long stay'!$AF$4:$AN$18,9,FALSE),"")</f>
        <v>2946.5714285714284</v>
      </c>
      <c r="E112" s="129">
        <f>IFERROR(VLOOKUP(E$4,'Long stay'!$AF$4:$AN$18,9,FALSE),"")</f>
        <v>2937.7142857142858</v>
      </c>
      <c r="F112" s="129">
        <f>IFERROR(VLOOKUP(F$4,'Long stay'!$AF$4:$AN$18,9,FALSE),"")</f>
        <v>3074.7142857142858</v>
      </c>
      <c r="G112" s="129">
        <f>IFERROR(VLOOKUP(G$4,'Long stay'!$AF$4:$AN$18,9,FALSE),"")</f>
        <v>3038.5714285714284</v>
      </c>
      <c r="H112" s="129">
        <f>IFERROR(VLOOKUP(H$4,'Long stay'!$AF$4:$AN$18,9,FALSE),"")</f>
        <v>2898.8571428571427</v>
      </c>
      <c r="I112" s="129">
        <f>IFERROR(VLOOKUP(I$4,'Long stay'!$AF$4:$AN$18,9,FALSE),"")</f>
        <v>3243.8571428571427</v>
      </c>
      <c r="J112" s="129">
        <f>IFERROR(VLOOKUP(J$4,'Long stay'!$AF$4:$AN$18,9,FALSE),"")</f>
        <v>3382.2857142857142</v>
      </c>
      <c r="K112" s="129">
        <f>IFERROR(VLOOKUP(K$4,'Long stay'!$AF$4:$AN$18,9,FALSE),"")</f>
        <v>3305.2857142857142</v>
      </c>
      <c r="L112" s="129" t="str">
        <f>IFERROR(VLOOKUP(L$4,'Long stay'!$AF$4:$AN$18,9,FALSE),"")</f>
        <v/>
      </c>
      <c r="M112" s="129" t="str">
        <f>IFERROR(VLOOKUP(M$4,'Long stay'!$AF$4:$AN$18,9,FALSE),"")</f>
        <v/>
      </c>
      <c r="N112" s="129" t="str">
        <f>IFERROR(VLOOKUP(N$4,'Long stay'!$AF$4:$AN$18,9,FALSE),"")</f>
        <v/>
      </c>
      <c r="O112" s="129" t="str">
        <f>IFERROR(VLOOKUP(O$4,'Long stay'!$AF$4:$AN$18,9,FALSE),"")</f>
        <v/>
      </c>
      <c r="P112" s="129" t="str">
        <f>IFERROR(VLOOKUP(P$4,'Long stay'!$AF$4:$AN$18,9,FALSE),"")</f>
        <v/>
      </c>
      <c r="Q112" s="129" t="str">
        <f>IFERROR(VLOOKUP(Q$4,'Long stay'!$AF$4:$AN$18,9,FALSE),"")</f>
        <v/>
      </c>
      <c r="R112" s="62" t="str">
        <f>IFERROR(VLOOKUP(R$4,'Long stay'!$AF$4:$AM$18,5,FALSE),"")</f>
        <v/>
      </c>
      <c r="AA112" s="39"/>
      <c r="AB112" s="39"/>
      <c r="AC112" s="39"/>
      <c r="AD112" s="39"/>
    </row>
    <row r="113" spans="2:30" x14ac:dyDescent="0.35">
      <c r="B113" s="136"/>
      <c r="C113" s="1" t="s">
        <v>27</v>
      </c>
      <c r="D113" s="129">
        <f>IFERROR(VLOOKUP(D$4,'Long stay'!$AF$4:$AN$18,6,FALSE),"")</f>
        <v>2630</v>
      </c>
      <c r="E113" s="129">
        <f>IFERROR(VLOOKUP(E$4,'Long stay'!$AF$4:$AN$18,6,FALSE),"")</f>
        <v>2626.4285714285716</v>
      </c>
      <c r="F113" s="129">
        <f>IFERROR(VLOOKUP(F$4,'Long stay'!$AF$4:$AN$18,6,FALSE),"")</f>
        <v>2579.1428571428573</v>
      </c>
      <c r="G113" s="129">
        <f>IFERROR(VLOOKUP(G$4,'Long stay'!$AF$4:$AN$18,6,FALSE),"")</f>
        <v>2531.8571428571427</v>
      </c>
      <c r="H113" s="129">
        <f>IFERROR(VLOOKUP(H$4,'Long stay'!$AF$4:$AN$18,6,FALSE),"")</f>
        <v>2401.8571428571427</v>
      </c>
      <c r="I113" s="129">
        <f>IFERROR(VLOOKUP(I$4,'Long stay'!$AF$4:$AN$18,6,FALSE),"")</f>
        <v>2658.8571428571427</v>
      </c>
      <c r="J113" s="129">
        <f>IFERROR(VLOOKUP(J$4,'Long stay'!$AF$4:$AN$18,6,FALSE),"")</f>
        <v>2770.5714285714284</v>
      </c>
      <c r="K113" s="129">
        <f>IFERROR(VLOOKUP(K$4,'Long stay'!$AF$4:$AN$18,6,FALSE),"")</f>
        <v>2775.5714285714284</v>
      </c>
      <c r="L113" s="129" t="str">
        <f>IFERROR(VLOOKUP(L$4,'Long stay'!$AF$4:$AN$18,6,FALSE),"")</f>
        <v/>
      </c>
      <c r="M113" s="129" t="str">
        <f>IFERROR(VLOOKUP(M$4,'Long stay'!$AF$4:$AN$18,6,FALSE),"")</f>
        <v/>
      </c>
      <c r="N113" s="129" t="str">
        <f>IFERROR(VLOOKUP(N$4,'Long stay'!$AF$4:$AN$18,6,FALSE),"")</f>
        <v/>
      </c>
      <c r="O113" s="129" t="str">
        <f>IFERROR(VLOOKUP(O$4,'Long stay'!$AF$4:$AN$18,6,FALSE),"")</f>
        <v/>
      </c>
      <c r="P113" s="129" t="str">
        <f>IFERROR(VLOOKUP(P$4,'Long stay'!$AF$4:$AN$18,6,FALSE),"")</f>
        <v/>
      </c>
      <c r="Q113" s="129" t="str">
        <f>IFERROR(VLOOKUP(Q$4,'Long stay'!$AF$4:$AN$18,6,FALSE),"")</f>
        <v/>
      </c>
      <c r="R113" s="62" t="str">
        <f>IFERROR(VLOOKUP(R$4,'Long stay'!$AF$4:$AM$18,6,FALSE),"")</f>
        <v/>
      </c>
      <c r="AA113" s="39"/>
      <c r="AB113" s="39"/>
      <c r="AC113" s="39"/>
      <c r="AD113" s="39"/>
    </row>
    <row r="114" spans="2:30" x14ac:dyDescent="0.35">
      <c r="B114" s="136"/>
      <c r="C114" s="1" t="s">
        <v>28</v>
      </c>
      <c r="D114" s="129">
        <f>IFERROR(VLOOKUP(D$4,'Long stay'!$AF$4:$AN$18,7,FALSE),"")</f>
        <v>1542.1428571428571</v>
      </c>
      <c r="E114" s="129">
        <f>IFERROR(VLOOKUP(E$4,'Long stay'!$AF$4:$AN$18,7,FALSE),"")</f>
        <v>1483</v>
      </c>
      <c r="F114" s="129">
        <f>IFERROR(VLOOKUP(F$4,'Long stay'!$AF$4:$AN$18,7,FALSE),"")</f>
        <v>1522.1428571428571</v>
      </c>
      <c r="G114" s="129">
        <f>IFERROR(VLOOKUP(G$4,'Long stay'!$AF$4:$AN$18,7,FALSE),"")</f>
        <v>1514.8571428571429</v>
      </c>
      <c r="H114" s="129">
        <f>IFERROR(VLOOKUP(H$4,'Long stay'!$AF$4:$AN$18,7,FALSE),"")</f>
        <v>1471.4285714285713</v>
      </c>
      <c r="I114" s="129">
        <f>IFERROR(VLOOKUP(I$4,'Long stay'!$AF$4:$AN$18,7,FALSE),"")</f>
        <v>1597.7142857142858</v>
      </c>
      <c r="J114" s="129">
        <f>IFERROR(VLOOKUP(J$4,'Long stay'!$AF$4:$AN$18,7,FALSE),"")</f>
        <v>1718.7142857142858</v>
      </c>
      <c r="K114" s="129">
        <f>IFERROR(VLOOKUP(K$4,'Long stay'!$AF$4:$AN$18,7,FALSE),"")</f>
        <v>1732.7142857142858</v>
      </c>
      <c r="L114" s="129" t="str">
        <f>IFERROR(VLOOKUP(L$4,'Long stay'!$AF$4:$AN$18,7,FALSE),"")</f>
        <v/>
      </c>
      <c r="M114" s="129" t="str">
        <f>IFERROR(VLOOKUP(M$4,'Long stay'!$AF$4:$AN$18,7,FALSE),"")</f>
        <v/>
      </c>
      <c r="N114" s="129" t="str">
        <f>IFERROR(VLOOKUP(N$4,'Long stay'!$AF$4:$AN$18,7,FALSE),"")</f>
        <v/>
      </c>
      <c r="O114" s="129" t="str">
        <f>IFERROR(VLOOKUP(O$4,'Long stay'!$AF$4:$AN$18,7,FALSE),"")</f>
        <v/>
      </c>
      <c r="P114" s="129" t="str">
        <f>IFERROR(VLOOKUP(P$4,'Long stay'!$AF$4:$AN$18,7,FALSE),"")</f>
        <v/>
      </c>
      <c r="Q114" s="129" t="str">
        <f>IFERROR(VLOOKUP(Q$4,'Long stay'!$AF$4:$AN$18,7,FALSE),"")</f>
        <v/>
      </c>
      <c r="R114" s="62" t="str">
        <f>IFERROR(VLOOKUP(R$4,'Long stay'!$AF$4:$AM$18,7,FALSE),"")</f>
        <v/>
      </c>
      <c r="AA114" s="39"/>
      <c r="AB114" s="39"/>
      <c r="AC114" s="39"/>
      <c r="AD114" s="39"/>
    </row>
    <row r="115" spans="2:30" ht="30" customHeight="1" x14ac:dyDescent="0.35">
      <c r="C115" s="1"/>
      <c r="D115" s="45"/>
      <c r="E115" s="45"/>
      <c r="F115" s="45"/>
      <c r="G115" s="45"/>
      <c r="H115" s="45"/>
      <c r="I115" s="45"/>
      <c r="J115" s="45"/>
      <c r="K115" s="45"/>
      <c r="L115" s="45"/>
      <c r="M115" s="45"/>
      <c r="N115" s="45"/>
      <c r="O115" s="45"/>
      <c r="P115" s="45"/>
      <c r="Q115" s="45"/>
      <c r="R115" s="45"/>
    </row>
    <row r="116" spans="2:30" ht="15" customHeight="1" x14ac:dyDescent="0.35">
      <c r="B116" s="136" t="s">
        <v>58</v>
      </c>
      <c r="C116" s="10" t="s">
        <v>59</v>
      </c>
      <c r="D116" s="86">
        <v>376.14285714285717</v>
      </c>
      <c r="E116" s="86">
        <v>460.71428571428572</v>
      </c>
      <c r="F116" s="86">
        <v>432.14285714285717</v>
      </c>
      <c r="G116" s="86">
        <v>336.57142857142856</v>
      </c>
      <c r="H116" s="86">
        <v>391.28571428571428</v>
      </c>
      <c r="I116" s="86">
        <v>512.71428571428567</v>
      </c>
      <c r="J116" s="86">
        <v>417.28571428571428</v>
      </c>
      <c r="K116" s="86">
        <v>473.42857142857144</v>
      </c>
      <c r="L116" s="86">
        <v>495.42857142857144</v>
      </c>
      <c r="M116" s="86">
        <v>914.85714285714289</v>
      </c>
      <c r="N116" s="86">
        <v>896.42857142857144</v>
      </c>
      <c r="O116" s="86">
        <v>820.85714285714289</v>
      </c>
      <c r="P116" s="86">
        <v>709.85714285714289</v>
      </c>
      <c r="Q116" s="86">
        <v>720.14285714285711</v>
      </c>
      <c r="AA116" s="137" t="s">
        <v>60</v>
      </c>
      <c r="AB116" s="137"/>
      <c r="AC116" s="137"/>
      <c r="AD116" s="137"/>
    </row>
    <row r="117" spans="2:30" ht="15" customHeight="1" x14ac:dyDescent="0.35">
      <c r="B117" s="136"/>
      <c r="C117" s="1" t="s">
        <v>18</v>
      </c>
      <c r="D117" s="91">
        <v>498.85714285714283</v>
      </c>
      <c r="E117" s="91">
        <v>625.57142857142856</v>
      </c>
      <c r="F117" s="91">
        <v>696</v>
      </c>
      <c r="G117" s="91">
        <v>581.28571428571433</v>
      </c>
      <c r="H117" s="91">
        <v>485.85714285714283</v>
      </c>
      <c r="I117" s="91">
        <v>539.71428571428567</v>
      </c>
      <c r="J117" s="91">
        <v>586.14285714285711</v>
      </c>
      <c r="K117" s="91">
        <v>549.42857142857144</v>
      </c>
      <c r="L117" s="91">
        <v>798</v>
      </c>
      <c r="M117" s="91">
        <v>687</v>
      </c>
      <c r="N117" s="91">
        <v>688.71428571428567</v>
      </c>
      <c r="O117" s="91">
        <v>607.14285714285711</v>
      </c>
      <c r="P117" s="91">
        <v>573.57142857142856</v>
      </c>
      <c r="Q117" s="91">
        <v>577.57142857142856</v>
      </c>
      <c r="AA117" s="137"/>
      <c r="AB117" s="137"/>
      <c r="AC117" s="137"/>
      <c r="AD117" s="137"/>
    </row>
    <row r="118" spans="2:30" ht="7.5" customHeight="1" x14ac:dyDescent="0.35">
      <c r="B118" s="136"/>
      <c r="C118" s="1"/>
      <c r="AA118" s="137"/>
      <c r="AB118" s="137"/>
      <c r="AC118" s="137"/>
      <c r="AD118" s="137"/>
    </row>
    <row r="119" spans="2:30" x14ac:dyDescent="0.35">
      <c r="B119" s="136"/>
      <c r="C119" s="13" t="s">
        <v>20</v>
      </c>
      <c r="D119" s="47">
        <f>IFERROR(VLOOKUP(D$4,'D&amp;V'!$R$3:$Z$17,2,FALSE),"")</f>
        <v>908.42857142857144</v>
      </c>
      <c r="E119" s="47">
        <f>IFERROR(VLOOKUP(E$4,'D&amp;V'!$R$3:$Z$17,2,FALSE),"")</f>
        <v>1017.7142857142857</v>
      </c>
      <c r="F119" s="47">
        <f>IFERROR(VLOOKUP(F$4,'D&amp;V'!$R$3:$Z$17,2,FALSE),"")</f>
        <v>857.85714285714289</v>
      </c>
      <c r="G119" s="47">
        <f>IFERROR(VLOOKUP(G$4,'D&amp;V'!$R$3:$Z$17,2,FALSE),"")</f>
        <v>880.14285714285711</v>
      </c>
      <c r="H119" s="47">
        <f>IFERROR(VLOOKUP(H$4,'D&amp;V'!$R$3:$Z$17,2,FALSE),"")</f>
        <v>669.57142857142856</v>
      </c>
      <c r="I119" s="47">
        <f>IFERROR(VLOOKUP(I$4,'D&amp;V'!$R$3:$Z$17,2,FALSE),"")</f>
        <v>744.71428571428567</v>
      </c>
      <c r="J119" s="47">
        <f>IFERROR(VLOOKUP(J$4,'D&amp;V'!$R$3:$Z$17,2,FALSE),"")</f>
        <v>752.71428571428567</v>
      </c>
      <c r="K119" s="47">
        <f>IFERROR(VLOOKUP(K$4,'D&amp;V'!$R$3:$Z$17,2,FALSE),"")</f>
        <v>928.71428571428567</v>
      </c>
      <c r="L119" s="47" t="str">
        <f>IFERROR(VLOOKUP(L$4,'D&amp;V'!$R$3:$Z$17,2,FALSE),"")</f>
        <v/>
      </c>
      <c r="M119" s="47" t="str">
        <f>IFERROR(VLOOKUP(M$4,'D&amp;V'!$R$3:$Z$17,2,FALSE),"")</f>
        <v/>
      </c>
      <c r="N119" s="47" t="str">
        <f>IFERROR(VLOOKUP(N$4,'D&amp;V'!$R$3:$Z$17,2,FALSE),"")</f>
        <v/>
      </c>
      <c r="O119" s="47" t="str">
        <f>IFERROR(VLOOKUP(O$4,'D&amp;V'!$R$3:$Z$17,2,FALSE),"")</f>
        <v/>
      </c>
      <c r="P119" s="47" t="str">
        <f>IFERROR(VLOOKUP(P$4,'D&amp;V'!$R$3:$Z$17,2,FALSE),"")</f>
        <v/>
      </c>
      <c r="Q119" s="47" t="str">
        <f>IFERROR(VLOOKUP(Q$4,'D&amp;V'!$R$3:$Z$17,2,FALSE),"")</f>
        <v/>
      </c>
      <c r="R119" s="61" t="str">
        <f>IFERROR(VLOOKUP(R$4,'D&amp;V'!$R$3:$Y$17,2,FALSE),"")</f>
        <v/>
      </c>
      <c r="AA119" s="137"/>
      <c r="AB119" s="137"/>
      <c r="AC119" s="137"/>
      <c r="AD119" s="137"/>
    </row>
    <row r="120" spans="2:30" x14ac:dyDescent="0.35">
      <c r="B120" s="136"/>
      <c r="C120" s="1" t="s">
        <v>21</v>
      </c>
      <c r="D120" s="129">
        <f>IFERROR(VLOOKUP(D$4,'D&amp;V'!$R$3:$Z$17,3,FALSE),"")</f>
        <v>38</v>
      </c>
      <c r="E120" s="129">
        <f>IFERROR(VLOOKUP(E$4,'D&amp;V'!$R$3:$Z$17,3,FALSE),"")</f>
        <v>37.857142857142854</v>
      </c>
      <c r="F120" s="129">
        <f>IFERROR(VLOOKUP(F$4,'D&amp;V'!$R$3:$Z$17,3,FALSE),"")</f>
        <v>44.857142857142854</v>
      </c>
      <c r="G120" s="129">
        <f>IFERROR(VLOOKUP(G$4,'D&amp;V'!$R$3:$Z$17,3,FALSE),"")</f>
        <v>71.571428571428569</v>
      </c>
      <c r="H120" s="129">
        <f>IFERROR(VLOOKUP(H$4,'D&amp;V'!$R$3:$Z$17,3,FALSE),"")</f>
        <v>58.714285714285715</v>
      </c>
      <c r="I120" s="129">
        <f>IFERROR(VLOOKUP(I$4,'D&amp;V'!$R$3:$Z$17,3,FALSE),"")</f>
        <v>28.857142857142858</v>
      </c>
      <c r="J120" s="129">
        <f>IFERROR(VLOOKUP(J$4,'D&amp;V'!$R$3:$Z$17,3,FALSE),"")</f>
        <v>36.285714285714285</v>
      </c>
      <c r="K120" s="129">
        <f>IFERROR(VLOOKUP(K$4,'D&amp;V'!$R$3:$Z$17,3,FALSE),"")</f>
        <v>52.285714285714285</v>
      </c>
      <c r="L120" s="129" t="str">
        <f>IFERROR(VLOOKUP(L$4,'D&amp;V'!$R$3:$Z$17,3,FALSE),"")</f>
        <v/>
      </c>
      <c r="M120" s="129" t="str">
        <f>IFERROR(VLOOKUP(M$4,'D&amp;V'!$R$3:$Z$17,3,FALSE),"")</f>
        <v/>
      </c>
      <c r="N120" s="129" t="str">
        <f>IFERROR(VLOOKUP(N$4,'D&amp;V'!$R$3:$Z$17,3,FALSE),"")</f>
        <v/>
      </c>
      <c r="O120" s="129" t="str">
        <f>IFERROR(VLOOKUP(O$4,'D&amp;V'!$R$3:$Z$17,3,FALSE),"")</f>
        <v/>
      </c>
      <c r="P120" s="129" t="str">
        <f>IFERROR(VLOOKUP(P$4,'D&amp;V'!$R$3:$Z$17,3,FALSE),"")</f>
        <v/>
      </c>
      <c r="Q120" s="129" t="str">
        <f>IFERROR(VLOOKUP(Q$4,'D&amp;V'!$R$3:$Z$17,3,FALSE),"")</f>
        <v/>
      </c>
      <c r="R120" s="62" t="str">
        <f>IFERROR(VLOOKUP(R$4,'D&amp;V'!$R$3:$Y$17,3,FALSE),"")</f>
        <v/>
      </c>
      <c r="AA120" s="12"/>
      <c r="AB120" s="12"/>
      <c r="AC120" s="12"/>
      <c r="AD120" s="12"/>
    </row>
    <row r="121" spans="2:30" x14ac:dyDescent="0.35">
      <c r="B121" s="136"/>
      <c r="C121" s="1" t="s">
        <v>22</v>
      </c>
      <c r="D121" s="129">
        <f>IFERROR(VLOOKUP(D$4,'D&amp;V'!$R$3:$Z$17,4,FALSE),"")</f>
        <v>253.28571428571428</v>
      </c>
      <c r="E121" s="129">
        <f>IFERROR(VLOOKUP(E$4,'D&amp;V'!$R$3:$Z$17,4,FALSE),"")</f>
        <v>233.71428571428572</v>
      </c>
      <c r="F121" s="129">
        <f>IFERROR(VLOOKUP(F$4,'D&amp;V'!$R$3:$Z$17,4,FALSE),"")</f>
        <v>158.28571428571428</v>
      </c>
      <c r="G121" s="129">
        <f>IFERROR(VLOOKUP(G$4,'D&amp;V'!$R$3:$Z$17,4,FALSE),"")</f>
        <v>187.14285714285714</v>
      </c>
      <c r="H121" s="129">
        <f>IFERROR(VLOOKUP(H$4,'D&amp;V'!$R$3:$Z$17,4,FALSE),"")</f>
        <v>94.571428571428569</v>
      </c>
      <c r="I121" s="129">
        <f>IFERROR(VLOOKUP(I$4,'D&amp;V'!$R$3:$Z$17,4,FALSE),"")</f>
        <v>66.285714285714292</v>
      </c>
      <c r="J121" s="129">
        <f>IFERROR(VLOOKUP(J$4,'D&amp;V'!$R$3:$Z$17,4,FALSE),"")</f>
        <v>145.85714285714286</v>
      </c>
      <c r="K121" s="129">
        <f>IFERROR(VLOOKUP(K$4,'D&amp;V'!$R$3:$Z$17,4,FALSE),"")</f>
        <v>292.57142857142856</v>
      </c>
      <c r="L121" s="129" t="str">
        <f>IFERROR(VLOOKUP(L$4,'D&amp;V'!$R$3:$Z$17,4,FALSE),"")</f>
        <v/>
      </c>
      <c r="M121" s="129" t="str">
        <f>IFERROR(VLOOKUP(M$4,'D&amp;V'!$R$3:$Z$17,4,FALSE),"")</f>
        <v/>
      </c>
      <c r="N121" s="129" t="str">
        <f>IFERROR(VLOOKUP(N$4,'D&amp;V'!$R$3:$Z$17,4,FALSE),"")</f>
        <v/>
      </c>
      <c r="O121" s="129" t="str">
        <f>IFERROR(VLOOKUP(O$4,'D&amp;V'!$R$3:$Z$17,4,FALSE),"")</f>
        <v/>
      </c>
      <c r="P121" s="129" t="str">
        <f>IFERROR(VLOOKUP(P$4,'D&amp;V'!$R$3:$Z$17,4,FALSE),"")</f>
        <v/>
      </c>
      <c r="Q121" s="129" t="str">
        <f>IFERROR(VLOOKUP(Q$4,'D&amp;V'!$R$3:$Z$17,4,FALSE),"")</f>
        <v/>
      </c>
      <c r="R121" s="62" t="str">
        <f>IFERROR(VLOOKUP(R$4,'D&amp;V'!$R$3:$Y$17,4,FALSE),"")</f>
        <v/>
      </c>
      <c r="AA121" s="142" t="s">
        <v>61</v>
      </c>
      <c r="AB121" s="142"/>
      <c r="AC121" s="142"/>
      <c r="AD121" s="142"/>
    </row>
    <row r="122" spans="2:30" x14ac:dyDescent="0.35">
      <c r="B122" s="136"/>
      <c r="C122" s="1" t="s">
        <v>24</v>
      </c>
      <c r="D122" s="129">
        <f>IFERROR(VLOOKUP(D$4,'D&amp;V'!$R$3:$Z$17,8,FALSE),"")</f>
        <v>33</v>
      </c>
      <c r="E122" s="129">
        <f>IFERROR(VLOOKUP(E$4,'D&amp;V'!$R$3:$Z$17,8,FALSE),"")</f>
        <v>80.714285714285708</v>
      </c>
      <c r="F122" s="129">
        <f>IFERROR(VLOOKUP(F$4,'D&amp;V'!$R$3:$Z$17,8,FALSE),"")</f>
        <v>30.714285714285715</v>
      </c>
      <c r="G122" s="129">
        <f>IFERROR(VLOOKUP(G$4,'D&amp;V'!$R$3:$Z$17,8,FALSE),"")</f>
        <v>25</v>
      </c>
      <c r="H122" s="129">
        <f>IFERROR(VLOOKUP(H$4,'D&amp;V'!$R$3:$Z$17,8,FALSE),"")</f>
        <v>37</v>
      </c>
      <c r="I122" s="129">
        <f>IFERROR(VLOOKUP(I$4,'D&amp;V'!$R$3:$Z$17,8,FALSE),"")</f>
        <v>37.571428571428569</v>
      </c>
      <c r="J122" s="129">
        <f>IFERROR(VLOOKUP(J$4,'D&amp;V'!$R$3:$Z$17,8,FALSE),"")</f>
        <v>41.857142857142854</v>
      </c>
      <c r="K122" s="129">
        <f>IFERROR(VLOOKUP(K$4,'D&amp;V'!$R$3:$Z$17,8,FALSE),"")</f>
        <v>12.571428571428571</v>
      </c>
      <c r="L122" s="129" t="str">
        <f>IFERROR(VLOOKUP(L$4,'D&amp;V'!$R$3:$Z$17,8,FALSE),"")</f>
        <v/>
      </c>
      <c r="M122" s="129" t="str">
        <f>IFERROR(VLOOKUP(M$4,'D&amp;V'!$R$3:$Z$17,8,FALSE),"")</f>
        <v/>
      </c>
      <c r="N122" s="129" t="str">
        <f>IFERROR(VLOOKUP(N$4,'D&amp;V'!$R$3:$Z$17,8,FALSE),"")</f>
        <v/>
      </c>
      <c r="O122" s="129" t="str">
        <f>IFERROR(VLOOKUP(O$4,'D&amp;V'!$R$3:$Z$17,8,FALSE),"")</f>
        <v/>
      </c>
      <c r="P122" s="129" t="str">
        <f>IFERROR(VLOOKUP(P$4,'D&amp;V'!$R$3:$Z$17,8,FALSE),"")</f>
        <v/>
      </c>
      <c r="Q122" s="129" t="str">
        <f>IFERROR(VLOOKUP(Q$4,'D&amp;V'!$R$3:$Z$17,8,FALSE),"")</f>
        <v/>
      </c>
      <c r="R122" s="62"/>
      <c r="AA122" s="142"/>
      <c r="AB122" s="142"/>
      <c r="AC122" s="142"/>
      <c r="AD122" s="142"/>
    </row>
    <row r="123" spans="2:30" x14ac:dyDescent="0.35">
      <c r="B123" s="136"/>
      <c r="C123" s="1" t="s">
        <v>25</v>
      </c>
      <c r="D123" s="129">
        <f>IFERROR(VLOOKUP(D$4,'D&amp;V'!$R$3:$Z$17,5,FALSE),"")</f>
        <v>194</v>
      </c>
      <c r="E123" s="129">
        <f>IFERROR(VLOOKUP(E$4,'D&amp;V'!$R$3:$Z$17,5,FALSE),"")</f>
        <v>282.42857142857144</v>
      </c>
      <c r="F123" s="129">
        <f>IFERROR(VLOOKUP(F$4,'D&amp;V'!$R$3:$Z$17,5,FALSE),"")</f>
        <v>352.28571428571428</v>
      </c>
      <c r="G123" s="129">
        <f>IFERROR(VLOOKUP(G$4,'D&amp;V'!$R$3:$Z$17,5,FALSE),"")</f>
        <v>213.85714285714286</v>
      </c>
      <c r="H123" s="129">
        <f>IFERROR(VLOOKUP(H$4,'D&amp;V'!$R$3:$Z$17,5,FALSE),"")</f>
        <v>168.85714285714286</v>
      </c>
      <c r="I123" s="129">
        <f>IFERROR(VLOOKUP(I$4,'D&amp;V'!$R$3:$Z$17,5,FALSE),"")</f>
        <v>235.71428571428572</v>
      </c>
      <c r="J123" s="129">
        <f>IFERROR(VLOOKUP(J$4,'D&amp;V'!$R$3:$Z$17,5,FALSE),"")</f>
        <v>243</v>
      </c>
      <c r="K123" s="129">
        <f>IFERROR(VLOOKUP(K$4,'D&amp;V'!$R$3:$Z$17,5,FALSE),"")</f>
        <v>239.28571428571428</v>
      </c>
      <c r="L123" s="129" t="str">
        <f>IFERROR(VLOOKUP(L$4,'D&amp;V'!$R$3:$Z$17,5,FALSE),"")</f>
        <v/>
      </c>
      <c r="M123" s="129" t="str">
        <f>IFERROR(VLOOKUP(M$4,'D&amp;V'!$R$3:$Z$17,5,FALSE),"")</f>
        <v/>
      </c>
      <c r="N123" s="129" t="str">
        <f>IFERROR(VLOOKUP(N$4,'D&amp;V'!$R$3:$Z$17,5,FALSE),"")</f>
        <v/>
      </c>
      <c r="O123" s="129" t="str">
        <f>IFERROR(VLOOKUP(O$4,'D&amp;V'!$R$3:$Z$17,5,FALSE),"")</f>
        <v/>
      </c>
      <c r="P123" s="129" t="str">
        <f>IFERROR(VLOOKUP(P$4,'D&amp;V'!$R$3:$Z$17,5,FALSE),"")</f>
        <v/>
      </c>
      <c r="Q123" s="129" t="str">
        <f>IFERROR(VLOOKUP(Q$4,'D&amp;V'!$R$3:$Z$17,5,FALSE),"")</f>
        <v/>
      </c>
      <c r="R123" s="62"/>
      <c r="AA123" s="142"/>
      <c r="AB123" s="142"/>
      <c r="AC123" s="142"/>
      <c r="AD123" s="142"/>
    </row>
    <row r="124" spans="2:30" x14ac:dyDescent="0.35">
      <c r="B124" s="136"/>
      <c r="C124" s="1" t="s">
        <v>37</v>
      </c>
      <c r="D124" s="129">
        <f>IFERROR(VLOOKUP(D$4,'D&amp;V'!$R$3:$Z$17,9,FALSE),"")</f>
        <v>165</v>
      </c>
      <c r="E124" s="129">
        <f>IFERROR(VLOOKUP(E$4,'D&amp;V'!$R$3:$Z$17,9,FALSE),"")</f>
        <v>197.85714285714286</v>
      </c>
      <c r="F124" s="129">
        <f>IFERROR(VLOOKUP(F$4,'D&amp;V'!$R$3:$Z$17,9,FALSE),"")</f>
        <v>64.857142857142861</v>
      </c>
      <c r="G124" s="129">
        <f>IFERROR(VLOOKUP(G$4,'D&amp;V'!$R$3:$Z$17,9,FALSE),"")</f>
        <v>109</v>
      </c>
      <c r="H124" s="129">
        <f>IFERROR(VLOOKUP(H$4,'D&amp;V'!$R$3:$Z$17,9,FALSE),"")</f>
        <v>146.85714285714286</v>
      </c>
      <c r="I124" s="129">
        <f>IFERROR(VLOOKUP(I$4,'D&amp;V'!$R$3:$Z$17,9,FALSE),"")</f>
        <v>162.42857142857142</v>
      </c>
      <c r="J124" s="129">
        <f>IFERROR(VLOOKUP(J$4,'D&amp;V'!$R$3:$Z$17,9,FALSE),"")</f>
        <v>114.14285714285714</v>
      </c>
      <c r="K124" s="129">
        <f>IFERROR(VLOOKUP(K$4,'D&amp;V'!$R$3:$Z$17,9,FALSE),"")</f>
        <v>95</v>
      </c>
      <c r="L124" s="129" t="str">
        <f>IFERROR(VLOOKUP(L$4,'D&amp;V'!$R$3:$Z$17,9,FALSE),"")</f>
        <v/>
      </c>
      <c r="M124" s="129" t="str">
        <f>IFERROR(VLOOKUP(M$4,'D&amp;V'!$R$3:$Z$17,9,FALSE),"")</f>
        <v/>
      </c>
      <c r="N124" s="129" t="str">
        <f>IFERROR(VLOOKUP(N$4,'D&amp;V'!$R$3:$Z$17,9,FALSE),"")</f>
        <v/>
      </c>
      <c r="O124" s="129" t="str">
        <f>IFERROR(VLOOKUP(O$4,'D&amp;V'!$R$3:$Z$17,9,FALSE),"")</f>
        <v/>
      </c>
      <c r="P124" s="129" t="str">
        <f>IFERROR(VLOOKUP(P$4,'D&amp;V'!$R$3:$Z$17,9,FALSE),"")</f>
        <v/>
      </c>
      <c r="Q124" s="129" t="str">
        <f>IFERROR(VLOOKUP(Q$4,'D&amp;V'!$R$3:$Z$17,9,FALSE),"")</f>
        <v/>
      </c>
      <c r="R124" s="62" t="str">
        <f>IFERROR(VLOOKUP(R$4,'D&amp;V'!$R$3:$Y$17,5,FALSE),"")</f>
        <v/>
      </c>
      <c r="AA124" s="142"/>
      <c r="AB124" s="142"/>
      <c r="AC124" s="142"/>
      <c r="AD124" s="142"/>
    </row>
    <row r="125" spans="2:30" x14ac:dyDescent="0.35">
      <c r="B125" s="136"/>
      <c r="C125" s="1" t="s">
        <v>27</v>
      </c>
      <c r="D125" s="129">
        <f>IFERROR(VLOOKUP(D$4,'D&amp;V'!$R$3:$Z$17,6,FALSE),"")</f>
        <v>183.57142857142858</v>
      </c>
      <c r="E125" s="129">
        <f>IFERROR(VLOOKUP(E$4,'D&amp;V'!$R$3:$Z$17,6,FALSE),"")</f>
        <v>148.42857142857142</v>
      </c>
      <c r="F125" s="129">
        <f>IFERROR(VLOOKUP(F$4,'D&amp;V'!$R$3:$Z$17,6,FALSE),"")</f>
        <v>143.42857142857142</v>
      </c>
      <c r="G125" s="129">
        <f>IFERROR(VLOOKUP(G$4,'D&amp;V'!$R$3:$Z$17,6,FALSE),"")</f>
        <v>103.71428571428571</v>
      </c>
      <c r="H125" s="129">
        <f>IFERROR(VLOOKUP(H$4,'D&amp;V'!$R$3:$Z$17,6,FALSE),"")</f>
        <v>61.142857142857146</v>
      </c>
      <c r="I125" s="129">
        <f>IFERROR(VLOOKUP(I$4,'D&amp;V'!$R$3:$Z$17,6,FALSE),"")</f>
        <v>118.14285714285714</v>
      </c>
      <c r="J125" s="129">
        <f>IFERROR(VLOOKUP(J$4,'D&amp;V'!$R$3:$Z$17,6,FALSE),"")</f>
        <v>103.14285714285714</v>
      </c>
      <c r="K125" s="129">
        <f>IFERROR(VLOOKUP(K$4,'D&amp;V'!$R$3:$Z$17,6,FALSE),"")</f>
        <v>114</v>
      </c>
      <c r="L125" s="129" t="str">
        <f>IFERROR(VLOOKUP(L$4,'D&amp;V'!$R$3:$Z$17,6,FALSE),"")</f>
        <v/>
      </c>
      <c r="M125" s="129" t="str">
        <f>IFERROR(VLOOKUP(M$4,'D&amp;V'!$R$3:$Z$17,6,FALSE),"")</f>
        <v/>
      </c>
      <c r="N125" s="129" t="str">
        <f>IFERROR(VLOOKUP(N$4,'D&amp;V'!$R$3:$Z$17,6,FALSE),"")</f>
        <v/>
      </c>
      <c r="O125" s="129" t="str">
        <f>IFERROR(VLOOKUP(O$4,'D&amp;V'!$R$3:$Z$17,6,FALSE),"")</f>
        <v/>
      </c>
      <c r="P125" s="129" t="str">
        <f>IFERROR(VLOOKUP(P$4,'D&amp;V'!$R$3:$Z$17,6,FALSE),"")</f>
        <v/>
      </c>
      <c r="Q125" s="129" t="str">
        <f>IFERROR(VLOOKUP(Q$4,'D&amp;V'!$R$3:$Z$17,6,FALSE),"")</f>
        <v/>
      </c>
      <c r="R125" s="62" t="str">
        <f>IFERROR(VLOOKUP(R$4,'D&amp;V'!$R$3:$Y$17,6,FALSE),"")</f>
        <v/>
      </c>
      <c r="AA125" s="142"/>
      <c r="AB125" s="142"/>
      <c r="AC125" s="142"/>
      <c r="AD125" s="142"/>
    </row>
    <row r="126" spans="2:30" x14ac:dyDescent="0.35">
      <c r="B126" s="136"/>
      <c r="C126" s="1" t="s">
        <v>62</v>
      </c>
      <c r="D126" s="129">
        <f>IFERROR(VLOOKUP(D$4,'D&amp;V'!$R$3:$Z$17,7,FALSE),"")</f>
        <v>41.571428571428569</v>
      </c>
      <c r="E126" s="129">
        <f>IFERROR(VLOOKUP(E$4,'D&amp;V'!$R$3:$Z$17,7,FALSE),"")</f>
        <v>36.714285714285715</v>
      </c>
      <c r="F126" s="129">
        <f>IFERROR(VLOOKUP(F$4,'D&amp;V'!$R$3:$Z$17,7,FALSE),"")</f>
        <v>63.428571428571431</v>
      </c>
      <c r="G126" s="129">
        <f>IFERROR(VLOOKUP(G$4,'D&amp;V'!$R$3:$Z$17,7,FALSE),"")</f>
        <v>169.85714285714286</v>
      </c>
      <c r="H126" s="129">
        <f>IFERROR(VLOOKUP(H$4,'D&amp;V'!$R$3:$Z$17,7,FALSE),"")</f>
        <v>102.42857142857143</v>
      </c>
      <c r="I126" s="129">
        <f>IFERROR(VLOOKUP(I$4,'D&amp;V'!$R$3:$Z$17,7,FALSE),"")</f>
        <v>95.714285714285708</v>
      </c>
      <c r="J126" s="129">
        <f>IFERROR(VLOOKUP(J$4,'D&amp;V'!$R$3:$Z$17,7,FALSE),"")</f>
        <v>68.428571428571431</v>
      </c>
      <c r="K126" s="129">
        <f>IFERROR(VLOOKUP(K$4,'D&amp;V'!$R$3:$Z$17,7,FALSE),"")</f>
        <v>123</v>
      </c>
      <c r="L126" s="129" t="str">
        <f>IFERROR(VLOOKUP(L$4,'D&amp;V'!$R$3:$Z$17,7,FALSE),"")</f>
        <v/>
      </c>
      <c r="M126" s="129" t="str">
        <f>IFERROR(VLOOKUP(M$4,'D&amp;V'!$R$3:$Z$17,7,FALSE),"")</f>
        <v/>
      </c>
      <c r="N126" s="129" t="str">
        <f>IFERROR(VLOOKUP(N$4,'D&amp;V'!$R$3:$Z$17,7,FALSE),"")</f>
        <v/>
      </c>
      <c r="O126" s="129" t="str">
        <f>IFERROR(VLOOKUP(O$4,'D&amp;V'!$R$3:$Z$17,7,FALSE),"")</f>
        <v/>
      </c>
      <c r="P126" s="129" t="str">
        <f>IFERROR(VLOOKUP(P$4,'D&amp;V'!$R$3:$Z$17,7,FALSE),"")</f>
        <v/>
      </c>
      <c r="Q126" s="129" t="str">
        <f>IFERROR(VLOOKUP(Q$4,'D&amp;V'!$R$3:$Z$17,7,FALSE),"")</f>
        <v/>
      </c>
      <c r="R126" s="62" t="str">
        <f>IFERROR(VLOOKUP(R$4,'D&amp;V'!$R$3:$Y$17,7,FALSE),"")</f>
        <v/>
      </c>
      <c r="AA126" s="142"/>
      <c r="AB126" s="142"/>
      <c r="AC126" s="142"/>
      <c r="AD126" s="142"/>
    </row>
    <row r="127" spans="2:30" ht="7.5" customHeight="1" x14ac:dyDescent="0.35">
      <c r="B127" s="136"/>
      <c r="AA127" s="142"/>
      <c r="AB127" s="142"/>
      <c r="AC127" s="142"/>
      <c r="AD127" s="142"/>
    </row>
    <row r="128" spans="2:30" x14ac:dyDescent="0.35">
      <c r="B128" s="136"/>
      <c r="C128" s="1" t="s">
        <v>63</v>
      </c>
      <c r="D128" s="46">
        <f>HLOOKUP(D4,'D&amp;V'!AC147:AP148,2,FALSE)</f>
        <v>49</v>
      </c>
      <c r="E128" s="46">
        <f>HLOOKUP(E4,'D&amp;V'!AD147:AQ148,2,FALSE)</f>
        <v>56</v>
      </c>
      <c r="F128" s="46">
        <f>HLOOKUP(F4,'D&amp;V'!AE147:AQ148,2,FALSE)</f>
        <v>57</v>
      </c>
      <c r="G128" s="46">
        <f>HLOOKUP(G4,'D&amp;V'!AF147:AQ148,2,FALSE)</f>
        <v>56</v>
      </c>
      <c r="H128" s="46">
        <f>HLOOKUP(H4,'D&amp;V'!AG147:AQ148,2,FALSE)</f>
        <v>51</v>
      </c>
      <c r="I128" s="46">
        <f>HLOOKUP(I4,'D&amp;V'!AH147:AQ148,2,FALSE)</f>
        <v>54</v>
      </c>
      <c r="J128" s="46">
        <f>HLOOKUP(J4,'D&amp;V'!AI147:AR148,2,FALSE)</f>
        <v>56</v>
      </c>
      <c r="K128" s="46">
        <f>HLOOKUP(K4,'D&amp;V'!AJ147:AS148,2,FALSE)</f>
        <v>57</v>
      </c>
      <c r="L128" s="46" t="str">
        <f>HLOOKUP(L4,'D&amp;V'!AK147:AT148,2,FALSE)</f>
        <v/>
      </c>
      <c r="M128" s="46" t="str">
        <f>HLOOKUP(M4,'D&amp;V'!AL147:AU148,2,FALSE)</f>
        <v/>
      </c>
      <c r="N128" s="46" t="str">
        <f>HLOOKUP(N4,'D&amp;V'!AM147:AV148,2,FALSE)</f>
        <v/>
      </c>
      <c r="O128" s="46" t="str">
        <f>HLOOKUP(O4,'D&amp;V'!AN147:AW148,2,FALSE)</f>
        <v/>
      </c>
      <c r="P128" s="46" t="str">
        <f>HLOOKUP(P4,'D&amp;V'!AO147:AW148,2,FALSE)</f>
        <v/>
      </c>
      <c r="Q128" s="46" t="str">
        <f>HLOOKUP(Q4,'D&amp;V'!AP147:AX148,2,FALSE)</f>
        <v/>
      </c>
      <c r="R128" s="69"/>
      <c r="AA128" s="142"/>
      <c r="AB128" s="142"/>
      <c r="AC128" s="142"/>
      <c r="AD128" s="142"/>
    </row>
    <row r="129" spans="2:30" ht="7.5" customHeight="1" x14ac:dyDescent="0.35">
      <c r="B129" s="136"/>
      <c r="C129" s="1"/>
      <c r="R129" s="60"/>
      <c r="AA129" s="142"/>
      <c r="AB129" s="142"/>
      <c r="AC129" s="142"/>
      <c r="AD129" s="142"/>
    </row>
    <row r="130" spans="2:30" x14ac:dyDescent="0.35">
      <c r="B130" s="136"/>
      <c r="C130" s="1" t="s">
        <v>64</v>
      </c>
      <c r="D130" s="139" t="s">
        <v>18</v>
      </c>
      <c r="E130" s="140"/>
      <c r="F130" s="141"/>
      <c r="G130" s="147" t="s">
        <v>65</v>
      </c>
      <c r="H130" s="147"/>
      <c r="I130" s="147"/>
      <c r="J130" s="147"/>
      <c r="K130" s="148" t="s">
        <v>20</v>
      </c>
      <c r="L130" s="148"/>
      <c r="M130" s="148"/>
      <c r="N130" s="143" t="str">
        <f>TEXT('D&amp;V'!AV6,"0,0")&amp;" ("&amp;TEXT('D&amp;V'!AV8,"dd-mmm")&amp;")"</f>
        <v>1,169 (02-Dec)</v>
      </c>
      <c r="O130" s="143"/>
      <c r="P130" s="143"/>
      <c r="Q130" s="143"/>
      <c r="R130" s="70"/>
      <c r="AA130" s="142"/>
      <c r="AB130" s="142"/>
      <c r="AC130" s="142"/>
      <c r="AD130" s="142"/>
    </row>
    <row r="131" spans="2:30" ht="7.5" customHeight="1" x14ac:dyDescent="0.35">
      <c r="B131" s="136"/>
      <c r="AA131" s="142"/>
      <c r="AB131" s="142"/>
      <c r="AC131" s="142"/>
      <c r="AD131" s="142"/>
    </row>
    <row r="132" spans="2:30" ht="15" customHeight="1" x14ac:dyDescent="0.35">
      <c r="B132" s="136"/>
      <c r="C132" s="9" t="s">
        <v>66</v>
      </c>
      <c r="D132" s="83">
        <v>56.571428571428569</v>
      </c>
      <c r="E132" s="83">
        <v>70.571428571428569</v>
      </c>
      <c r="F132" s="83">
        <v>65.142857142857139</v>
      </c>
      <c r="G132" s="83">
        <v>55.428571428571431</v>
      </c>
      <c r="H132" s="83">
        <v>53.428571428571431</v>
      </c>
      <c r="I132" s="83">
        <v>77.428571428571431</v>
      </c>
      <c r="J132" s="83">
        <v>73.142857142857139</v>
      </c>
      <c r="K132" s="83">
        <v>100.14285714285714</v>
      </c>
      <c r="L132" s="83">
        <v>100.71428571428571</v>
      </c>
      <c r="M132" s="83">
        <v>165.28571428571428</v>
      </c>
      <c r="N132" s="83">
        <v>186.85714285714286</v>
      </c>
      <c r="O132" s="83">
        <v>191.42857142857142</v>
      </c>
      <c r="P132" s="83">
        <v>160.57142857142858</v>
      </c>
      <c r="Q132" s="83">
        <v>151.71428571428572</v>
      </c>
      <c r="AA132" s="142"/>
      <c r="AB132" s="142"/>
      <c r="AC132" s="142"/>
      <c r="AD132" s="142"/>
    </row>
    <row r="133" spans="2:30" x14ac:dyDescent="0.35">
      <c r="B133" s="136"/>
      <c r="C133" s="1" t="s">
        <v>18</v>
      </c>
      <c r="D133" s="90">
        <v>92.285714285714292</v>
      </c>
      <c r="E133" s="90">
        <v>114.71428571428571</v>
      </c>
      <c r="F133" s="90">
        <v>126</v>
      </c>
      <c r="G133" s="90">
        <v>129.14285714285714</v>
      </c>
      <c r="H133" s="90">
        <v>108.71428571428571</v>
      </c>
      <c r="I133" s="90">
        <v>115.71428571428571</v>
      </c>
      <c r="J133" s="90">
        <v>134</v>
      </c>
      <c r="K133" s="90">
        <v>111</v>
      </c>
      <c r="L133" s="90">
        <v>109.85714285714286</v>
      </c>
      <c r="M133" s="90">
        <v>116.85714285714286</v>
      </c>
      <c r="N133" s="90">
        <v>124.14285714285714</v>
      </c>
      <c r="O133" s="90">
        <v>98.142857142857139</v>
      </c>
      <c r="P133" s="90">
        <v>104.71428571428571</v>
      </c>
      <c r="Q133" s="90">
        <v>107.57142857142857</v>
      </c>
      <c r="AA133" s="142"/>
      <c r="AB133" s="142"/>
      <c r="AC133" s="142"/>
      <c r="AD133" s="142"/>
    </row>
    <row r="134" spans="2:30" ht="7.5" customHeight="1" x14ac:dyDescent="0.35">
      <c r="B134" s="136"/>
      <c r="C134" s="1"/>
      <c r="AA134" s="142"/>
      <c r="AB134" s="142"/>
      <c r="AC134" s="142"/>
      <c r="AD134" s="142"/>
    </row>
    <row r="135" spans="2:30" x14ac:dyDescent="0.35">
      <c r="B135" s="136"/>
      <c r="C135" s="13" t="s">
        <v>20</v>
      </c>
      <c r="D135" s="49">
        <f>IFERROR(VLOOKUP(D$4,'D&amp;V'!$BO$5:$BW$19,2,FALSE),"")</f>
        <v>152</v>
      </c>
      <c r="E135" s="49">
        <f>IFERROR(VLOOKUP(E$4,'D&amp;V'!$BO$5:$BW$19,2,FALSE),"")</f>
        <v>181.14285714285714</v>
      </c>
      <c r="F135" s="49">
        <f>IFERROR(VLOOKUP(F$4,'D&amp;V'!$BO$5:$BW$19,2,FALSE),"")</f>
        <v>146.85714285714286</v>
      </c>
      <c r="G135" s="49">
        <f>IFERROR(VLOOKUP(G$4,'D&amp;V'!$BO$5:$BW$19,2,FALSE),"")</f>
        <v>156.85714285714286</v>
      </c>
      <c r="H135" s="49">
        <f>IFERROR(VLOOKUP(H$4,'D&amp;V'!$BO$5:$BW$19,2,FALSE),"")</f>
        <v>141.42857142857142</v>
      </c>
      <c r="I135" s="49">
        <f>IFERROR(VLOOKUP(I$4,'D&amp;V'!$BO$5:$BW$19,2,FALSE),"")</f>
        <v>208.28571428571428</v>
      </c>
      <c r="J135" s="49">
        <f>IFERROR(VLOOKUP(J$4,'D&amp;V'!$BO$5:$BW$19,2,FALSE),"")</f>
        <v>102.71428571428571</v>
      </c>
      <c r="K135" s="49">
        <f>IFERROR(VLOOKUP(K$4,'D&amp;V'!$BO$5:$BW$19,2,FALSE),"")</f>
        <v>145.14285714285714</v>
      </c>
      <c r="L135" s="49" t="str">
        <f>IFERROR(VLOOKUP(L$4,'D&amp;V'!$BO$5:$BW$19,2,FALSE),"")</f>
        <v/>
      </c>
      <c r="M135" s="49" t="str">
        <f>IFERROR(VLOOKUP(M$4,'D&amp;V'!$BO$5:$BW$19,2,FALSE),"")</f>
        <v/>
      </c>
      <c r="N135" s="49" t="str">
        <f>IFERROR(VLOOKUP(N$4,'D&amp;V'!$BO$5:$BW$19,2,FALSE),"")</f>
        <v/>
      </c>
      <c r="O135" s="49" t="str">
        <f>IFERROR(VLOOKUP(O$4,'D&amp;V'!$BO$5:$BW$19,2,FALSE),"")</f>
        <v/>
      </c>
      <c r="P135" s="49" t="str">
        <f>IFERROR(VLOOKUP(P$4,'D&amp;V'!$BO$5:$BW$19,2,FALSE),"")</f>
        <v/>
      </c>
      <c r="Q135" s="49" t="str">
        <f>IFERROR(VLOOKUP(Q$4,'D&amp;V'!$BO$5:$BW$19,2,FALSE),"")</f>
        <v/>
      </c>
      <c r="R135" s="66" t="str">
        <f>IFERROR(VLOOKUP(R$4,'D&amp;V'!$BO$5:$BV$19,2,FALSE),"")</f>
        <v/>
      </c>
      <c r="AA135" s="142"/>
      <c r="AB135" s="142"/>
      <c r="AC135" s="142"/>
      <c r="AD135" s="142"/>
    </row>
    <row r="136" spans="2:30" x14ac:dyDescent="0.35">
      <c r="B136" s="136"/>
      <c r="C136" s="1" t="s">
        <v>21</v>
      </c>
      <c r="D136" s="132">
        <f>IFERROR(VLOOKUP(D$4,'D&amp;V'!$BO$5:$BW$19,3,FALSE),"")</f>
        <v>8.5714285714285712</v>
      </c>
      <c r="E136" s="132">
        <f>IFERROR(VLOOKUP(E$4,'D&amp;V'!$BO$5:$BW$19,3,FALSE),"")</f>
        <v>5.8571428571428568</v>
      </c>
      <c r="F136" s="132">
        <f>IFERROR(VLOOKUP(F$4,'D&amp;V'!$BO$5:$BW$19,3,FALSE),"")</f>
        <v>14.857142857142858</v>
      </c>
      <c r="G136" s="132">
        <f>IFERROR(VLOOKUP(G$4,'D&amp;V'!$BO$5:$BW$19,3,FALSE),"")</f>
        <v>14.285714285714286</v>
      </c>
      <c r="H136" s="132">
        <f>IFERROR(VLOOKUP(H$4,'D&amp;V'!$BO$5:$BW$19,3,FALSE),"")</f>
        <v>18.285714285714285</v>
      </c>
      <c r="I136" s="132">
        <f>IFERROR(VLOOKUP(I$4,'D&amp;V'!$BO$5:$BW$19,3,FALSE),"")</f>
        <v>10</v>
      </c>
      <c r="J136" s="132">
        <f>IFERROR(VLOOKUP(J$4,'D&amp;V'!$BO$5:$BW$19,3,FALSE),"")</f>
        <v>8.1428571428571423</v>
      </c>
      <c r="K136" s="132">
        <f>IFERROR(VLOOKUP(K$4,'D&amp;V'!$BO$5:$BW$19,3,FALSE),"")</f>
        <v>9.5714285714285712</v>
      </c>
      <c r="L136" s="132" t="str">
        <f>IFERROR(VLOOKUP(L$4,'D&amp;V'!$BO$5:$BW$19,3,FALSE),"")</f>
        <v/>
      </c>
      <c r="M136" s="132" t="str">
        <f>IFERROR(VLOOKUP(M$4,'D&amp;V'!$BO$5:$BW$19,3,FALSE),"")</f>
        <v/>
      </c>
      <c r="N136" s="132" t="str">
        <f>IFERROR(VLOOKUP(N$4,'D&amp;V'!$BO$5:$BW$19,3,FALSE),"")</f>
        <v/>
      </c>
      <c r="O136" s="132" t="str">
        <f>IFERROR(VLOOKUP(O$4,'D&amp;V'!$BO$5:$BW$19,3,FALSE),"")</f>
        <v/>
      </c>
      <c r="P136" s="132" t="str">
        <f>IFERROR(VLOOKUP(P$4,'D&amp;V'!$BO$5:$BW$19,3,FALSE),"")</f>
        <v/>
      </c>
      <c r="Q136" s="132" t="str">
        <f>IFERROR(VLOOKUP(Q$4,'D&amp;V'!$BO$5:$BW$19,3,FALSE),"")</f>
        <v/>
      </c>
      <c r="R136" s="71" t="str">
        <f>IFERROR(VLOOKUP(R$4,'D&amp;V'!$BO$5:$BV$19,3,FALSE),"")</f>
        <v/>
      </c>
      <c r="AA136" s="142"/>
      <c r="AB136" s="142"/>
      <c r="AC136" s="142"/>
      <c r="AD136" s="142"/>
    </row>
    <row r="137" spans="2:30" x14ac:dyDescent="0.35">
      <c r="B137" s="136"/>
      <c r="C137" s="1" t="s">
        <v>22</v>
      </c>
      <c r="D137" s="132">
        <f>IFERROR(VLOOKUP(D$4,'D&amp;V'!$BO$5:$BW$19,4,FALSE),"")</f>
        <v>39.571428571428569</v>
      </c>
      <c r="E137" s="132">
        <f>IFERROR(VLOOKUP(E$4,'D&amp;V'!$BO$5:$BW$19,4,FALSE),"")</f>
        <v>45.428571428571431</v>
      </c>
      <c r="F137" s="132">
        <f>IFERROR(VLOOKUP(F$4,'D&amp;V'!$BO$5:$BW$19,4,FALSE),"")</f>
        <v>29.857142857142858</v>
      </c>
      <c r="G137" s="132">
        <f>IFERROR(VLOOKUP(G$4,'D&amp;V'!$BO$5:$BW$19,4,FALSE),"")</f>
        <v>34.285714285714285</v>
      </c>
      <c r="H137" s="132">
        <f>IFERROR(VLOOKUP(H$4,'D&amp;V'!$BO$5:$BW$19,4,FALSE),"")</f>
        <v>27.857142857142858</v>
      </c>
      <c r="I137" s="132">
        <f>IFERROR(VLOOKUP(I$4,'D&amp;V'!$BO$5:$BW$19,4,FALSE),"")</f>
        <v>18</v>
      </c>
      <c r="J137" s="132">
        <f>IFERROR(VLOOKUP(J$4,'D&amp;V'!$BO$5:$BW$19,4,FALSE),"")</f>
        <v>13.428571428571429</v>
      </c>
      <c r="K137" s="132">
        <f>IFERROR(VLOOKUP(K$4,'D&amp;V'!$BO$5:$BW$19,4,FALSE),"")</f>
        <v>43.714285714285715</v>
      </c>
      <c r="L137" s="132" t="str">
        <f>IFERROR(VLOOKUP(L$4,'D&amp;V'!$BO$5:$BW$19,4,FALSE),"")</f>
        <v/>
      </c>
      <c r="M137" s="132" t="str">
        <f>IFERROR(VLOOKUP(M$4,'D&amp;V'!$BO$5:$BW$19,4,FALSE),"")</f>
        <v/>
      </c>
      <c r="N137" s="132" t="str">
        <f>IFERROR(VLOOKUP(N$4,'D&amp;V'!$BO$5:$BW$19,4,FALSE),"")</f>
        <v/>
      </c>
      <c r="O137" s="132" t="str">
        <f>IFERROR(VLOOKUP(O$4,'D&amp;V'!$BO$5:$BW$19,4,FALSE),"")</f>
        <v/>
      </c>
      <c r="P137" s="132" t="str">
        <f>IFERROR(VLOOKUP(P$4,'D&amp;V'!$BO$5:$BW$19,4,FALSE),"")</f>
        <v/>
      </c>
      <c r="Q137" s="132" t="str">
        <f>IFERROR(VLOOKUP(Q$4,'D&amp;V'!$BO$5:$BW$19,4,FALSE),"")</f>
        <v/>
      </c>
      <c r="R137" s="71" t="str">
        <f>IFERROR(VLOOKUP(R$4,'D&amp;V'!$BO$5:$BV$19,4,FALSE),"")</f>
        <v/>
      </c>
      <c r="AA137" s="142"/>
      <c r="AB137" s="142"/>
      <c r="AC137" s="142"/>
      <c r="AD137" s="142"/>
    </row>
    <row r="138" spans="2:30" x14ac:dyDescent="0.35">
      <c r="B138" s="136"/>
      <c r="C138" s="1" t="s">
        <v>24</v>
      </c>
      <c r="D138" s="132">
        <f>IFERROR(VLOOKUP(D$4,'D&amp;V'!$BO$5:$BW$19,8,FALSE),"")</f>
        <v>13.142857142857142</v>
      </c>
      <c r="E138" s="132">
        <f>IFERROR(VLOOKUP(E$4,'D&amp;V'!$BO$5:$BW$19,8,FALSE),"")</f>
        <v>22.285714285714285</v>
      </c>
      <c r="F138" s="132">
        <f>IFERROR(VLOOKUP(F$4,'D&amp;V'!$BO$5:$BW$19,8,FALSE),"")</f>
        <v>8.2857142857142865</v>
      </c>
      <c r="G138" s="132">
        <f>IFERROR(VLOOKUP(G$4,'D&amp;V'!$BO$5:$BW$19,8,FALSE),"")</f>
        <v>6.1428571428571432</v>
      </c>
      <c r="H138" s="132">
        <f>IFERROR(VLOOKUP(H$4,'D&amp;V'!$BO$5:$BW$19,8,FALSE),"")</f>
        <v>5.2857142857142856</v>
      </c>
      <c r="I138" s="132">
        <f>IFERROR(VLOOKUP(I$4,'D&amp;V'!$BO$5:$BW$19,8,FALSE),"")</f>
        <v>12.285714285714286</v>
      </c>
      <c r="J138" s="132">
        <f>IFERROR(VLOOKUP(J$4,'D&amp;V'!$BO$5:$BW$19,8,FALSE),"")</f>
        <v>7.1428571428571432</v>
      </c>
      <c r="K138" s="132">
        <f>IFERROR(VLOOKUP(K$4,'D&amp;V'!$BO$5:$BW$19,8,FALSE),"")</f>
        <v>3.7142857142857144</v>
      </c>
      <c r="L138" s="132" t="str">
        <f>IFERROR(VLOOKUP(L$4,'D&amp;V'!$BO$5:$BW$19,8,FALSE),"")</f>
        <v/>
      </c>
      <c r="M138" s="132" t="str">
        <f>IFERROR(VLOOKUP(M$4,'D&amp;V'!$BO$5:$BW$19,8,FALSE),"")</f>
        <v/>
      </c>
      <c r="N138" s="132" t="str">
        <f>IFERROR(VLOOKUP(N$4,'D&amp;V'!$BO$5:$BW$19,8,FALSE),"")</f>
        <v/>
      </c>
      <c r="O138" s="132" t="str">
        <f>IFERROR(VLOOKUP(O$4,'D&amp;V'!$BO$5:$BW$19,8,FALSE),"")</f>
        <v/>
      </c>
      <c r="P138" s="132" t="str">
        <f>IFERROR(VLOOKUP(P$4,'D&amp;V'!$BO$5:$BW$19,8,FALSE),"")</f>
        <v/>
      </c>
      <c r="Q138" s="132" t="str">
        <f>IFERROR(VLOOKUP(Q$4,'D&amp;V'!$BO$5:$BW$19,8,FALSE),"")</f>
        <v/>
      </c>
      <c r="R138" s="71"/>
      <c r="AA138" s="142"/>
      <c r="AB138" s="142"/>
      <c r="AC138" s="142"/>
      <c r="AD138" s="142"/>
    </row>
    <row r="139" spans="2:30" x14ac:dyDescent="0.35">
      <c r="B139" s="136"/>
      <c r="C139" s="1" t="s">
        <v>25</v>
      </c>
      <c r="D139" s="132">
        <f>IFERROR(VLOOKUP(D$4,'D&amp;V'!$BO$5:$BW$19,5,FALSE),"")</f>
        <v>29.714285714285715</v>
      </c>
      <c r="E139" s="132">
        <f>IFERROR(VLOOKUP(E$4,'D&amp;V'!$BO$5:$BW$19,5,FALSE),"")</f>
        <v>39.428571428571431</v>
      </c>
      <c r="F139" s="132">
        <f>IFERROR(VLOOKUP(F$4,'D&amp;V'!$BO$5:$BW$19,5,FALSE),"")</f>
        <v>59</v>
      </c>
      <c r="G139" s="132">
        <f>IFERROR(VLOOKUP(G$4,'D&amp;V'!$BO$5:$BW$19,5,FALSE),"")</f>
        <v>39</v>
      </c>
      <c r="H139" s="132">
        <f>IFERROR(VLOOKUP(H$4,'D&amp;V'!$BO$5:$BW$19,5,FALSE),"")</f>
        <v>31.571428571428573</v>
      </c>
      <c r="I139" s="132">
        <f>IFERROR(VLOOKUP(I$4,'D&amp;V'!$BO$5:$BW$19,5,FALSE),"")</f>
        <v>65.714285714285708</v>
      </c>
      <c r="J139" s="132">
        <f>IFERROR(VLOOKUP(J$4,'D&amp;V'!$BO$5:$BW$19,5,FALSE),"")</f>
        <v>34.571428571428569</v>
      </c>
      <c r="K139" s="132">
        <f>IFERROR(VLOOKUP(K$4,'D&amp;V'!$BO$5:$BW$19,5,FALSE),"")</f>
        <v>36.571428571428569</v>
      </c>
      <c r="L139" s="132" t="str">
        <f>IFERROR(VLOOKUP(L$4,'D&amp;V'!$BO$5:$BW$19,5,FALSE),"")</f>
        <v/>
      </c>
      <c r="M139" s="132" t="str">
        <f>IFERROR(VLOOKUP(M$4,'D&amp;V'!$BO$5:$BW$19,5,FALSE),"")</f>
        <v/>
      </c>
      <c r="N139" s="132" t="str">
        <f>IFERROR(VLOOKUP(N$4,'D&amp;V'!$BO$5:$BW$19,5,FALSE),"")</f>
        <v/>
      </c>
      <c r="O139" s="132" t="str">
        <f>IFERROR(VLOOKUP(O$4,'D&amp;V'!$BO$5:$BW$19,5,FALSE),"")</f>
        <v/>
      </c>
      <c r="P139" s="132" t="str">
        <f>IFERROR(VLOOKUP(P$4,'D&amp;V'!$BO$5:$BW$19,5,FALSE),"")</f>
        <v/>
      </c>
      <c r="Q139" s="132" t="str">
        <f>IFERROR(VLOOKUP(Q$4,'D&amp;V'!$BO$5:$BW$19,5,FALSE),"")</f>
        <v/>
      </c>
      <c r="R139" s="71"/>
      <c r="AA139" s="142"/>
      <c r="AB139" s="142"/>
      <c r="AC139" s="142"/>
      <c r="AD139" s="142"/>
    </row>
    <row r="140" spans="2:30" x14ac:dyDescent="0.35">
      <c r="B140" s="136"/>
      <c r="C140" s="1" t="s">
        <v>37</v>
      </c>
      <c r="D140" s="132">
        <f>IFERROR(VLOOKUP(D$4,'D&amp;V'!$BO$5:$BW$19,9,FALSE),"")</f>
        <v>20</v>
      </c>
      <c r="E140" s="132">
        <f>IFERROR(VLOOKUP(E$4,'D&amp;V'!$BO$5:$BW$19,9,FALSE),"")</f>
        <v>30.142857142857142</v>
      </c>
      <c r="F140" s="132">
        <f>IFERROR(VLOOKUP(F$4,'D&amp;V'!$BO$5:$BW$19,9,FALSE),"")</f>
        <v>5.4285714285714288</v>
      </c>
      <c r="G140" s="132">
        <f>IFERROR(VLOOKUP(G$4,'D&amp;V'!$BO$5:$BW$19,9,FALSE),"")</f>
        <v>10.714285714285714</v>
      </c>
      <c r="H140" s="132">
        <f>IFERROR(VLOOKUP(H$4,'D&amp;V'!$BO$5:$BW$19,9,FALSE),"")</f>
        <v>28.428571428571427</v>
      </c>
      <c r="I140" s="132">
        <f>IFERROR(VLOOKUP(I$4,'D&amp;V'!$BO$5:$BW$19,9,FALSE),"")</f>
        <v>48.142857142857146</v>
      </c>
      <c r="J140" s="132">
        <f>IFERROR(VLOOKUP(J$4,'D&amp;V'!$BO$5:$BW$19,9,FALSE),"")</f>
        <v>21.428571428571427</v>
      </c>
      <c r="K140" s="132">
        <f>IFERROR(VLOOKUP(K$4,'D&amp;V'!$BO$5:$BW$19,9,FALSE),"")</f>
        <v>16.714285714285715</v>
      </c>
      <c r="L140" s="132" t="str">
        <f>IFERROR(VLOOKUP(L$4,'D&amp;V'!$BO$5:$BW$19,9,FALSE),"")</f>
        <v/>
      </c>
      <c r="M140" s="132" t="str">
        <f>IFERROR(VLOOKUP(M$4,'D&amp;V'!$BO$5:$BW$19,9,FALSE),"")</f>
        <v/>
      </c>
      <c r="N140" s="132" t="str">
        <f>IFERROR(VLOOKUP(N$4,'D&amp;V'!$BO$5:$BW$19,9,FALSE),"")</f>
        <v/>
      </c>
      <c r="O140" s="132" t="str">
        <f>IFERROR(VLOOKUP(O$4,'D&amp;V'!$BO$5:$BW$19,9,FALSE),"")</f>
        <v/>
      </c>
      <c r="P140" s="132" t="str">
        <f>IFERROR(VLOOKUP(P$4,'D&amp;V'!$BO$5:$BW$19,9,FALSE),"")</f>
        <v/>
      </c>
      <c r="Q140" s="132" t="str">
        <f>IFERROR(VLOOKUP(Q$4,'D&amp;V'!$BO$5:$BW$19,9,FALSE),"")</f>
        <v/>
      </c>
      <c r="R140" s="71" t="str">
        <f>IFERROR(VLOOKUP(R$4,'D&amp;V'!$BO$5:$BV$19,5,FALSE),"")</f>
        <v/>
      </c>
      <c r="AA140" s="142"/>
      <c r="AB140" s="142"/>
      <c r="AC140" s="142"/>
      <c r="AD140" s="142"/>
    </row>
    <row r="141" spans="2:30" x14ac:dyDescent="0.35">
      <c r="B141" s="136"/>
      <c r="C141" s="1" t="s">
        <v>27</v>
      </c>
      <c r="D141" s="132">
        <f>IFERROR(VLOOKUP(D$4,'D&amp;V'!$BO$5:$BW$19,6,FALSE),"")</f>
        <v>35.142857142857146</v>
      </c>
      <c r="E141" s="132">
        <f>IFERROR(VLOOKUP(E$4,'D&amp;V'!$BO$5:$BW$19,6,FALSE),"")</f>
        <v>34</v>
      </c>
      <c r="F141" s="132">
        <f>IFERROR(VLOOKUP(F$4,'D&amp;V'!$BO$5:$BW$19,6,FALSE),"")</f>
        <v>23.714285714285715</v>
      </c>
      <c r="G141" s="132">
        <f>IFERROR(VLOOKUP(G$4,'D&amp;V'!$BO$5:$BW$19,6,FALSE),"")</f>
        <v>18.857142857142858</v>
      </c>
      <c r="H141" s="132">
        <f>IFERROR(VLOOKUP(H$4,'D&amp;V'!$BO$5:$BW$19,6,FALSE),"")</f>
        <v>8.8571428571428577</v>
      </c>
      <c r="I141" s="132">
        <f>IFERROR(VLOOKUP(I$4,'D&amp;V'!$BO$5:$BW$19,6,FALSE),"")</f>
        <v>27.857142857142858</v>
      </c>
      <c r="J141" s="132">
        <f>IFERROR(VLOOKUP(J$4,'D&amp;V'!$BO$5:$BW$19,6,FALSE),"")</f>
        <v>10.714285714285714</v>
      </c>
      <c r="K141" s="132">
        <f>IFERROR(VLOOKUP(K$4,'D&amp;V'!$BO$5:$BW$19,6,FALSE),"")</f>
        <v>18.714285714285715</v>
      </c>
      <c r="L141" s="132" t="str">
        <f>IFERROR(VLOOKUP(L$4,'D&amp;V'!$BO$5:$BW$19,6,FALSE),"")</f>
        <v/>
      </c>
      <c r="M141" s="132" t="str">
        <f>IFERROR(VLOOKUP(M$4,'D&amp;V'!$BO$5:$BW$19,6,FALSE),"")</f>
        <v/>
      </c>
      <c r="N141" s="132" t="str">
        <f>IFERROR(VLOOKUP(N$4,'D&amp;V'!$BO$5:$BW$19,6,FALSE),"")</f>
        <v/>
      </c>
      <c r="O141" s="132" t="str">
        <f>IFERROR(VLOOKUP(O$4,'D&amp;V'!$BO$5:$BW$19,6,FALSE),"")</f>
        <v/>
      </c>
      <c r="P141" s="132" t="str">
        <f>IFERROR(VLOOKUP(P$4,'D&amp;V'!$BO$5:$BW$19,6,FALSE),"")</f>
        <v/>
      </c>
      <c r="Q141" s="132" t="str">
        <f>IFERROR(VLOOKUP(Q$4,'D&amp;V'!$BO$5:$BW$19,6,FALSE),"")</f>
        <v/>
      </c>
      <c r="R141" s="71" t="str">
        <f>IFERROR(VLOOKUP(R$4,'D&amp;V'!$BO$5:$BV$19,6,FALSE),"")</f>
        <v/>
      </c>
      <c r="AA141" s="142"/>
      <c r="AB141" s="142"/>
      <c r="AC141" s="142"/>
      <c r="AD141" s="142"/>
    </row>
    <row r="142" spans="2:30" x14ac:dyDescent="0.35">
      <c r="B142" s="136"/>
      <c r="C142" s="1" t="s">
        <v>28</v>
      </c>
      <c r="D142" s="132">
        <f>IFERROR(VLOOKUP(D$4,'D&amp;V'!$BO$5:$BW$19,7,FALSE),"")</f>
        <v>5.8571428571428568</v>
      </c>
      <c r="E142" s="132">
        <f>IFERROR(VLOOKUP(E$4,'D&amp;V'!$BO$5:$BW$19,7,FALSE),"")</f>
        <v>4</v>
      </c>
      <c r="F142" s="132">
        <f>IFERROR(VLOOKUP(F$4,'D&amp;V'!$BO$5:$BW$19,7,FALSE),"")</f>
        <v>5.7142857142857144</v>
      </c>
      <c r="G142" s="132">
        <f>IFERROR(VLOOKUP(G$4,'D&amp;V'!$BO$5:$BW$19,7,FALSE),"")</f>
        <v>33.571428571428569</v>
      </c>
      <c r="H142" s="132">
        <f>IFERROR(VLOOKUP(H$4,'D&amp;V'!$BO$5:$BW$19,7,FALSE),"")</f>
        <v>21.142857142857142</v>
      </c>
      <c r="I142" s="132">
        <f>IFERROR(VLOOKUP(I$4,'D&amp;V'!$BO$5:$BW$19,7,FALSE),"")</f>
        <v>26.285714285714285</v>
      </c>
      <c r="J142" s="132">
        <f>IFERROR(VLOOKUP(J$4,'D&amp;V'!$BO$5:$BW$19,7,FALSE),"")</f>
        <v>7.2857142857142856</v>
      </c>
      <c r="K142" s="132">
        <f>IFERROR(VLOOKUP(K$4,'D&amp;V'!$BO$5:$BW$19,7,FALSE),"")</f>
        <v>16.142857142857142</v>
      </c>
      <c r="L142" s="132" t="str">
        <f>IFERROR(VLOOKUP(L$4,'D&amp;V'!$BO$5:$BW$19,7,FALSE),"")</f>
        <v/>
      </c>
      <c r="M142" s="132" t="str">
        <f>IFERROR(VLOOKUP(M$4,'D&amp;V'!$BO$5:$BW$19,7,FALSE),"")</f>
        <v/>
      </c>
      <c r="N142" s="132" t="str">
        <f>IFERROR(VLOOKUP(N$4,'D&amp;V'!$BO$5:$BW$19,7,FALSE),"")</f>
        <v/>
      </c>
      <c r="O142" s="132" t="str">
        <f>IFERROR(VLOOKUP(O$4,'D&amp;V'!$BO$5:$BW$19,7,FALSE),"")</f>
        <v/>
      </c>
      <c r="P142" s="132" t="str">
        <f>IFERROR(VLOOKUP(P$4,'D&amp;V'!$BO$5:$BW$19,7,FALSE),"")</f>
        <v/>
      </c>
      <c r="Q142" s="132" t="str">
        <f>IFERROR(VLOOKUP(Q$4,'D&amp;V'!$BO$5:$BW$19,7,FALSE),"")</f>
        <v/>
      </c>
      <c r="R142" s="71" t="str">
        <f>IFERROR(VLOOKUP(R$4,'D&amp;V'!$BO$5:$BV$19,7,FALSE),"")</f>
        <v/>
      </c>
      <c r="AA142" s="142"/>
      <c r="AB142" s="142"/>
      <c r="AC142" s="142"/>
      <c r="AD142" s="142"/>
    </row>
    <row r="143" spans="2:30" ht="7.5" customHeight="1" x14ac:dyDescent="0.35">
      <c r="B143" s="136"/>
      <c r="AA143" s="142"/>
      <c r="AB143" s="142"/>
      <c r="AC143" s="142"/>
      <c r="AD143" s="142"/>
    </row>
    <row r="144" spans="2:30" x14ac:dyDescent="0.35">
      <c r="B144" s="136"/>
      <c r="C144" s="1" t="s">
        <v>67</v>
      </c>
      <c r="D144" s="46">
        <f>IFERROR(HLOOKUP(D$4,'D&amp;V'!CA148:CN149,2,FALSE),"")</f>
        <v>43</v>
      </c>
      <c r="E144" s="46">
        <f>IFERROR(HLOOKUP(E$4,'D&amp;V'!CB148:CO149,2,FALSE),"")</f>
        <v>47</v>
      </c>
      <c r="F144" s="46">
        <f>IFERROR(HLOOKUP(F$4,'D&amp;V'!CC148:CP149,2,FALSE),"")</f>
        <v>47</v>
      </c>
      <c r="G144" s="46">
        <f>IFERROR(HLOOKUP(G$4,'D&amp;V'!CD148:CP149,2,FALSE),"")</f>
        <v>48</v>
      </c>
      <c r="H144" s="46">
        <f>IFERROR(HLOOKUP(H$4,'D&amp;V'!CE148:CP149,2,FALSE),"")</f>
        <v>46</v>
      </c>
      <c r="I144" s="46">
        <f>IFERROR(HLOOKUP(I$4,'D&amp;V'!CF148:CP149,2,FALSE),"")</f>
        <v>51</v>
      </c>
      <c r="J144" s="46">
        <f>IFERROR(HLOOKUP(J$4,'D&amp;V'!CG148:CP149,2,FALSE),"")</f>
        <v>46</v>
      </c>
      <c r="K144" s="46">
        <f>IFERROR(HLOOKUP(K$4,'D&amp;V'!CH148:CQ149,2,FALSE),"")</f>
        <v>49</v>
      </c>
      <c r="L144" s="46" t="str">
        <f>IFERROR(HLOOKUP(L$4,'D&amp;V'!CI148:CR149,2,FALSE),"")</f>
        <v/>
      </c>
      <c r="M144" s="46" t="str">
        <f>IFERROR(HLOOKUP(M$4,'D&amp;V'!CJ148:CS149,2,FALSE),"")</f>
        <v/>
      </c>
      <c r="N144" s="46" t="str">
        <f>IFERROR(HLOOKUP(N$4,'D&amp;V'!CK148:CT149,2,FALSE),"")</f>
        <v/>
      </c>
      <c r="O144" s="46" t="str">
        <f>IFERROR(HLOOKUP(O$4,'D&amp;V'!CL148:CU149,2,FALSE),"")</f>
        <v/>
      </c>
      <c r="P144" s="46" t="str">
        <f>IFERROR(HLOOKUP(P$4,'D&amp;V'!CM148:CV149,2,FALSE),"")</f>
        <v/>
      </c>
      <c r="Q144" s="46" t="str">
        <f>IFERROR(HLOOKUP(Q$4,'D&amp;V'!CN148:CW149,2,FALSE),"")</f>
        <v/>
      </c>
      <c r="R144" s="69" t="str">
        <f>IFERROR(HLOOKUP(R$4,'D&amp;V'!CN148:CW149,2,FALSE),"")</f>
        <v/>
      </c>
      <c r="AA144" s="142"/>
      <c r="AB144" s="142"/>
      <c r="AC144" s="142"/>
      <c r="AD144" s="142"/>
    </row>
    <row r="145" spans="2:30" ht="7.5" customHeight="1" x14ac:dyDescent="0.35">
      <c r="B145" s="136"/>
      <c r="C145" s="1"/>
      <c r="AA145" s="142"/>
      <c r="AB145" s="142"/>
      <c r="AC145" s="142"/>
      <c r="AD145" s="142"/>
    </row>
    <row r="146" spans="2:30" x14ac:dyDescent="0.35">
      <c r="B146" s="136"/>
      <c r="C146" s="1" t="s">
        <v>64</v>
      </c>
      <c r="D146" s="139" t="s">
        <v>18</v>
      </c>
      <c r="E146" s="140"/>
      <c r="F146" s="141"/>
      <c r="G146" s="147" t="s">
        <v>68</v>
      </c>
      <c r="H146" s="147"/>
      <c r="I146" s="147"/>
      <c r="J146" s="147"/>
      <c r="K146" s="148" t="s">
        <v>20</v>
      </c>
      <c r="L146" s="148"/>
      <c r="M146" s="148"/>
      <c r="N146" s="144" t="str">
        <f>TEXT('D&amp;V'!CU6,"0,0")&amp;" ("&amp;TEXT('D&amp;V'!CU8,"dd-mmm")&amp;")"</f>
        <v>755 (30-Dec)</v>
      </c>
      <c r="O146" s="145"/>
      <c r="P146" s="145"/>
      <c r="Q146" s="146"/>
      <c r="R146" s="70"/>
      <c r="AA146" s="142"/>
      <c r="AB146" s="142"/>
      <c r="AC146" s="142"/>
      <c r="AD146" s="142"/>
    </row>
    <row r="147" spans="2:30" ht="30" customHeight="1" x14ac:dyDescent="0.35">
      <c r="C147" s="1"/>
    </row>
    <row r="148" spans="2:30" ht="15" customHeight="1" x14ac:dyDescent="0.35">
      <c r="B148" s="136" t="s">
        <v>69</v>
      </c>
      <c r="C148" s="9" t="s">
        <v>70</v>
      </c>
      <c r="D148" s="88">
        <v>0.80148998360305124</v>
      </c>
      <c r="E148" s="88">
        <v>0.80061741537151376</v>
      </c>
      <c r="F148" s="88">
        <v>0.81599744834674137</v>
      </c>
      <c r="G148" s="88">
        <v>0.81700912839671513</v>
      </c>
      <c r="H148" s="88">
        <v>0.81488293131498901</v>
      </c>
      <c r="I148" s="88">
        <v>0.83364700961940608</v>
      </c>
      <c r="J148" s="88">
        <v>0.82610825373499874</v>
      </c>
      <c r="K148" s="88">
        <v>0.80556045584447655</v>
      </c>
      <c r="L148" s="88">
        <v>0.79330106072470985</v>
      </c>
      <c r="M148" s="88">
        <v>0.79384484167880875</v>
      </c>
      <c r="N148" s="88">
        <v>0.78028512071065259</v>
      </c>
      <c r="O148" s="88">
        <v>0.77699045719982907</v>
      </c>
      <c r="P148" s="88">
        <v>0.7837009585575313</v>
      </c>
      <c r="Q148" s="88">
        <v>0.78729784727428509</v>
      </c>
      <c r="R148" s="2"/>
      <c r="S148" s="2"/>
      <c r="AA148" s="137" t="s">
        <v>71</v>
      </c>
      <c r="AB148" s="137"/>
      <c r="AC148" s="137"/>
      <c r="AD148" s="137"/>
    </row>
    <row r="149" spans="2:30" x14ac:dyDescent="0.35">
      <c r="B149" s="136"/>
      <c r="C149" s="1" t="s">
        <v>18</v>
      </c>
      <c r="D149" s="89">
        <v>0.80146899196758081</v>
      </c>
      <c r="E149" s="89">
        <v>0.81689583183356129</v>
      </c>
      <c r="F149" s="89">
        <v>0.81565078326609242</v>
      </c>
      <c r="G149" s="89">
        <v>0.77576879787967901</v>
      </c>
      <c r="H149" s="89">
        <v>0.74938556912805843</v>
      </c>
      <c r="I149" s="89">
        <v>0.79578383077368875</v>
      </c>
      <c r="J149" s="89">
        <v>0.79008578915251804</v>
      </c>
      <c r="K149" s="89">
        <v>0.80306986591390261</v>
      </c>
      <c r="L149" s="89">
        <v>0.82596978937664001</v>
      </c>
      <c r="M149" s="89">
        <v>0.82220408742548967</v>
      </c>
      <c r="N149" s="89">
        <v>0.81413976006550137</v>
      </c>
      <c r="O149" s="89">
        <v>0.80189488737933501</v>
      </c>
      <c r="P149" s="89">
        <v>0.79696991352819269</v>
      </c>
      <c r="Q149" s="89">
        <v>0.78052805280528048</v>
      </c>
      <c r="AA149" s="137"/>
      <c r="AB149" s="137"/>
      <c r="AC149" s="137"/>
      <c r="AD149" s="137"/>
    </row>
    <row r="150" spans="2:30" ht="7.5" customHeight="1" x14ac:dyDescent="0.35">
      <c r="B150" s="136"/>
      <c r="C150" s="1"/>
      <c r="D150" s="26">
        <v>0.85</v>
      </c>
      <c r="E150" s="26">
        <v>0.85</v>
      </c>
      <c r="F150" s="26">
        <v>0.85</v>
      </c>
      <c r="G150" s="26">
        <v>0.85</v>
      </c>
      <c r="H150" s="26">
        <v>0.85</v>
      </c>
      <c r="I150" s="26">
        <v>0.85</v>
      </c>
      <c r="J150" s="26">
        <v>0.85</v>
      </c>
      <c r="K150" s="26">
        <v>0.85</v>
      </c>
      <c r="L150" s="26">
        <v>0.85</v>
      </c>
      <c r="M150" s="26">
        <v>0.85</v>
      </c>
      <c r="N150" s="26">
        <v>0.85</v>
      </c>
      <c r="O150" s="26">
        <v>0.85</v>
      </c>
      <c r="P150" s="26">
        <v>0.85</v>
      </c>
      <c r="Q150" s="26"/>
      <c r="R150" s="26">
        <v>0.85</v>
      </c>
      <c r="AA150" s="137"/>
      <c r="AB150" s="137"/>
      <c r="AC150" s="137"/>
      <c r="AD150" s="137"/>
    </row>
    <row r="151" spans="2:30" x14ac:dyDescent="0.35">
      <c r="B151" s="136"/>
      <c r="C151" s="13" t="s">
        <v>20</v>
      </c>
      <c r="D151" s="50">
        <f>IFERROR(VLOOKUP(D$4,'Critical care'!$AB$3:$AJ$17,2,FALSE),"")</f>
        <v>0.81032092604145001</v>
      </c>
      <c r="E151" s="50">
        <f>IFERROR(VLOOKUP(E$4,'Critical care'!$AB$3:$AJ$17,2,FALSE),"")</f>
        <v>0.8122512545423084</v>
      </c>
      <c r="F151" s="50">
        <f>IFERROR(VLOOKUP(F$4,'Critical care'!$AB$3:$AJ$17,2,FALSE),"")</f>
        <v>0.81234013135153815</v>
      </c>
      <c r="G151" s="50">
        <f>IFERROR(VLOOKUP(G$4,'Critical care'!$AB$3:$AJ$17,2,FALSE),"")</f>
        <v>0.81154230226231883</v>
      </c>
      <c r="H151" s="50">
        <f>IFERROR(VLOOKUP(H$4,'Critical care'!$AB$3:$AJ$17,2,FALSE),"")</f>
        <v>0.77247681303261573</v>
      </c>
      <c r="I151" s="50">
        <f>IFERROR(VLOOKUP(I$4,'Critical care'!$AB$3:$AJ$17,2,FALSE),"")</f>
        <v>0.81202356202356207</v>
      </c>
      <c r="J151" s="50">
        <f>IFERROR(VLOOKUP(J$4,'Critical care'!$AB$3:$AJ$17,2,FALSE),"")</f>
        <v>0.83891492491362496</v>
      </c>
      <c r="K151" s="50">
        <f>IFERROR(VLOOKUP(K$4,'Critical care'!$AB$3:$AJ$17,2,FALSE),"")</f>
        <v>0.83017500258879573</v>
      </c>
      <c r="L151" s="50" t="str">
        <f>IFERROR(VLOOKUP(L$4,'Critical care'!$AB$3:$AJ$17,2,FALSE),"")</f>
        <v/>
      </c>
      <c r="M151" s="50" t="str">
        <f>IFERROR(VLOOKUP(M$4,'Critical care'!$AB$3:$AJ$17,2,FALSE),"")</f>
        <v/>
      </c>
      <c r="N151" s="50" t="str">
        <f>IFERROR(VLOOKUP(N$4,'Critical care'!$AB$3:$AJ$17,2,FALSE),"")</f>
        <v/>
      </c>
      <c r="O151" s="50" t="str">
        <f>IFERROR(VLOOKUP(O$4,'Critical care'!$AB$3:$AJ$17,2,FALSE),"")</f>
        <v/>
      </c>
      <c r="P151" s="50" t="str">
        <f>IFERROR(VLOOKUP(P$4,'Critical care'!$AB$3:$AJ$17,2,FALSE),"")</f>
        <v/>
      </c>
      <c r="Q151" s="50" t="str">
        <f>IFERROR(VLOOKUP(Q$4,'Critical care'!$AB$3:$AJ$17,2,FALSE),"")</f>
        <v/>
      </c>
      <c r="R151" s="72" t="str">
        <f>IFERROR(VLOOKUP(R$4,'Critical care'!$AB$3:$AI$17,2,FALSE),"")</f>
        <v/>
      </c>
      <c r="AA151" s="137"/>
      <c r="AB151" s="137"/>
      <c r="AC151" s="137"/>
      <c r="AD151" s="137"/>
    </row>
    <row r="152" spans="2:30" ht="15" customHeight="1" x14ac:dyDescent="0.35">
      <c r="B152" s="136"/>
      <c r="C152" s="1" t="s">
        <v>21</v>
      </c>
      <c r="D152" s="133">
        <f>IFERROR(VLOOKUP(D$4,'Critical care'!$AB$3:$AJ$17,3,FALSE),"")</f>
        <v>0.89756446991404015</v>
      </c>
      <c r="E152" s="133">
        <f>IFERROR(VLOOKUP(E$4,'Critical care'!$AB$3:$AJ$17,3,FALSE),"")</f>
        <v>0.89981499928845876</v>
      </c>
      <c r="F152" s="133">
        <f>IFERROR(VLOOKUP(F$4,'Critical care'!$AB$3:$AJ$17,3,FALSE),"")</f>
        <v>0.89714608646510319</v>
      </c>
      <c r="G152" s="133">
        <f>IFERROR(VLOOKUP(G$4,'Critical care'!$AB$3:$AJ$17,3,FALSE),"")</f>
        <v>0.90015534529021324</v>
      </c>
      <c r="H152" s="133">
        <f>IFERROR(VLOOKUP(H$4,'Critical care'!$AB$3:$AJ$17,3,FALSE),"")</f>
        <v>0.85016568217836042</v>
      </c>
      <c r="I152" s="133">
        <f>IFERROR(VLOOKUP(I$4,'Critical care'!$AB$3:$AJ$17,3,FALSE),"")</f>
        <v>0.87732124579616899</v>
      </c>
      <c r="J152" s="133">
        <f>IFERROR(VLOOKUP(J$4,'Critical care'!$AB$3:$AJ$17,3,FALSE),"")</f>
        <v>0.91985273293684511</v>
      </c>
      <c r="K152" s="133">
        <f>IFERROR(VLOOKUP(K$4,'Critical care'!$AB$3:$AJ$17,3,FALSE),"")</f>
        <v>0.9128329297820823</v>
      </c>
      <c r="L152" s="133" t="str">
        <f>IFERROR(VLOOKUP(L$4,'Critical care'!$AB$3:$AJ$17,3,FALSE),"")</f>
        <v/>
      </c>
      <c r="M152" s="133" t="str">
        <f>IFERROR(VLOOKUP(M$4,'Critical care'!$AB$3:$AJ$17,3,FALSE),"")</f>
        <v/>
      </c>
      <c r="N152" s="133" t="str">
        <f>IFERROR(VLOOKUP(N$4,'Critical care'!$AB$3:$AJ$17,3,FALSE),"")</f>
        <v/>
      </c>
      <c r="O152" s="133" t="str">
        <f>IFERROR(VLOOKUP(O$4,'Critical care'!$AB$3:$AJ$17,3,FALSE),"")</f>
        <v/>
      </c>
      <c r="P152" s="133" t="str">
        <f>IFERROR(VLOOKUP(P$4,'Critical care'!$AB$3:$AJ$17,3,FALSE),"")</f>
        <v/>
      </c>
      <c r="Q152" s="133" t="str">
        <f>IFERROR(VLOOKUP(Q$4,'Critical care'!$AB$3:$AJ$17,3,FALSE),"")</f>
        <v/>
      </c>
      <c r="R152" s="73" t="str">
        <f>IFERROR(VLOOKUP(R$4,'Critical care'!$AB$3:$AI$17,3,FALSE),"")</f>
        <v/>
      </c>
      <c r="AA152" s="149" t="s">
        <v>72</v>
      </c>
      <c r="AB152" s="149"/>
      <c r="AC152" s="149"/>
      <c r="AD152" s="149"/>
    </row>
    <row r="153" spans="2:30" x14ac:dyDescent="0.35">
      <c r="B153" s="136"/>
      <c r="C153" s="1" t="s">
        <v>22</v>
      </c>
      <c r="D153" s="133">
        <f>IFERROR(VLOOKUP(D$4,'Critical care'!$AB$3:$AJ$17,4,FALSE),"")</f>
        <v>0.7887386388827311</v>
      </c>
      <c r="E153" s="133">
        <f>IFERROR(VLOOKUP(E$4,'Critical care'!$AB$3:$AJ$17,4,FALSE),"")</f>
        <v>0.80145118733509235</v>
      </c>
      <c r="F153" s="133">
        <f>IFERROR(VLOOKUP(F$4,'Critical care'!$AB$3:$AJ$17,4,FALSE),"")</f>
        <v>0.81687062937062938</v>
      </c>
      <c r="G153" s="133">
        <f>IFERROR(VLOOKUP(G$4,'Critical care'!$AB$3:$AJ$17,4,FALSE),"")</f>
        <v>0.81492864983534574</v>
      </c>
      <c r="H153" s="133">
        <f>IFERROR(VLOOKUP(H$4,'Critical care'!$AB$3:$AJ$17,4,FALSE),"")</f>
        <v>0.77530809859154926</v>
      </c>
      <c r="I153" s="133">
        <f>IFERROR(VLOOKUP(I$4,'Critical care'!$AB$3:$AJ$17,4,FALSE),"")</f>
        <v>0.80938864628820961</v>
      </c>
      <c r="J153" s="133">
        <f>IFERROR(VLOOKUP(J$4,'Critical care'!$AB$3:$AJ$17,4,FALSE),"")</f>
        <v>0.8314754098360656</v>
      </c>
      <c r="K153" s="133">
        <f>IFERROR(VLOOKUP(K$4,'Critical care'!$AB$3:$AJ$17,4,FALSE),"")</f>
        <v>0.84105240269623827</v>
      </c>
      <c r="L153" s="133" t="str">
        <f>IFERROR(VLOOKUP(L$4,'Critical care'!$AB$3:$AJ$17,4,FALSE),"")</f>
        <v/>
      </c>
      <c r="M153" s="133" t="str">
        <f>IFERROR(VLOOKUP(M$4,'Critical care'!$AB$3:$AJ$17,4,FALSE),"")</f>
        <v/>
      </c>
      <c r="N153" s="133" t="str">
        <f>IFERROR(VLOOKUP(N$4,'Critical care'!$AB$3:$AJ$17,4,FALSE),"")</f>
        <v/>
      </c>
      <c r="O153" s="133" t="str">
        <f>IFERROR(VLOOKUP(O$4,'Critical care'!$AB$3:$AJ$17,4,FALSE),"")</f>
        <v/>
      </c>
      <c r="P153" s="133" t="str">
        <f>IFERROR(VLOOKUP(P$4,'Critical care'!$AB$3:$AJ$17,4,FALSE),"")</f>
        <v/>
      </c>
      <c r="Q153" s="133" t="str">
        <f>IFERROR(VLOOKUP(Q$4,'Critical care'!$AB$3:$AJ$17,4,FALSE),"")</f>
        <v/>
      </c>
      <c r="R153" s="73" t="str">
        <f>IFERROR(VLOOKUP(R$4,'Critical care'!$AB$3:$AI$17,4,FALSE),"")</f>
        <v/>
      </c>
      <c r="AA153" s="149"/>
      <c r="AB153" s="149"/>
      <c r="AC153" s="149"/>
      <c r="AD153" s="149"/>
    </row>
    <row r="154" spans="2:30" x14ac:dyDescent="0.35">
      <c r="B154" s="136"/>
      <c r="C154" s="1" t="s">
        <v>24</v>
      </c>
      <c r="D154" s="133">
        <f>IFERROR(VLOOKUP(D$4,'Critical care'!$AB$3:$AJ$17,8,FALSE),"")</f>
        <v>0.82233321441312879</v>
      </c>
      <c r="E154" s="133">
        <f>IFERROR(VLOOKUP(E$4,'Critical care'!$AB$3:$AJ$17,8,FALSE),"")</f>
        <v>0.80904522613065322</v>
      </c>
      <c r="F154" s="133">
        <f>IFERROR(VLOOKUP(F$4,'Critical care'!$AB$3:$AJ$17,8,FALSE),"")</f>
        <v>0.80926130099228222</v>
      </c>
      <c r="G154" s="133">
        <f>IFERROR(VLOOKUP(G$4,'Critical care'!$AB$3:$AJ$17,8,FALSE),"")</f>
        <v>0.81077250177179305</v>
      </c>
      <c r="H154" s="133">
        <f>IFERROR(VLOOKUP(H$4,'Critical care'!$AB$3:$AJ$17,8,FALSE),"")</f>
        <v>0.78458844133099825</v>
      </c>
      <c r="I154" s="133">
        <f>IFERROR(VLOOKUP(I$4,'Critical care'!$AB$3:$AJ$17,8,FALSE),"")</f>
        <v>0.80781089414182938</v>
      </c>
      <c r="J154" s="133">
        <f>IFERROR(VLOOKUP(J$4,'Critical care'!$AB$3:$AJ$17,8,FALSE),"")</f>
        <v>0.83327580255436662</v>
      </c>
      <c r="K154" s="133">
        <f>IFERROR(VLOOKUP(K$4,'Critical care'!$AB$3:$AJ$17,8,FALSE),"")</f>
        <v>0.78329168154230633</v>
      </c>
      <c r="L154" s="133" t="str">
        <f>IFERROR(VLOOKUP(L$4,'Critical care'!$AB$3:$AJ$17,8,FALSE),"")</f>
        <v/>
      </c>
      <c r="M154" s="133" t="str">
        <f>IFERROR(VLOOKUP(M$4,'Critical care'!$AB$3:$AJ$17,8,FALSE),"")</f>
        <v/>
      </c>
      <c r="N154" s="133" t="str">
        <f>IFERROR(VLOOKUP(N$4,'Critical care'!$AB$3:$AJ$17,8,FALSE),"")</f>
        <v/>
      </c>
      <c r="O154" s="133" t="str">
        <f>IFERROR(VLOOKUP(O$4,'Critical care'!$AB$3:$AJ$17,8,FALSE),"")</f>
        <v/>
      </c>
      <c r="P154" s="133" t="str">
        <f>IFERROR(VLOOKUP(P$4,'Critical care'!$AB$3:$AJ$17,8,FALSE),"")</f>
        <v/>
      </c>
      <c r="Q154" s="133" t="str">
        <f>IFERROR(VLOOKUP(Q$4,'Critical care'!$AB$3:$AJ$17,8,FALSE),"")</f>
        <v/>
      </c>
      <c r="R154" s="73"/>
      <c r="AA154" s="149"/>
      <c r="AB154" s="149"/>
      <c r="AC154" s="149"/>
      <c r="AD154" s="149"/>
    </row>
    <row r="155" spans="2:30" x14ac:dyDescent="0.35">
      <c r="B155" s="136"/>
      <c r="C155" s="1" t="s">
        <v>25</v>
      </c>
      <c r="D155" s="133">
        <f>IFERROR(VLOOKUP(D$4,'Critical care'!$AB$3:$AJ$17,5,FALSE),"")</f>
        <v>0.75740040062319158</v>
      </c>
      <c r="E155" s="133">
        <f>IFERROR(VLOOKUP(E$4,'Critical care'!$AB$3:$AJ$17,5,FALSE),"")</f>
        <v>0.76242969628796398</v>
      </c>
      <c r="F155" s="133">
        <f>IFERROR(VLOOKUP(F$4,'Critical care'!$AB$3:$AJ$17,5,FALSE),"")</f>
        <v>0.75878949710725407</v>
      </c>
      <c r="G155" s="133">
        <f>IFERROR(VLOOKUP(G$4,'Critical care'!$AB$3:$AJ$17,5,FALSE),"")</f>
        <v>0.75448833034111307</v>
      </c>
      <c r="H155" s="133">
        <f>IFERROR(VLOOKUP(H$4,'Critical care'!$AB$3:$AJ$17,5,FALSE),"")</f>
        <v>0.7403965303593556</v>
      </c>
      <c r="I155" s="133">
        <f>IFERROR(VLOOKUP(I$4,'Critical care'!$AB$3:$AJ$17,5,FALSE),"")</f>
        <v>0.77480314960629926</v>
      </c>
      <c r="J155" s="133">
        <f>IFERROR(VLOOKUP(J$4,'Critical care'!$AB$3:$AJ$17,5,FALSE),"")</f>
        <v>0.78771195771856417</v>
      </c>
      <c r="K155" s="133">
        <f>IFERROR(VLOOKUP(K$4,'Critical care'!$AB$3:$AJ$17,5,FALSE),"")</f>
        <v>0.77328918322295803</v>
      </c>
      <c r="L155" s="133" t="str">
        <f>IFERROR(VLOOKUP(L$4,'Critical care'!$AB$3:$AJ$17,5,FALSE),"")</f>
        <v/>
      </c>
      <c r="M155" s="133" t="str">
        <f>IFERROR(VLOOKUP(M$4,'Critical care'!$AB$3:$AJ$17,5,FALSE),"")</f>
        <v/>
      </c>
      <c r="N155" s="133" t="str">
        <f>IFERROR(VLOOKUP(N$4,'Critical care'!$AB$3:$AJ$17,5,FALSE),"")</f>
        <v/>
      </c>
      <c r="O155" s="133" t="str">
        <f>IFERROR(VLOOKUP(O$4,'Critical care'!$AB$3:$AJ$17,5,FALSE),"")</f>
        <v/>
      </c>
      <c r="P155" s="133" t="str">
        <f>IFERROR(VLOOKUP(P$4,'Critical care'!$AB$3:$AJ$17,5,FALSE),"")</f>
        <v/>
      </c>
      <c r="Q155" s="133" t="str">
        <f>IFERROR(VLOOKUP(Q$4,'Critical care'!$AB$3:$AJ$17,5,FALSE),"")</f>
        <v/>
      </c>
      <c r="R155" s="73"/>
      <c r="AA155" s="149"/>
      <c r="AB155" s="149"/>
      <c r="AC155" s="149"/>
      <c r="AD155" s="149"/>
    </row>
    <row r="156" spans="2:30" x14ac:dyDescent="0.35">
      <c r="B156" s="136"/>
      <c r="C156" s="1" t="s">
        <v>37</v>
      </c>
      <c r="D156" s="133">
        <f>IFERROR(VLOOKUP(D$4,'Critical care'!$AB$3:$AJ$17,9,FALSE),"")</f>
        <v>0.78881677483774337</v>
      </c>
      <c r="E156" s="133">
        <f>IFERROR(VLOOKUP(E$4,'Critical care'!$AB$3:$AJ$17,9,FALSE),"")</f>
        <v>0.80307921529674697</v>
      </c>
      <c r="F156" s="133">
        <f>IFERROR(VLOOKUP(F$4,'Critical care'!$AB$3:$AJ$17,9,FALSE),"")</f>
        <v>0.8027784668816671</v>
      </c>
      <c r="G156" s="133">
        <f>IFERROR(VLOOKUP(G$4,'Critical care'!$AB$3:$AJ$17,9,FALSE),"")</f>
        <v>0.77931716971796139</v>
      </c>
      <c r="H156" s="133">
        <f>IFERROR(VLOOKUP(H$4,'Critical care'!$AB$3:$AJ$17,9,FALSE),"")</f>
        <v>0.71864911845045942</v>
      </c>
      <c r="I156" s="133">
        <f>IFERROR(VLOOKUP(I$4,'Critical care'!$AB$3:$AJ$17,9,FALSE),"")</f>
        <v>0.78738201689021359</v>
      </c>
      <c r="J156" s="133">
        <f>IFERROR(VLOOKUP(J$4,'Critical care'!$AB$3:$AJ$17,9,FALSE),"")</f>
        <v>0.81499003984063745</v>
      </c>
      <c r="K156" s="133">
        <f>IFERROR(VLOOKUP(K$4,'Critical care'!$AB$3:$AJ$17,9,FALSE),"")</f>
        <v>0.80281690140845074</v>
      </c>
      <c r="L156" s="133" t="str">
        <f>IFERROR(VLOOKUP(L$4,'Critical care'!$AB$3:$AJ$17,9,FALSE),"")</f>
        <v/>
      </c>
      <c r="M156" s="133" t="str">
        <f>IFERROR(VLOOKUP(M$4,'Critical care'!$AB$3:$AJ$17,9,FALSE),"")</f>
        <v/>
      </c>
      <c r="N156" s="133" t="str">
        <f>IFERROR(VLOOKUP(N$4,'Critical care'!$AB$3:$AJ$17,9,FALSE),"")</f>
        <v/>
      </c>
      <c r="O156" s="133" t="str">
        <f>IFERROR(VLOOKUP(O$4,'Critical care'!$AB$3:$AJ$17,9,FALSE),"")</f>
        <v/>
      </c>
      <c r="P156" s="133" t="str">
        <f>IFERROR(VLOOKUP(P$4,'Critical care'!$AB$3:$AJ$17,9,FALSE),"")</f>
        <v/>
      </c>
      <c r="Q156" s="133" t="str">
        <f>IFERROR(VLOOKUP(Q$4,'Critical care'!$AB$3:$AJ$17,9,FALSE),"")</f>
        <v/>
      </c>
      <c r="R156" s="73" t="str">
        <f>IFERROR(VLOOKUP(R$4,'Critical care'!$AB$3:$AI$17,5,FALSE),"")</f>
        <v/>
      </c>
      <c r="AA156" s="149"/>
      <c r="AB156" s="149"/>
      <c r="AC156" s="149"/>
      <c r="AD156" s="149"/>
    </row>
    <row r="157" spans="2:30" x14ac:dyDescent="0.35">
      <c r="B157" s="136"/>
      <c r="C157" s="1" t="s">
        <v>27</v>
      </c>
      <c r="D157" s="133">
        <f>IFERROR(VLOOKUP(D$4,'Critical care'!$AB$3:$AJ$17,6,FALSE),"")</f>
        <v>0.78872863247863245</v>
      </c>
      <c r="E157" s="133">
        <f>IFERROR(VLOOKUP(E$4,'Critical care'!$AB$3:$AJ$17,6,FALSE),"")</f>
        <v>0.76957911561001602</v>
      </c>
      <c r="F157" s="133">
        <f>IFERROR(VLOOKUP(F$4,'Critical care'!$AB$3:$AJ$17,6,FALSE),"")</f>
        <v>0.75570469798657713</v>
      </c>
      <c r="G157" s="133">
        <f>IFERROR(VLOOKUP(G$4,'Critical care'!$AB$3:$AJ$17,6,FALSE),"")</f>
        <v>0.76168969181721569</v>
      </c>
      <c r="H157" s="133">
        <f>IFERROR(VLOOKUP(H$4,'Critical care'!$AB$3:$AJ$17,6,FALSE),"")</f>
        <v>0.74439340718724667</v>
      </c>
      <c r="I157" s="133">
        <f>IFERROR(VLOOKUP(I$4,'Critical care'!$AB$3:$AJ$17,6,FALSE),"")</f>
        <v>0.7901069518716578</v>
      </c>
      <c r="J157" s="133">
        <f>IFERROR(VLOOKUP(J$4,'Critical care'!$AB$3:$AJ$17,6,FALSE),"")</f>
        <v>0.82130763219588432</v>
      </c>
      <c r="K157" s="133">
        <f>IFERROR(VLOOKUP(K$4,'Critical care'!$AB$3:$AJ$17,6,FALSE),"")</f>
        <v>0.82279156658660257</v>
      </c>
      <c r="L157" s="133" t="str">
        <f>IFERROR(VLOOKUP(L$4,'Critical care'!$AB$3:$AJ$17,6,FALSE),"")</f>
        <v/>
      </c>
      <c r="M157" s="133" t="str">
        <f>IFERROR(VLOOKUP(M$4,'Critical care'!$AB$3:$AJ$17,6,FALSE),"")</f>
        <v/>
      </c>
      <c r="N157" s="133" t="str">
        <f>IFERROR(VLOOKUP(N$4,'Critical care'!$AB$3:$AJ$17,6,FALSE),"")</f>
        <v/>
      </c>
      <c r="O157" s="133" t="str">
        <f>IFERROR(VLOOKUP(O$4,'Critical care'!$AB$3:$AJ$17,6,FALSE),"")</f>
        <v/>
      </c>
      <c r="P157" s="133" t="str">
        <f>IFERROR(VLOOKUP(P$4,'Critical care'!$AB$3:$AJ$17,6,FALSE),"")</f>
        <v/>
      </c>
      <c r="Q157" s="133" t="str">
        <f>IFERROR(VLOOKUP(Q$4,'Critical care'!$AB$3:$AJ$17,6,FALSE),"")</f>
        <v/>
      </c>
      <c r="R157" s="73" t="str">
        <f>IFERROR(VLOOKUP(R$4,'Critical care'!$AB$3:$AI$17,6,FALSE),"")</f>
        <v/>
      </c>
      <c r="AA157" s="149"/>
      <c r="AB157" s="149"/>
      <c r="AC157" s="149"/>
      <c r="AD157" s="149"/>
    </row>
    <row r="158" spans="2:30" x14ac:dyDescent="0.35">
      <c r="B158" s="136"/>
      <c r="C158" s="1" t="s">
        <v>28</v>
      </c>
      <c r="D158" s="133">
        <f>IFERROR(VLOOKUP(D$4,'Critical care'!$AB$3:$AJ$17,7,FALSE),"")</f>
        <v>0.74967630556754428</v>
      </c>
      <c r="E158" s="133">
        <f>IFERROR(VLOOKUP(E$4,'Critical care'!$AB$3:$AJ$17,7,FALSE),"")</f>
        <v>0.75216637781629114</v>
      </c>
      <c r="F158" s="133">
        <f>IFERROR(VLOOKUP(F$4,'Critical care'!$AB$3:$AJ$17,7,FALSE),"")</f>
        <v>0.75921908893709322</v>
      </c>
      <c r="G158" s="133">
        <f>IFERROR(VLOOKUP(G$4,'Critical care'!$AB$3:$AJ$17,7,FALSE),"")</f>
        <v>0.78199052132701419</v>
      </c>
      <c r="H158" s="133">
        <f>IFERROR(VLOOKUP(H$4,'Critical care'!$AB$3:$AJ$17,7,FALSE),"")</f>
        <v>0.72455608488523171</v>
      </c>
      <c r="I158" s="133">
        <f>IFERROR(VLOOKUP(I$4,'Critical care'!$AB$3:$AJ$17,7,FALSE),"")</f>
        <v>0.77931631328429252</v>
      </c>
      <c r="J158" s="133">
        <f>IFERROR(VLOOKUP(J$4,'Critical care'!$AB$3:$AJ$17,7,FALSE),"")</f>
        <v>0.78462874511506731</v>
      </c>
      <c r="K158" s="133">
        <f>IFERROR(VLOOKUP(K$4,'Critical care'!$AB$3:$AJ$17,7,FALSE),"")</f>
        <v>0.78450152372659987</v>
      </c>
      <c r="L158" s="133" t="str">
        <f>IFERROR(VLOOKUP(L$4,'Critical care'!$AB$3:$AJ$17,7,FALSE),"")</f>
        <v/>
      </c>
      <c r="M158" s="133" t="str">
        <f>IFERROR(VLOOKUP(M$4,'Critical care'!$AB$3:$AJ$17,7,FALSE),"")</f>
        <v/>
      </c>
      <c r="N158" s="133" t="str">
        <f>IFERROR(VLOOKUP(N$4,'Critical care'!$AB$3:$AJ$17,7,FALSE),"")</f>
        <v/>
      </c>
      <c r="O158" s="133" t="str">
        <f>IFERROR(VLOOKUP(O$4,'Critical care'!$AB$3:$AJ$17,7,FALSE),"")</f>
        <v/>
      </c>
      <c r="P158" s="133" t="str">
        <f>IFERROR(VLOOKUP(P$4,'Critical care'!$AB$3:$AJ$17,7,FALSE),"")</f>
        <v/>
      </c>
      <c r="Q158" s="133" t="str">
        <f>IFERROR(VLOOKUP(Q$4,'Critical care'!$AB$3:$AJ$17,7,FALSE),"")</f>
        <v/>
      </c>
      <c r="R158" s="73" t="str">
        <f>IFERROR(VLOOKUP(R$4,'Critical care'!$AB$3:$AI$17,7,FALSE),"")</f>
        <v/>
      </c>
      <c r="AA158" s="149"/>
      <c r="AB158" s="149"/>
      <c r="AC158" s="149"/>
      <c r="AD158" s="149"/>
    </row>
    <row r="159" spans="2:30" ht="7.5" customHeight="1" x14ac:dyDescent="0.35">
      <c r="B159" s="136"/>
      <c r="AA159" s="149"/>
      <c r="AB159" s="149"/>
      <c r="AC159" s="149"/>
      <c r="AD159" s="149"/>
    </row>
    <row r="160" spans="2:30" x14ac:dyDescent="0.35">
      <c r="B160" s="136"/>
      <c r="C160" s="9" t="s">
        <v>73</v>
      </c>
      <c r="D160" s="86">
        <v>795.57142857142856</v>
      </c>
      <c r="E160" s="86">
        <v>802.71428571428567</v>
      </c>
      <c r="F160" s="86">
        <v>741.71428571428567</v>
      </c>
      <c r="G160" s="86">
        <v>741.71428571428567</v>
      </c>
      <c r="H160" s="86">
        <v>747.71428571428567</v>
      </c>
      <c r="I160" s="86">
        <v>681.85714285714289</v>
      </c>
      <c r="J160" s="86">
        <v>710</v>
      </c>
      <c r="K160" s="86">
        <v>787.28571428571433</v>
      </c>
      <c r="L160" s="86">
        <v>829.57142857142856</v>
      </c>
      <c r="M160" s="86">
        <v>828.71428571428567</v>
      </c>
      <c r="N160" s="86">
        <v>876.28571428571433</v>
      </c>
      <c r="O160" s="86">
        <v>894.71428571428567</v>
      </c>
      <c r="P160" s="86">
        <v>867.14285714285711</v>
      </c>
      <c r="Q160" s="86">
        <v>851.14285714285711</v>
      </c>
      <c r="AA160" s="149"/>
      <c r="AB160" s="149"/>
      <c r="AC160" s="149"/>
      <c r="AD160" s="149"/>
    </row>
    <row r="161" spans="2:30" x14ac:dyDescent="0.35">
      <c r="B161" s="136"/>
      <c r="C161" s="1" t="s">
        <v>18</v>
      </c>
      <c r="D161" s="68">
        <v>783.85714285714289</v>
      </c>
      <c r="E161" s="68">
        <v>726.71428571428567</v>
      </c>
      <c r="F161" s="68">
        <v>724.57142857142856</v>
      </c>
      <c r="G161" s="68">
        <v>882.28571428571433</v>
      </c>
      <c r="H161" s="68">
        <v>976</v>
      </c>
      <c r="I161" s="68">
        <v>805.42857142857144</v>
      </c>
      <c r="J161" s="68">
        <v>835.42857142857144</v>
      </c>
      <c r="K161" s="68">
        <v>797.28571428571433</v>
      </c>
      <c r="L161" s="68">
        <v>701.14285714285711</v>
      </c>
      <c r="M161" s="68">
        <v>715.85714285714289</v>
      </c>
      <c r="N161" s="68">
        <v>745.85714285714289</v>
      </c>
      <c r="O161" s="68">
        <v>791.57142857142856</v>
      </c>
      <c r="P161" s="68">
        <v>811.71428571428567</v>
      </c>
      <c r="Q161" s="68">
        <v>874</v>
      </c>
      <c r="AA161" s="149"/>
      <c r="AB161" s="149"/>
      <c r="AC161" s="149"/>
      <c r="AD161" s="149"/>
    </row>
    <row r="162" spans="2:30" ht="7.5" customHeight="1" x14ac:dyDescent="0.35">
      <c r="B162" s="136"/>
      <c r="C162" s="1"/>
      <c r="AA162" s="149"/>
      <c r="AB162" s="149"/>
      <c r="AC162" s="149"/>
      <c r="AD162" s="149"/>
    </row>
    <row r="163" spans="2:30" x14ac:dyDescent="0.35">
      <c r="B163" s="136"/>
      <c r="C163" s="13" t="s">
        <v>20</v>
      </c>
      <c r="D163" s="95">
        <f>IFERROR(VLOOKUP(D$4,'Critical care'!$BM$5:$BU$19,2,FALSE),"")</f>
        <v>781.85714285714289</v>
      </c>
      <c r="E163" s="95">
        <f>IFERROR(VLOOKUP(E$4,'Critical care'!$BM$5:$BU$19,2,FALSE),"")</f>
        <v>775</v>
      </c>
      <c r="F163" s="95">
        <f>IFERROR(VLOOKUP(F$4,'Critical care'!$BM$5:$BU$19,2,FALSE),"")</f>
        <v>775.57142857142856</v>
      </c>
      <c r="G163" s="95">
        <f>IFERROR(VLOOKUP(G$4,'Critical care'!$BM$5:$BU$19,2,FALSE),"")</f>
        <v>781.85714285714289</v>
      </c>
      <c r="H163" s="95">
        <f>IFERROR(VLOOKUP(H$4,'Critical care'!$BM$5:$BU$19,2,FALSE),"")</f>
        <v>949.71428571428567</v>
      </c>
      <c r="I163" s="95">
        <f>IFERROR(VLOOKUP(I$4,'Critical care'!$BM$5:$BU$19,2,FALSE),"")</f>
        <v>775</v>
      </c>
      <c r="J163" s="95">
        <f>IFERROR(VLOOKUP(J$4,'Critical care'!$BM$5:$BU$19,2,FALSE),"")</f>
        <v>672.71428571428567</v>
      </c>
      <c r="K163" s="95">
        <f>IFERROR(VLOOKUP(K$4,'Critical care'!$BM$5:$BU$19,2,FALSE),"")</f>
        <v>702.85714285714289</v>
      </c>
      <c r="L163" s="95" t="str">
        <f>IFERROR(VLOOKUP(L$4,'Critical care'!$BM$5:$BU$19,2,FALSE),"")</f>
        <v/>
      </c>
      <c r="M163" s="95" t="str">
        <f>IFERROR(VLOOKUP(M$4,'Critical care'!$BM$5:$BU$19,2,FALSE),"")</f>
        <v/>
      </c>
      <c r="N163" s="95" t="str">
        <f>IFERROR(VLOOKUP(N$4,'Critical care'!$BM$5:$BU$19,2,FALSE),"")</f>
        <v/>
      </c>
      <c r="O163" s="95" t="str">
        <f>IFERROR(VLOOKUP(O$4,'Critical care'!$BM$5:$BU$19,2,FALSE),"")</f>
        <v/>
      </c>
      <c r="P163" s="95" t="str">
        <f>IFERROR(VLOOKUP(P$4,'Critical care'!$BM$5:$BU$19,2,FALSE),"")</f>
        <v/>
      </c>
      <c r="Q163" s="95" t="str">
        <f>IFERROR(VLOOKUP(Q$4,'Critical care'!$BM$5:$BU$19,2,FALSE),"")</f>
        <v/>
      </c>
      <c r="R163" s="74" t="str">
        <f>IFERROR(VLOOKUP(R$4,'Critical care'!$BM$5:$BT$19,2,FALSE),"")</f>
        <v/>
      </c>
      <c r="AA163" s="149"/>
      <c r="AB163" s="149"/>
      <c r="AC163" s="149"/>
      <c r="AD163" s="149"/>
    </row>
    <row r="164" spans="2:30" x14ac:dyDescent="0.35">
      <c r="B164" s="136"/>
      <c r="C164" s="1" t="s">
        <v>21</v>
      </c>
      <c r="D164" s="132">
        <f>IFERROR(VLOOKUP(D$4,'Critical care'!$BM$5:$BU$19,3,FALSE),"")</f>
        <v>102.14285714285714</v>
      </c>
      <c r="E164" s="132">
        <f>IFERROR(VLOOKUP(E$4,'Critical care'!$BM$5:$BU$19,3,FALSE),"")</f>
        <v>100.57142857142857</v>
      </c>
      <c r="F164" s="132">
        <f>IFERROR(VLOOKUP(F$4,'Critical care'!$BM$5:$BU$19,3,FALSE),"")</f>
        <v>104</v>
      </c>
      <c r="G164" s="132">
        <f>IFERROR(VLOOKUP(G$4,'Critical care'!$BM$5:$BU$19,3,FALSE),"")</f>
        <v>101</v>
      </c>
      <c r="H164" s="132">
        <f>IFERROR(VLOOKUP(H$4,'Critical care'!$BM$5:$BU$19,3,FALSE),"")</f>
        <v>148.57142857142858</v>
      </c>
      <c r="I164" s="132">
        <f>IFERROR(VLOOKUP(I$4,'Critical care'!$BM$5:$BU$19,3,FALSE),"")</f>
        <v>119.85714285714286</v>
      </c>
      <c r="J164" s="132">
        <f>IFERROR(VLOOKUP(J$4,'Critical care'!$BM$5:$BU$19,3,FALSE),"")</f>
        <v>80.857142857142861</v>
      </c>
      <c r="K164" s="132">
        <f>IFERROR(VLOOKUP(K$4,'Critical care'!$BM$5:$BU$19,3,FALSE),"")</f>
        <v>87.428571428571431</v>
      </c>
      <c r="L164" s="132" t="str">
        <f>IFERROR(VLOOKUP(L$4,'Critical care'!$BM$5:$BU$19,3,FALSE),"")</f>
        <v/>
      </c>
      <c r="M164" s="132" t="str">
        <f>IFERROR(VLOOKUP(M$4,'Critical care'!$BM$5:$BU$19,3,FALSE),"")</f>
        <v/>
      </c>
      <c r="N164" s="132" t="str">
        <f>IFERROR(VLOOKUP(N$4,'Critical care'!$BM$5:$BU$19,3,FALSE),"")</f>
        <v/>
      </c>
      <c r="O164" s="132" t="str">
        <f>IFERROR(VLOOKUP(O$4,'Critical care'!$BM$5:$BU$19,3,FALSE),"")</f>
        <v/>
      </c>
      <c r="P164" s="132" t="str">
        <f>IFERROR(VLOOKUP(P$4,'Critical care'!$BM$5:$BU$19,3,FALSE),"")</f>
        <v/>
      </c>
      <c r="Q164" s="132" t="str">
        <f>IFERROR(VLOOKUP(Q$4,'Critical care'!$BM$5:$BU$19,3,FALSE),"")</f>
        <v/>
      </c>
      <c r="R164" s="71" t="str">
        <f>IFERROR(VLOOKUP(R$4,'Critical care'!$BM$5:$BT$19,3,FALSE),"")</f>
        <v/>
      </c>
      <c r="AA164" s="149"/>
      <c r="AB164" s="149"/>
      <c r="AC164" s="149"/>
      <c r="AD164" s="149"/>
    </row>
    <row r="165" spans="2:30" x14ac:dyDescent="0.35">
      <c r="B165" s="136"/>
      <c r="C165" s="1" t="s">
        <v>22</v>
      </c>
      <c r="D165" s="132">
        <f>IFERROR(VLOOKUP(D$4,'Critical care'!$BM$5:$BU$19,4,FALSE),"")</f>
        <v>136.14285714285714</v>
      </c>
      <c r="E165" s="132">
        <f>IFERROR(VLOOKUP(E$4,'Critical care'!$BM$5:$BU$19,4,FALSE),"")</f>
        <v>129</v>
      </c>
      <c r="F165" s="132">
        <f>IFERROR(VLOOKUP(F$4,'Critical care'!$BM$5:$BU$19,4,FALSE),"")</f>
        <v>119.71428571428571</v>
      </c>
      <c r="G165" s="132">
        <f>IFERROR(VLOOKUP(G$4,'Critical care'!$BM$5:$BU$19,4,FALSE),"")</f>
        <v>120.42857142857143</v>
      </c>
      <c r="H165" s="132">
        <f>IFERROR(VLOOKUP(H$4,'Critical care'!$BM$5:$BU$19,4,FALSE),"")</f>
        <v>145.85714285714286</v>
      </c>
      <c r="I165" s="132">
        <f>IFERROR(VLOOKUP(I$4,'Critical care'!$BM$5:$BU$19,4,FALSE),"")</f>
        <v>124.71428571428571</v>
      </c>
      <c r="J165" s="132">
        <f>IFERROR(VLOOKUP(J$4,'Critical care'!$BM$5:$BU$19,4,FALSE),"")</f>
        <v>110.14285714285714</v>
      </c>
      <c r="K165" s="132">
        <f>IFERROR(VLOOKUP(K$4,'Critical care'!$BM$5:$BU$19,4,FALSE),"")</f>
        <v>104.42857142857143</v>
      </c>
      <c r="L165" s="132" t="str">
        <f>IFERROR(VLOOKUP(L$4,'Critical care'!$BM$5:$BU$19,4,FALSE),"")</f>
        <v/>
      </c>
      <c r="M165" s="132" t="str">
        <f>IFERROR(VLOOKUP(M$4,'Critical care'!$BM$5:$BU$19,4,FALSE),"")</f>
        <v/>
      </c>
      <c r="N165" s="132" t="str">
        <f>IFERROR(VLOOKUP(N$4,'Critical care'!$BM$5:$BU$19,4,FALSE),"")</f>
        <v/>
      </c>
      <c r="O165" s="132" t="str">
        <f>IFERROR(VLOOKUP(O$4,'Critical care'!$BM$5:$BU$19,4,FALSE),"")</f>
        <v/>
      </c>
      <c r="P165" s="132" t="str">
        <f>IFERROR(VLOOKUP(P$4,'Critical care'!$BM$5:$BU$19,4,FALSE),"")</f>
        <v/>
      </c>
      <c r="Q165" s="132" t="str">
        <f>IFERROR(VLOOKUP(Q$4,'Critical care'!$BM$5:$BU$19,4,FALSE),"")</f>
        <v/>
      </c>
      <c r="R165" s="71" t="str">
        <f>IFERROR(VLOOKUP(R$4,'Critical care'!$BM$5:$BT$19,4,FALSE),"")</f>
        <v/>
      </c>
      <c r="AA165" s="149"/>
      <c r="AB165" s="149"/>
      <c r="AC165" s="149"/>
      <c r="AD165" s="149"/>
    </row>
    <row r="166" spans="2:30" x14ac:dyDescent="0.35">
      <c r="B166" s="136"/>
      <c r="C166" s="1" t="s">
        <v>24</v>
      </c>
      <c r="D166" s="132">
        <f>IFERROR(VLOOKUP(D$4,'Critical care'!$BM$5:$BU$19,8,FALSE),"")</f>
        <v>71.142857142857139</v>
      </c>
      <c r="E166" s="132">
        <f>IFERROR(VLOOKUP(E$4,'Critical care'!$BM$5:$BU$19,8,FALSE),"")</f>
        <v>76</v>
      </c>
      <c r="F166" s="132">
        <f>IFERROR(VLOOKUP(F$4,'Critical care'!$BM$5:$BU$19,8,FALSE),"")</f>
        <v>74.142857142857139</v>
      </c>
      <c r="G166" s="132">
        <f>IFERROR(VLOOKUP(G$4,'Critical care'!$BM$5:$BU$19,8,FALSE),"")</f>
        <v>76.285714285714292</v>
      </c>
      <c r="H166" s="132">
        <f>IFERROR(VLOOKUP(H$4,'Critical care'!$BM$5:$BU$19,8,FALSE),"")</f>
        <v>87.857142857142861</v>
      </c>
      <c r="I166" s="132">
        <f>IFERROR(VLOOKUP(I$4,'Critical care'!$BM$5:$BU$19,8,FALSE),"")</f>
        <v>80.142857142857139</v>
      </c>
      <c r="J166" s="132">
        <f>IFERROR(VLOOKUP(J$4,'Critical care'!$BM$5:$BU$19,8,FALSE),"")</f>
        <v>69</v>
      </c>
      <c r="K166" s="132">
        <f>IFERROR(VLOOKUP(K$4,'Critical care'!$BM$5:$BU$19,8,FALSE),"")</f>
        <v>86.714285714285708</v>
      </c>
      <c r="L166" s="132" t="str">
        <f>IFERROR(VLOOKUP(L$4,'Critical care'!$BM$5:$BU$19,8,FALSE),"")</f>
        <v/>
      </c>
      <c r="M166" s="132" t="str">
        <f>IFERROR(VLOOKUP(M$4,'Critical care'!$BM$5:$BU$19,8,FALSE),"")</f>
        <v/>
      </c>
      <c r="N166" s="132" t="str">
        <f>IFERROR(VLOOKUP(N$4,'Critical care'!$BM$5:$BU$19,8,FALSE),"")</f>
        <v/>
      </c>
      <c r="O166" s="132" t="str">
        <f>IFERROR(VLOOKUP(O$4,'Critical care'!$BM$5:$BU$19,8,FALSE),"")</f>
        <v/>
      </c>
      <c r="P166" s="132" t="str">
        <f>IFERROR(VLOOKUP(P$4,'Critical care'!$BM$5:$BU$19,8,FALSE),"")</f>
        <v/>
      </c>
      <c r="Q166" s="132" t="str">
        <f>IFERROR(VLOOKUP(Q$4,'Critical care'!$BM$5:$BU$19,8,FALSE),"")</f>
        <v/>
      </c>
      <c r="R166" s="71"/>
      <c r="AA166" s="149"/>
      <c r="AB166" s="149"/>
      <c r="AC166" s="149"/>
      <c r="AD166" s="149"/>
    </row>
    <row r="167" spans="2:30" x14ac:dyDescent="0.35">
      <c r="B167" s="136"/>
      <c r="C167" s="1" t="s">
        <v>25</v>
      </c>
      <c r="D167" s="132">
        <f>IFERROR(VLOOKUP(D$4,'Critical care'!$BM$5:$BU$19,5,FALSE),"")</f>
        <v>155.71428571428572</v>
      </c>
      <c r="E167" s="132">
        <f>IFERROR(VLOOKUP(E$4,'Critical care'!$BM$5:$BU$19,5,FALSE),"")</f>
        <v>150.85714285714286</v>
      </c>
      <c r="F167" s="132">
        <f>IFERROR(VLOOKUP(F$4,'Critical care'!$BM$5:$BU$19,5,FALSE),"")</f>
        <v>154.85714285714286</v>
      </c>
      <c r="G167" s="132">
        <f>IFERROR(VLOOKUP(G$4,'Critical care'!$BM$5:$BU$19,5,FALSE),"")</f>
        <v>156.28571428571428</v>
      </c>
      <c r="H167" s="132">
        <f>IFERROR(VLOOKUP(H$4,'Critical care'!$BM$5:$BU$19,5,FALSE),"")</f>
        <v>179.57142857142858</v>
      </c>
      <c r="I167" s="132">
        <f>IFERROR(VLOOKUP(I$4,'Critical care'!$BM$5:$BU$19,5,FALSE),"")</f>
        <v>143</v>
      </c>
      <c r="J167" s="132">
        <f>IFERROR(VLOOKUP(J$4,'Critical care'!$BM$5:$BU$19,5,FALSE),"")</f>
        <v>137.71428571428572</v>
      </c>
      <c r="K167" s="132">
        <f>IFERROR(VLOOKUP(K$4,'Critical care'!$BM$5:$BU$19,5,FALSE),"")</f>
        <v>146.71428571428572</v>
      </c>
      <c r="L167" s="132" t="str">
        <f>IFERROR(VLOOKUP(L$4,'Critical care'!$BM$5:$BU$19,5,FALSE),"")</f>
        <v/>
      </c>
      <c r="M167" s="132" t="str">
        <f>IFERROR(VLOOKUP(M$4,'Critical care'!$BM$5:$BU$19,5,FALSE),"")</f>
        <v/>
      </c>
      <c r="N167" s="132" t="str">
        <f>IFERROR(VLOOKUP(N$4,'Critical care'!$BM$5:$BU$19,5,FALSE),"")</f>
        <v/>
      </c>
      <c r="O167" s="132" t="str">
        <f>IFERROR(VLOOKUP(O$4,'Critical care'!$BM$5:$BU$19,5,FALSE),"")</f>
        <v/>
      </c>
      <c r="P167" s="132" t="str">
        <f>IFERROR(VLOOKUP(P$4,'Critical care'!$BM$5:$BU$19,5,FALSE),"")</f>
        <v/>
      </c>
      <c r="Q167" s="132" t="str">
        <f>IFERROR(VLOOKUP(Q$4,'Critical care'!$BM$5:$BU$19,5,FALSE),"")</f>
        <v/>
      </c>
      <c r="R167" s="71"/>
      <c r="AA167" s="149"/>
      <c r="AB167" s="149"/>
      <c r="AC167" s="149"/>
      <c r="AD167" s="149"/>
    </row>
    <row r="168" spans="2:30" x14ac:dyDescent="0.35">
      <c r="B168" s="136"/>
      <c r="C168" s="1" t="s">
        <v>37</v>
      </c>
      <c r="D168" s="132">
        <f>IFERROR(VLOOKUP(D$4,'Critical care'!$BM$5:$BU$19,9,FALSE),"")</f>
        <v>120.85714285714286</v>
      </c>
      <c r="E168" s="132">
        <f>IFERROR(VLOOKUP(E$4,'Critical care'!$BM$5:$BU$19,9,FALSE),"")</f>
        <v>113.28571428571429</v>
      </c>
      <c r="F168" s="132">
        <f>IFERROR(VLOOKUP(F$4,'Critical care'!$BM$5:$BU$19,9,FALSE),"")</f>
        <v>113.57142857142857</v>
      </c>
      <c r="G168" s="132">
        <f>IFERROR(VLOOKUP(G$4,'Critical care'!$BM$5:$BU$19,9,FALSE),"")</f>
        <v>127.42857142857143</v>
      </c>
      <c r="H168" s="132">
        <f>IFERROR(VLOOKUP(H$4,'Critical care'!$BM$5:$BU$19,9,FALSE),"")</f>
        <v>161.85714285714286</v>
      </c>
      <c r="I168" s="132">
        <f>IFERROR(VLOOKUP(I$4,'Critical care'!$BM$5:$BU$19,9,FALSE),"")</f>
        <v>122.28571428571429</v>
      </c>
      <c r="J168" s="132">
        <f>IFERROR(VLOOKUP(J$4,'Critical care'!$BM$5:$BU$19,9,FALSE),"")</f>
        <v>106.14285714285714</v>
      </c>
      <c r="K168" s="132">
        <f>IFERROR(VLOOKUP(K$4,'Critical care'!$BM$5:$BU$19,9,FALSE),"")</f>
        <v>112</v>
      </c>
      <c r="L168" s="132" t="str">
        <f>IFERROR(VLOOKUP(L$4,'Critical care'!$BM$5:$BU$19,9,FALSE),"")</f>
        <v/>
      </c>
      <c r="M168" s="132" t="str">
        <f>IFERROR(VLOOKUP(M$4,'Critical care'!$BM$5:$BU$19,9,FALSE),"")</f>
        <v/>
      </c>
      <c r="N168" s="132" t="str">
        <f>IFERROR(VLOOKUP(N$4,'Critical care'!$BM$5:$BU$19,9,FALSE),"")</f>
        <v/>
      </c>
      <c r="O168" s="132" t="str">
        <f>IFERROR(VLOOKUP(O$4,'Critical care'!$BM$5:$BU$19,9,FALSE),"")</f>
        <v/>
      </c>
      <c r="P168" s="132" t="str">
        <f>IFERROR(VLOOKUP(P$4,'Critical care'!$BM$5:$BU$19,9,FALSE),"")</f>
        <v/>
      </c>
      <c r="Q168" s="132" t="str">
        <f>IFERROR(VLOOKUP(Q$4,'Critical care'!$BM$5:$BU$19,9,FALSE),"")</f>
        <v/>
      </c>
      <c r="R168" s="71" t="str">
        <f>IFERROR(VLOOKUP(R$4,'Critical care'!$BM$5:$BT$19,5,FALSE),"")</f>
        <v/>
      </c>
      <c r="AA168" s="149"/>
      <c r="AB168" s="149"/>
      <c r="AC168" s="149"/>
      <c r="AD168" s="149"/>
    </row>
    <row r="169" spans="2:30" x14ac:dyDescent="0.35">
      <c r="B169" s="136"/>
      <c r="C169" s="1" t="s">
        <v>27</v>
      </c>
      <c r="D169" s="132">
        <f>IFERROR(VLOOKUP(D$4,'Critical care'!$BM$5:$BU$19,6,FALSE),"")</f>
        <v>113</v>
      </c>
      <c r="E169" s="132">
        <f>IFERROR(VLOOKUP(E$4,'Critical care'!$BM$5:$BU$19,6,FALSE),"")</f>
        <v>123.57142857142857</v>
      </c>
      <c r="F169" s="132">
        <f>IFERROR(VLOOKUP(F$4,'Critical care'!$BM$5:$BU$19,6,FALSE),"")</f>
        <v>130</v>
      </c>
      <c r="G169" s="132">
        <f>IFERROR(VLOOKUP(G$4,'Critical care'!$BM$5:$BU$19,6,FALSE),"")</f>
        <v>128.14285714285714</v>
      </c>
      <c r="H169" s="132">
        <f>IFERROR(VLOOKUP(H$4,'Critical care'!$BM$5:$BU$19,6,FALSE),"")</f>
        <v>135.14285714285714</v>
      </c>
      <c r="I169" s="132">
        <f>IFERROR(VLOOKUP(I$4,'Critical care'!$BM$5:$BU$19,6,FALSE),"")</f>
        <v>112.14285714285714</v>
      </c>
      <c r="J169" s="132">
        <f>IFERROR(VLOOKUP(J$4,'Critical care'!$BM$5:$BU$19,6,FALSE),"")</f>
        <v>98</v>
      </c>
      <c r="K169" s="132">
        <f>IFERROR(VLOOKUP(K$4,'Critical care'!$BM$5:$BU$19,6,FALSE),"")</f>
        <v>94.857142857142861</v>
      </c>
      <c r="L169" s="132" t="str">
        <f>IFERROR(VLOOKUP(L$4,'Critical care'!$BM$5:$BU$19,6,FALSE),"")</f>
        <v/>
      </c>
      <c r="M169" s="132" t="str">
        <f>IFERROR(VLOOKUP(M$4,'Critical care'!$BM$5:$BU$19,6,FALSE),"")</f>
        <v/>
      </c>
      <c r="N169" s="132" t="str">
        <f>IFERROR(VLOOKUP(N$4,'Critical care'!$BM$5:$BU$19,6,FALSE),"")</f>
        <v/>
      </c>
      <c r="O169" s="132" t="str">
        <f>IFERROR(VLOOKUP(O$4,'Critical care'!$BM$5:$BU$19,6,FALSE),"")</f>
        <v/>
      </c>
      <c r="P169" s="132" t="str">
        <f>IFERROR(VLOOKUP(P$4,'Critical care'!$BM$5:$BU$19,6,FALSE),"")</f>
        <v/>
      </c>
      <c r="Q169" s="132" t="str">
        <f>IFERROR(VLOOKUP(Q$4,'Critical care'!$BM$5:$BU$19,6,FALSE),"")</f>
        <v/>
      </c>
      <c r="R169" s="71" t="str">
        <f>IFERROR(VLOOKUP(R$4,'Critical care'!$BM$5:$BT$19,6,FALSE),"")</f>
        <v/>
      </c>
      <c r="AA169" s="39"/>
      <c r="AB169" s="39"/>
      <c r="AC169" s="39"/>
      <c r="AD169" s="39"/>
    </row>
    <row r="170" spans="2:30" x14ac:dyDescent="0.35">
      <c r="B170" s="136"/>
      <c r="C170" s="1" t="s">
        <v>28</v>
      </c>
      <c r="D170" s="132">
        <f>IFERROR(VLOOKUP(D$4,'Critical care'!$BM$5:$BU$19,7,FALSE),"")</f>
        <v>82.857142857142861</v>
      </c>
      <c r="E170" s="132">
        <f>IFERROR(VLOOKUP(E$4,'Critical care'!$BM$5:$BU$19,7,FALSE),"")</f>
        <v>81.714285714285708</v>
      </c>
      <c r="F170" s="132">
        <f>IFERROR(VLOOKUP(F$4,'Critical care'!$BM$5:$BU$19,7,FALSE),"")</f>
        <v>79.285714285714292</v>
      </c>
      <c r="G170" s="132">
        <f>IFERROR(VLOOKUP(G$4,'Critical care'!$BM$5:$BU$19,7,FALSE),"")</f>
        <v>72.285714285714292</v>
      </c>
      <c r="H170" s="132">
        <f>IFERROR(VLOOKUP(H$4,'Critical care'!$BM$5:$BU$19,7,FALSE),"")</f>
        <v>90.857142857142861</v>
      </c>
      <c r="I170" s="132">
        <f>IFERROR(VLOOKUP(I$4,'Critical care'!$BM$5:$BU$19,7,FALSE),"")</f>
        <v>72.857142857142861</v>
      </c>
      <c r="J170" s="132">
        <f>IFERROR(VLOOKUP(J$4,'Critical care'!$BM$5:$BU$19,7,FALSE),"")</f>
        <v>70.857142857142861</v>
      </c>
      <c r="K170" s="132">
        <f>IFERROR(VLOOKUP(K$4,'Critical care'!$BM$5:$BU$19,7,FALSE),"")</f>
        <v>70.714285714285708</v>
      </c>
      <c r="L170" s="132" t="str">
        <f>IFERROR(VLOOKUP(L$4,'Critical care'!$BM$5:$BU$19,7,FALSE),"")</f>
        <v/>
      </c>
      <c r="M170" s="132" t="str">
        <f>IFERROR(VLOOKUP(M$4,'Critical care'!$BM$5:$BU$19,7,FALSE),"")</f>
        <v/>
      </c>
      <c r="N170" s="132" t="str">
        <f>IFERROR(VLOOKUP(N$4,'Critical care'!$BM$5:$BU$19,7,FALSE),"")</f>
        <v/>
      </c>
      <c r="O170" s="132" t="str">
        <f>IFERROR(VLOOKUP(O$4,'Critical care'!$BM$5:$BU$19,7,FALSE),"")</f>
        <v/>
      </c>
      <c r="P170" s="132" t="str">
        <f>IFERROR(VLOOKUP(P$4,'Critical care'!$BM$5:$BU$19,7,FALSE),"")</f>
        <v/>
      </c>
      <c r="Q170" s="132" t="str">
        <f>IFERROR(VLOOKUP(Q$4,'Critical care'!$BM$5:$BU$19,7,FALSE),"")</f>
        <v/>
      </c>
      <c r="R170" s="71" t="str">
        <f>IFERROR(VLOOKUP(R$4,'Critical care'!$BM$5:$BT$19,7,FALSE),"")</f>
        <v/>
      </c>
      <c r="AA170" s="39"/>
      <c r="AB170" s="39"/>
      <c r="AC170" s="39"/>
      <c r="AD170" s="39"/>
    </row>
    <row r="171" spans="2:30" ht="30" customHeight="1" x14ac:dyDescent="0.35">
      <c r="C171" s="1"/>
    </row>
    <row r="172" spans="2:30" ht="15" customHeight="1" x14ac:dyDescent="0.35">
      <c r="B172" s="136" t="s">
        <v>74</v>
      </c>
      <c r="C172" s="9" t="s">
        <v>70</v>
      </c>
      <c r="D172" s="88">
        <v>0.8784681516217272</v>
      </c>
      <c r="E172" s="88">
        <v>0.8939749608763693</v>
      </c>
      <c r="F172" s="88">
        <v>0.87917146144994252</v>
      </c>
      <c r="G172" s="88">
        <v>0.88724151385095595</v>
      </c>
      <c r="H172" s="88">
        <v>0.86304604486422665</v>
      </c>
      <c r="I172" s="88">
        <v>0.87376335575781561</v>
      </c>
      <c r="J172" s="88">
        <v>0.86109995985547971</v>
      </c>
      <c r="K172" s="88">
        <v>0.81734243275792851</v>
      </c>
      <c r="L172" s="88">
        <v>0.81407437025189922</v>
      </c>
      <c r="M172" s="88">
        <v>0.83472720031859815</v>
      </c>
      <c r="N172" s="88">
        <v>0.81415929203539827</v>
      </c>
      <c r="O172" s="88">
        <v>0.80102241447109712</v>
      </c>
      <c r="P172" s="88">
        <v>0.83026421136909523</v>
      </c>
      <c r="Q172" s="88">
        <v>0.8213998390989542</v>
      </c>
      <c r="R172" s="2"/>
      <c r="S172" s="2"/>
      <c r="AA172" s="137" t="s">
        <v>75</v>
      </c>
      <c r="AB172" s="137"/>
      <c r="AC172" s="137"/>
      <c r="AD172" s="137"/>
    </row>
    <row r="173" spans="2:30" x14ac:dyDescent="0.35">
      <c r="B173" s="136"/>
      <c r="C173" s="1" t="s">
        <v>18</v>
      </c>
      <c r="D173" s="89">
        <v>0.86446020488573683</v>
      </c>
      <c r="E173" s="89">
        <v>0.85500982318271124</v>
      </c>
      <c r="F173" s="89">
        <v>0.83563263697280254</v>
      </c>
      <c r="G173" s="89">
        <v>0.81710681907765081</v>
      </c>
      <c r="H173" s="89">
        <v>0.76535001955416504</v>
      </c>
      <c r="I173" s="89">
        <v>0.7693510555121188</v>
      </c>
      <c r="J173" s="89">
        <v>0.72510737992971497</v>
      </c>
      <c r="K173" s="89">
        <v>0.77665369649805449</v>
      </c>
      <c r="L173" s="89">
        <v>0.80769230769230771</v>
      </c>
      <c r="M173" s="89">
        <v>0.78748068006182381</v>
      </c>
      <c r="N173" s="89">
        <v>0.77888293802601383</v>
      </c>
      <c r="O173" s="89">
        <v>0.7749615975422427</v>
      </c>
      <c r="P173" s="89">
        <v>0.75381008206330602</v>
      </c>
      <c r="Q173" s="89">
        <v>0.78179696616102679</v>
      </c>
      <c r="AA173" s="137"/>
      <c r="AB173" s="137"/>
      <c r="AC173" s="137"/>
      <c r="AD173" s="137"/>
    </row>
    <row r="174" spans="2:30" ht="7.5" customHeight="1" x14ac:dyDescent="0.35">
      <c r="B174" s="136"/>
      <c r="D174" s="26">
        <v>0.85</v>
      </c>
      <c r="E174" s="26">
        <v>0.85</v>
      </c>
      <c r="F174" s="26">
        <v>0.85</v>
      </c>
      <c r="G174" s="26">
        <v>0.85</v>
      </c>
      <c r="H174" s="26">
        <v>0.85</v>
      </c>
      <c r="I174" s="26">
        <v>0.85</v>
      </c>
      <c r="J174" s="26">
        <v>0.85</v>
      </c>
      <c r="K174" s="26">
        <v>0.85</v>
      </c>
      <c r="L174" s="26">
        <v>0.85</v>
      </c>
      <c r="M174" s="26">
        <v>0.85</v>
      </c>
      <c r="N174" s="26">
        <v>0.85</v>
      </c>
      <c r="O174" s="26">
        <v>0.85</v>
      </c>
      <c r="P174" s="26">
        <v>0.85</v>
      </c>
      <c r="Q174" s="26"/>
      <c r="R174" s="26">
        <v>0.85</v>
      </c>
      <c r="AA174" s="137"/>
      <c r="AB174" s="137"/>
      <c r="AC174" s="137"/>
      <c r="AD174" s="137"/>
    </row>
    <row r="175" spans="2:30" x14ac:dyDescent="0.35">
      <c r="B175" s="136"/>
      <c r="C175" s="13" t="s">
        <v>20</v>
      </c>
      <c r="D175" s="50">
        <f>IFERROR(VLOOKUP(D$4,PICU!$AA$5:$AI$19,2,FALSE),"")</f>
        <v>0.86075471698113204</v>
      </c>
      <c r="E175" s="50">
        <f>IFERROR(VLOOKUP(E$4,PICU!$AA$5:$AI$19,2,FALSE),"")</f>
        <v>0.85165462152909854</v>
      </c>
      <c r="F175" s="50">
        <f>IFERROR(VLOOKUP(F$4,PICU!$AA$5:$AI$19,2,FALSE),"")</f>
        <v>0.831638418079096</v>
      </c>
      <c r="G175" s="50">
        <f>IFERROR(VLOOKUP(G$4,PICU!$AA$5:$AI$19,2,FALSE),"")</f>
        <v>0.85617214043035106</v>
      </c>
      <c r="H175" s="50">
        <f>IFERROR(VLOOKUP(H$4,PICU!$AA$5:$AI$19,2,FALSE),"")</f>
        <v>0.78519924098671723</v>
      </c>
      <c r="I175" s="50">
        <f>IFERROR(VLOOKUP(I$4,PICU!$AA$5:$AI$19,2,FALSE),"")</f>
        <v>0.72810011376564276</v>
      </c>
      <c r="J175" s="50">
        <f>IFERROR(VLOOKUP(J$4,PICU!$AA$5:$AI$19,2,FALSE),"")</f>
        <v>0.73505591978403395</v>
      </c>
      <c r="K175" s="50">
        <f>IFERROR(VLOOKUP(K$4,PICU!$AA$5:$AI$19,2,FALSE),"")</f>
        <v>0.74913561275451401</v>
      </c>
      <c r="L175" s="50" t="str">
        <f>IFERROR(VLOOKUP(L$4,PICU!$AA$5:$AI$19,2,FALSE),"")</f>
        <v/>
      </c>
      <c r="M175" s="50" t="str">
        <f>IFERROR(VLOOKUP(M$4,PICU!$AA$5:$AI$19,2,FALSE),"")</f>
        <v/>
      </c>
      <c r="N175" s="50" t="str">
        <f>IFERROR(VLOOKUP(N$4,PICU!$AA$5:$AI$19,2,FALSE),"")</f>
        <v/>
      </c>
      <c r="O175" s="50" t="str">
        <f>IFERROR(VLOOKUP(O$4,PICU!$AA$5:$AI$19,2,FALSE),"")</f>
        <v/>
      </c>
      <c r="P175" s="50" t="str">
        <f>IFERROR(VLOOKUP(P$4,PICU!$AA$5:$AI$19,2,FALSE),"")</f>
        <v/>
      </c>
      <c r="Q175" s="50" t="str">
        <f>IFERROR(VLOOKUP(Q$4,PICU!$AA$5:$AI$19,2,FALSE),"")</f>
        <v/>
      </c>
      <c r="R175" s="75" t="str">
        <f>IFERROR(VLOOKUP(R$4,PICU!$AA$5:$AH$19,2,FALSE),"")</f>
        <v/>
      </c>
      <c r="AA175" s="137"/>
      <c r="AB175" s="137"/>
      <c r="AC175" s="137"/>
      <c r="AD175" s="137"/>
    </row>
    <row r="176" spans="2:30" x14ac:dyDescent="0.35">
      <c r="B176" s="136"/>
      <c r="C176" s="1" t="s">
        <v>21</v>
      </c>
      <c r="D176" s="133">
        <f>IFERROR(VLOOKUP(D$4,PICU!$AA$5:$AI$19,3,FALSE),"")</f>
        <v>0.8</v>
      </c>
      <c r="E176" s="133">
        <f>IFERROR(VLOOKUP(E$4,PICU!$AA$5:$AI$19,3,FALSE),"")</f>
        <v>0.80590717299578063</v>
      </c>
      <c r="F176" s="133">
        <f>IFERROR(VLOOKUP(F$4,PICU!$AA$5:$AI$19,3,FALSE),"")</f>
        <v>0.72573839662447259</v>
      </c>
      <c r="G176" s="133">
        <f>IFERROR(VLOOKUP(G$4,PICU!$AA$5:$AI$19,3,FALSE),"")</f>
        <v>0.7927736450584485</v>
      </c>
      <c r="H176" s="133">
        <f>IFERROR(VLOOKUP(H$4,PICU!$AA$5:$AI$19,3,FALSE),"")</f>
        <v>0.71099476439790577</v>
      </c>
      <c r="I176" s="133">
        <f>IFERROR(VLOOKUP(I$4,PICU!$AA$5:$AI$19,3,FALSE),"")</f>
        <v>0.66803278688524592</v>
      </c>
      <c r="J176" s="133">
        <f>IFERROR(VLOOKUP(J$4,PICU!$AA$5:$AI$19,3,FALSE),"")</f>
        <v>0.66243386243386249</v>
      </c>
      <c r="K176" s="133">
        <f>IFERROR(VLOOKUP(K$4,PICU!$AA$5:$AI$19,3,FALSE),"")</f>
        <v>0.70370370370370372</v>
      </c>
      <c r="L176" s="133" t="str">
        <f>IFERROR(VLOOKUP(L$4,PICU!$AA$5:$AI$19,3,FALSE),"")</f>
        <v/>
      </c>
      <c r="M176" s="133" t="str">
        <f>IFERROR(VLOOKUP(M$4,PICU!$AA$5:$AI$19,3,FALSE),"")</f>
        <v/>
      </c>
      <c r="N176" s="133" t="str">
        <f>IFERROR(VLOOKUP(N$4,PICU!$AA$5:$AI$19,3,FALSE),"")</f>
        <v/>
      </c>
      <c r="O176" s="133" t="str">
        <f>IFERROR(VLOOKUP(O$4,PICU!$AA$5:$AI$19,3,FALSE),"")</f>
        <v/>
      </c>
      <c r="P176" s="133" t="str">
        <f>IFERROR(VLOOKUP(P$4,PICU!$AA$5:$AI$19,3,FALSE),"")</f>
        <v/>
      </c>
      <c r="Q176" s="133" t="str">
        <f>IFERROR(VLOOKUP(Q$4,PICU!$AA$5:$AI$19,3,FALSE),"")</f>
        <v/>
      </c>
      <c r="R176" s="53" t="str">
        <f>IFERROR(VLOOKUP(R$4,PICU!$AA$5:$AH$19,3,FALSE),"")</f>
        <v/>
      </c>
      <c r="AA176" s="149" t="s">
        <v>76</v>
      </c>
      <c r="AB176" s="149"/>
      <c r="AC176" s="149"/>
      <c r="AD176" s="149"/>
    </row>
    <row r="177" spans="2:30" x14ac:dyDescent="0.35">
      <c r="B177" s="136"/>
      <c r="C177" s="1" t="s">
        <v>22</v>
      </c>
      <c r="D177" s="133">
        <f>IFERROR(VLOOKUP(D$4,PICU!$AA$5:$AI$19,4,FALSE),"")</f>
        <v>0.92070484581497802</v>
      </c>
      <c r="E177" s="133">
        <f>IFERROR(VLOOKUP(E$4,PICU!$AA$5:$AI$19,4,FALSE),"")</f>
        <v>0.92592592592592593</v>
      </c>
      <c r="F177" s="133">
        <f>IFERROR(VLOOKUP(F$4,PICU!$AA$5:$AI$19,4,FALSE),"")</f>
        <v>0.97674418604651159</v>
      </c>
      <c r="G177" s="133">
        <f>IFERROR(VLOOKUP(G$4,PICU!$AA$5:$AI$19,4,FALSE),"")</f>
        <v>0.97634408602150535</v>
      </c>
      <c r="H177" s="133">
        <f>IFERROR(VLOOKUP(H$4,PICU!$AA$5:$AI$19,4,FALSE),"")</f>
        <v>0.93156732891832228</v>
      </c>
      <c r="I177" s="133">
        <f>IFERROR(VLOOKUP(I$4,PICU!$AA$5:$AI$19,4,FALSE),"")</f>
        <v>0.82027649769585254</v>
      </c>
      <c r="J177" s="133">
        <f>IFERROR(VLOOKUP(J$4,PICU!$AA$5:$AI$19,4,FALSE),"")</f>
        <v>0.79156908665105385</v>
      </c>
      <c r="K177" s="133">
        <f>IFERROR(VLOOKUP(K$4,PICU!$AA$5:$AI$19,4,FALSE),"")</f>
        <v>0.81775700934579443</v>
      </c>
      <c r="L177" s="133" t="str">
        <f>IFERROR(VLOOKUP(L$4,PICU!$AA$5:$AI$19,4,FALSE),"")</f>
        <v/>
      </c>
      <c r="M177" s="133" t="str">
        <f>IFERROR(VLOOKUP(M$4,PICU!$AA$5:$AI$19,4,FALSE),"")</f>
        <v/>
      </c>
      <c r="N177" s="133" t="str">
        <f>IFERROR(VLOOKUP(N$4,PICU!$AA$5:$AI$19,4,FALSE),"")</f>
        <v/>
      </c>
      <c r="O177" s="133" t="str">
        <f>IFERROR(VLOOKUP(O$4,PICU!$AA$5:$AI$19,4,FALSE),"")</f>
        <v/>
      </c>
      <c r="P177" s="133" t="str">
        <f>IFERROR(VLOOKUP(P$4,PICU!$AA$5:$AI$19,4,FALSE),"")</f>
        <v/>
      </c>
      <c r="Q177" s="133" t="str">
        <f>IFERROR(VLOOKUP(Q$4,PICU!$AA$5:$AI$19,4,FALSE),"")</f>
        <v/>
      </c>
      <c r="R177" s="53" t="str">
        <f>IFERROR(VLOOKUP(R$4,PICU!$AA$5:$AH$19,4,FALSE),"")</f>
        <v/>
      </c>
      <c r="AA177" s="149"/>
      <c r="AB177" s="149"/>
      <c r="AC177" s="149"/>
      <c r="AD177" s="149"/>
    </row>
    <row r="178" spans="2:30" x14ac:dyDescent="0.35">
      <c r="B178" s="136"/>
      <c r="C178" s="1" t="s">
        <v>24</v>
      </c>
      <c r="D178" s="133">
        <f>IFERROR(VLOOKUP(D$4,PICU!$AA$5:$AI$19,8,FALSE),"")</f>
        <v>0.5714285714285714</v>
      </c>
      <c r="E178" s="133">
        <f>IFERROR(VLOOKUP(E$4,PICU!$AA$5:$AI$19,8,FALSE),"")</f>
        <v>0.5714285714285714</v>
      </c>
      <c r="F178" s="133">
        <f>IFERROR(VLOOKUP(F$4,PICU!$AA$5:$AI$19,8,FALSE),"")</f>
        <v>0.55555555555555558</v>
      </c>
      <c r="G178" s="133">
        <f>IFERROR(VLOOKUP(G$4,PICU!$AA$5:$AI$19,8,FALSE),"")</f>
        <v>0.82539682539682535</v>
      </c>
      <c r="H178" s="133">
        <f>IFERROR(VLOOKUP(H$4,PICU!$AA$5:$AI$19,8,FALSE),"")</f>
        <v>0.55555555555555558</v>
      </c>
      <c r="I178" s="133">
        <f>IFERROR(VLOOKUP(I$4,PICU!$AA$5:$AI$19,8,FALSE),"")</f>
        <v>0.44444444444444442</v>
      </c>
      <c r="J178" s="133">
        <f>IFERROR(VLOOKUP(J$4,PICU!$AA$5:$AI$19,8,FALSE),"")</f>
        <v>0.56451612903225812</v>
      </c>
      <c r="K178" s="133">
        <f>IFERROR(VLOOKUP(K$4,PICU!$AA$5:$AI$19,8,FALSE),"")</f>
        <v>0.5714285714285714</v>
      </c>
      <c r="L178" s="133" t="str">
        <f>IFERROR(VLOOKUP(L$4,PICU!$AA$5:$AI$19,8,FALSE),"")</f>
        <v/>
      </c>
      <c r="M178" s="133" t="str">
        <f>IFERROR(VLOOKUP(M$4,PICU!$AA$5:$AI$19,8,FALSE),"")</f>
        <v/>
      </c>
      <c r="N178" s="133" t="str">
        <f>IFERROR(VLOOKUP(N$4,PICU!$AA$5:$AI$19,8,FALSE),"")</f>
        <v/>
      </c>
      <c r="O178" s="133" t="str">
        <f>IFERROR(VLOOKUP(O$4,PICU!$AA$5:$AI$19,8,FALSE),"")</f>
        <v/>
      </c>
      <c r="P178" s="133" t="str">
        <f>IFERROR(VLOOKUP(P$4,PICU!$AA$5:$AI$19,8,FALSE),"")</f>
        <v/>
      </c>
      <c r="Q178" s="133" t="str">
        <f>IFERROR(VLOOKUP(Q$4,PICU!$AA$5:$AI$19,8,FALSE),"")</f>
        <v/>
      </c>
      <c r="R178" s="53"/>
      <c r="AA178" s="149"/>
      <c r="AB178" s="149"/>
      <c r="AC178" s="149"/>
      <c r="AD178" s="149"/>
    </row>
    <row r="179" spans="2:30" x14ac:dyDescent="0.35">
      <c r="B179" s="136"/>
      <c r="C179" s="1" t="s">
        <v>25</v>
      </c>
      <c r="D179" s="133">
        <f>IFERROR(VLOOKUP(D$4,PICU!$AA$5:$AI$19,5,FALSE),"")</f>
        <v>0.94647887323943658</v>
      </c>
      <c r="E179" s="133">
        <f>IFERROR(VLOOKUP(E$4,PICU!$AA$5:$AI$19,5,FALSE),"")</f>
        <v>0.89020771513353114</v>
      </c>
      <c r="F179" s="133">
        <f>IFERROR(VLOOKUP(F$4,PICU!$AA$5:$AI$19,5,FALSE),"")</f>
        <v>0.83760683760683763</v>
      </c>
      <c r="G179" s="133">
        <f>IFERROR(VLOOKUP(G$4,PICU!$AA$5:$AI$19,5,FALSE),"")</f>
        <v>0.8587257617728532</v>
      </c>
      <c r="H179" s="133">
        <f>IFERROR(VLOOKUP(H$4,PICU!$AA$5:$AI$19,5,FALSE),"")</f>
        <v>0.79714285714285715</v>
      </c>
      <c r="I179" s="133">
        <f>IFERROR(VLOOKUP(I$4,PICU!$AA$5:$AI$19,5,FALSE),"")</f>
        <v>0.71022727272727271</v>
      </c>
      <c r="J179" s="133">
        <f>IFERROR(VLOOKUP(J$4,PICU!$AA$5:$AI$19,5,FALSE),"")</f>
        <v>0.79827089337175794</v>
      </c>
      <c r="K179" s="133">
        <f>IFERROR(VLOOKUP(K$4,PICU!$AA$5:$AI$19,5,FALSE),"")</f>
        <v>0.76</v>
      </c>
      <c r="L179" s="133" t="str">
        <f>IFERROR(VLOOKUP(L$4,PICU!$AA$5:$AI$19,5,FALSE),"")</f>
        <v/>
      </c>
      <c r="M179" s="133" t="str">
        <f>IFERROR(VLOOKUP(M$4,PICU!$AA$5:$AI$19,5,FALSE),"")</f>
        <v/>
      </c>
      <c r="N179" s="133" t="str">
        <f>IFERROR(VLOOKUP(N$4,PICU!$AA$5:$AI$19,5,FALSE),"")</f>
        <v/>
      </c>
      <c r="O179" s="133" t="str">
        <f>IFERROR(VLOOKUP(O$4,PICU!$AA$5:$AI$19,5,FALSE),"")</f>
        <v/>
      </c>
      <c r="P179" s="133" t="str">
        <f>IFERROR(VLOOKUP(P$4,PICU!$AA$5:$AI$19,5,FALSE),"")</f>
        <v/>
      </c>
      <c r="Q179" s="133" t="str">
        <f>IFERROR(VLOOKUP(Q$4,PICU!$AA$5:$AI$19,5,FALSE),"")</f>
        <v/>
      </c>
      <c r="R179" s="53"/>
      <c r="AA179" s="149"/>
      <c r="AB179" s="149"/>
      <c r="AC179" s="149"/>
      <c r="AD179" s="149"/>
    </row>
    <row r="180" spans="2:30" x14ac:dyDescent="0.35">
      <c r="B180" s="136"/>
      <c r="C180" s="1" t="s">
        <v>37</v>
      </c>
      <c r="D180" s="133">
        <f>IFERROR(VLOOKUP(D$4,PICU!$AA$5:$AI$19,9,FALSE),"")</f>
        <v>0.88059701492537312</v>
      </c>
      <c r="E180" s="133">
        <f>IFERROR(VLOOKUP(E$4,PICU!$AA$5:$AI$19,9,FALSE),"")</f>
        <v>0.85927505330490406</v>
      </c>
      <c r="F180" s="133">
        <f>IFERROR(VLOOKUP(F$4,PICU!$AA$5:$AI$19,9,FALSE),"")</f>
        <v>0.89125799573560771</v>
      </c>
      <c r="G180" s="133">
        <f>IFERROR(VLOOKUP(G$4,PICU!$AA$5:$AI$19,9,FALSE),"")</f>
        <v>0.8720682302771855</v>
      </c>
      <c r="H180" s="133">
        <f>IFERROR(VLOOKUP(H$4,PICU!$AA$5:$AI$19,9,FALSE),"")</f>
        <v>0.82942430703624737</v>
      </c>
      <c r="I180" s="133">
        <f>IFERROR(VLOOKUP(I$4,PICU!$AA$5:$AI$19,9,FALSE),"")</f>
        <v>0.80170575692963753</v>
      </c>
      <c r="J180" s="133">
        <f>IFERROR(VLOOKUP(J$4,PICU!$AA$5:$AI$19,9,FALSE),"")</f>
        <v>0.88272921108742008</v>
      </c>
      <c r="K180" s="133">
        <f>IFERROR(VLOOKUP(K$4,PICU!$AA$5:$AI$19,9,FALSE),"")</f>
        <v>0.88059701492537312</v>
      </c>
      <c r="L180" s="133" t="str">
        <f>IFERROR(VLOOKUP(L$4,PICU!$AA$5:$AI$19,9,FALSE),"")</f>
        <v/>
      </c>
      <c r="M180" s="133" t="str">
        <f>IFERROR(VLOOKUP(M$4,PICU!$AA$5:$AI$19,9,FALSE),"")</f>
        <v/>
      </c>
      <c r="N180" s="133" t="str">
        <f>IFERROR(VLOOKUP(N$4,PICU!$AA$5:$AI$19,9,FALSE),"")</f>
        <v/>
      </c>
      <c r="O180" s="133" t="str">
        <f>IFERROR(VLOOKUP(O$4,PICU!$AA$5:$AI$19,9,FALSE),"")</f>
        <v/>
      </c>
      <c r="P180" s="133" t="str">
        <f>IFERROR(VLOOKUP(P$4,PICU!$AA$5:$AI$19,9,FALSE),"")</f>
        <v/>
      </c>
      <c r="Q180" s="133" t="str">
        <f>IFERROR(VLOOKUP(Q$4,PICU!$AA$5:$AI$19,9,FALSE),"")</f>
        <v/>
      </c>
      <c r="R180" s="53" t="str">
        <f>IFERROR(VLOOKUP(R$4,PICU!$AA$5:$AH$19,5,FALSE),"")</f>
        <v/>
      </c>
      <c r="AA180" s="149"/>
      <c r="AB180" s="149"/>
      <c r="AC180" s="149"/>
      <c r="AD180" s="149"/>
    </row>
    <row r="181" spans="2:30" ht="16.5" customHeight="1" x14ac:dyDescent="0.35">
      <c r="B181" s="136"/>
      <c r="C181" s="1" t="s">
        <v>27</v>
      </c>
      <c r="D181" s="133">
        <f>IFERROR(VLOOKUP(D$4,PICU!$AA$5:$AI$19,6,FALSE),"")</f>
        <v>0.85779816513761464</v>
      </c>
      <c r="E181" s="133">
        <f>IFERROR(VLOOKUP(E$4,PICU!$AA$5:$AI$19,6,FALSE),"")</f>
        <v>0.83700440528634357</v>
      </c>
      <c r="F181" s="133">
        <f>IFERROR(VLOOKUP(F$4,PICU!$AA$5:$AI$19,6,FALSE),"")</f>
        <v>0.84888888888888892</v>
      </c>
      <c r="G181" s="133">
        <f>IFERROR(VLOOKUP(G$4,PICU!$AA$5:$AI$19,6,FALSE),"")</f>
        <v>0.8571428571428571</v>
      </c>
      <c r="H181" s="133">
        <f>IFERROR(VLOOKUP(H$4,PICU!$AA$5:$AI$19,6,FALSE),"")</f>
        <v>0.84018264840182644</v>
      </c>
      <c r="I181" s="133">
        <f>IFERROR(VLOOKUP(I$4,PICU!$AA$5:$AI$19,6,FALSE),"")</f>
        <v>0.85253456221198154</v>
      </c>
      <c r="J181" s="133">
        <f>IFERROR(VLOOKUP(J$4,PICU!$AA$5:$AI$19,6,FALSE),"")</f>
        <v>0.67741935483870963</v>
      </c>
      <c r="K181" s="133">
        <f>IFERROR(VLOOKUP(K$4,PICU!$AA$5:$AI$19,6,FALSE),"")</f>
        <v>0.68949771689497719</v>
      </c>
      <c r="L181" s="133" t="str">
        <f>IFERROR(VLOOKUP(L$4,PICU!$AA$5:$AI$19,6,FALSE),"")</f>
        <v/>
      </c>
      <c r="M181" s="133" t="str">
        <f>IFERROR(VLOOKUP(M$4,PICU!$AA$5:$AI$19,6,FALSE),"")</f>
        <v/>
      </c>
      <c r="N181" s="133" t="str">
        <f>IFERROR(VLOOKUP(N$4,PICU!$AA$5:$AI$19,6,FALSE),"")</f>
        <v/>
      </c>
      <c r="O181" s="133" t="str">
        <f>IFERROR(VLOOKUP(O$4,PICU!$AA$5:$AI$19,6,FALSE),"")</f>
        <v/>
      </c>
      <c r="P181" s="133" t="str">
        <f>IFERROR(VLOOKUP(P$4,PICU!$AA$5:$AI$19,6,FALSE),"")</f>
        <v/>
      </c>
      <c r="Q181" s="133" t="str">
        <f>IFERROR(VLOOKUP(Q$4,PICU!$AA$5:$AI$19,6,FALSE),"")</f>
        <v/>
      </c>
      <c r="R181" s="53" t="str">
        <f>IFERROR(VLOOKUP(R$4,PICU!$AA$5:$AH$19,6,FALSE),"")</f>
        <v/>
      </c>
      <c r="AA181" s="149"/>
      <c r="AB181" s="149"/>
      <c r="AC181" s="149"/>
      <c r="AD181" s="149"/>
    </row>
    <row r="182" spans="2:30" ht="16.5" customHeight="1" x14ac:dyDescent="0.35">
      <c r="B182" s="136"/>
      <c r="C182" s="1" t="s">
        <v>28</v>
      </c>
      <c r="D182" s="133">
        <f>IFERROR(VLOOKUP(D$4,PICU!$AA$5:$AI$19,7,FALSE),"")</f>
        <v>0.94444444444444442</v>
      </c>
      <c r="E182" s="133">
        <f>IFERROR(VLOOKUP(E$4,PICU!$AA$5:$AI$19,7,FALSE),"")</f>
        <v>0.96031746031746035</v>
      </c>
      <c r="F182" s="133">
        <f>IFERROR(VLOOKUP(F$4,PICU!$AA$5:$AI$19,7,FALSE),"")</f>
        <v>0.95238095238095233</v>
      </c>
      <c r="G182" s="133">
        <f>IFERROR(VLOOKUP(G$4,PICU!$AA$5:$AI$19,7,FALSE),"")</f>
        <v>0.83333333333333337</v>
      </c>
      <c r="H182" s="133">
        <f>IFERROR(VLOOKUP(H$4,PICU!$AA$5:$AI$19,7,FALSE),"")</f>
        <v>0.6428571428571429</v>
      </c>
      <c r="I182" s="133">
        <f>IFERROR(VLOOKUP(I$4,PICU!$AA$5:$AI$19,7,FALSE),"")</f>
        <v>0.57936507936507942</v>
      </c>
      <c r="J182" s="133">
        <f>IFERROR(VLOOKUP(J$4,PICU!$AA$5:$AI$19,7,FALSE),"")</f>
        <v>0.54761904761904767</v>
      </c>
      <c r="K182" s="133">
        <f>IFERROR(VLOOKUP(K$4,PICU!$AA$5:$AI$19,7,FALSE),"")</f>
        <v>0.53488372093023251</v>
      </c>
      <c r="L182" s="133" t="str">
        <f>IFERROR(VLOOKUP(L$4,PICU!$AA$5:$AI$19,7,FALSE),"")</f>
        <v/>
      </c>
      <c r="M182" s="133" t="str">
        <f>IFERROR(VLOOKUP(M$4,PICU!$AA$5:$AI$19,7,FALSE),"")</f>
        <v/>
      </c>
      <c r="N182" s="133" t="str">
        <f>IFERROR(VLOOKUP(N$4,PICU!$AA$5:$AI$19,7,FALSE),"")</f>
        <v/>
      </c>
      <c r="O182" s="133" t="str">
        <f>IFERROR(VLOOKUP(O$4,PICU!$AA$5:$AI$19,7,FALSE),"")</f>
        <v/>
      </c>
      <c r="P182" s="133" t="str">
        <f>IFERROR(VLOOKUP(P$4,PICU!$AA$5:$AI$19,7,FALSE),"")</f>
        <v/>
      </c>
      <c r="Q182" s="133" t="str">
        <f>IFERROR(VLOOKUP(Q$4,PICU!$AA$5:$AI$19,7,FALSE),"")</f>
        <v/>
      </c>
      <c r="R182" s="53" t="str">
        <f>IFERROR(VLOOKUP(R$4,PICU!$AA$5:$AH$19,7,FALSE),"")</f>
        <v/>
      </c>
      <c r="AA182" s="149"/>
      <c r="AB182" s="149"/>
      <c r="AC182" s="149"/>
      <c r="AD182" s="149"/>
    </row>
    <row r="183" spans="2:30" x14ac:dyDescent="0.35">
      <c r="B183" s="136"/>
      <c r="C183" s="1"/>
      <c r="AA183" s="149"/>
      <c r="AB183" s="149"/>
      <c r="AC183" s="149"/>
      <c r="AD183" s="149"/>
    </row>
    <row r="184" spans="2:30" x14ac:dyDescent="0.35">
      <c r="B184" s="136"/>
      <c r="C184" s="9" t="s">
        <v>73</v>
      </c>
      <c r="D184" s="83">
        <v>44.428571428571431</v>
      </c>
      <c r="E184" s="83">
        <v>38.714285714285715</v>
      </c>
      <c r="F184" s="83">
        <v>45</v>
      </c>
      <c r="G184" s="83">
        <v>41.285714285714285</v>
      </c>
      <c r="H184" s="83">
        <v>49.714285714285715</v>
      </c>
      <c r="I184" s="83">
        <v>45.571428571428569</v>
      </c>
      <c r="J184" s="83">
        <v>49.428571428571431</v>
      </c>
      <c r="K184" s="83">
        <v>65</v>
      </c>
      <c r="L184" s="83">
        <v>66.428571428571431</v>
      </c>
      <c r="M184" s="83">
        <v>59.285714285714285</v>
      </c>
      <c r="N184" s="83">
        <v>66</v>
      </c>
      <c r="O184" s="83">
        <v>72.285714285714292</v>
      </c>
      <c r="P184" s="83">
        <v>60.571428571428569</v>
      </c>
      <c r="Q184" s="83">
        <v>63.428571428571431</v>
      </c>
      <c r="AA184" s="149"/>
      <c r="AB184" s="149"/>
      <c r="AC184" s="149"/>
      <c r="AD184" s="149"/>
    </row>
    <row r="185" spans="2:30" x14ac:dyDescent="0.35">
      <c r="B185" s="136"/>
      <c r="C185" s="1" t="s">
        <v>18</v>
      </c>
      <c r="D185" s="25">
        <v>49.142857142857146</v>
      </c>
      <c r="E185" s="25">
        <v>52.714285714285715</v>
      </c>
      <c r="F185" s="25">
        <v>59.571428571428569</v>
      </c>
      <c r="G185" s="25">
        <v>66.285714285714292</v>
      </c>
      <c r="H185" s="25">
        <v>85.714285714285708</v>
      </c>
      <c r="I185" s="25">
        <v>84.285714285714292</v>
      </c>
      <c r="J185" s="25">
        <v>100.57142857142857</v>
      </c>
      <c r="K185" s="25">
        <v>82</v>
      </c>
      <c r="L185" s="25">
        <v>71.428571428571431</v>
      </c>
      <c r="M185" s="25">
        <v>78.571428571428569</v>
      </c>
      <c r="N185" s="25">
        <v>82.571428571428569</v>
      </c>
      <c r="O185" s="25">
        <v>83.714285714285708</v>
      </c>
      <c r="P185" s="121">
        <v>90</v>
      </c>
      <c r="Q185" s="94">
        <v>80.142857142857139</v>
      </c>
      <c r="AA185" s="149"/>
      <c r="AB185" s="149"/>
      <c r="AC185" s="149"/>
      <c r="AD185" s="149"/>
    </row>
    <row r="186" spans="2:30" ht="7.5" customHeight="1" x14ac:dyDescent="0.35">
      <c r="B186" s="136"/>
      <c r="AA186" s="149"/>
      <c r="AB186" s="149"/>
      <c r="AC186" s="149"/>
      <c r="AD186" s="149"/>
    </row>
    <row r="187" spans="2:30" x14ac:dyDescent="0.35">
      <c r="B187" s="136"/>
      <c r="C187" s="13" t="s">
        <v>20</v>
      </c>
      <c r="D187" s="49">
        <f>IFERROR(VLOOKUP(D$4,PICU!$BM$5:'PICU'!$BU$19,2,FALSE),"")</f>
        <v>52.714285714285715</v>
      </c>
      <c r="E187" s="49">
        <f>IFERROR(VLOOKUP(E$4,PICU!$BM$5:'PICU'!$BU$19,2,FALSE),"")</f>
        <v>55.714285714285715</v>
      </c>
      <c r="F187" s="49">
        <f>IFERROR(VLOOKUP(F$4,PICU!$BM$5:'PICU'!$BU$19,2,FALSE),"")</f>
        <v>63.857142857142854</v>
      </c>
      <c r="G187" s="49">
        <f>IFERROR(VLOOKUP(G$4,PICU!$BM$5:'PICU'!$BU$19,2,FALSE),"")</f>
        <v>54.428571428571431</v>
      </c>
      <c r="H187" s="49">
        <f>IFERROR(VLOOKUP(H$4,PICU!$BM$5:'PICU'!$BU$19,2,FALSE),"")</f>
        <v>80.857142857142861</v>
      </c>
      <c r="I187" s="49">
        <f>IFERROR(VLOOKUP(I$4,PICU!$BM$5:'PICU'!$BU$19,2,FALSE),"")</f>
        <v>102.42857142857143</v>
      </c>
      <c r="J187" s="49">
        <f>IFERROR(VLOOKUP(J$4,PICU!$BM$5:'PICU'!$BU$19,2,FALSE),"")</f>
        <v>98.142857142857139</v>
      </c>
      <c r="K187" s="49">
        <f>IFERROR(VLOOKUP(K$4,PICU!$BM$5:'PICU'!$BU$19,2,FALSE),"")</f>
        <v>93.285714285714292</v>
      </c>
      <c r="L187" s="49" t="str">
        <f>IFERROR(VLOOKUP(L$4,PICU!$BM$5:'PICU'!$BU$19,2,FALSE),"")</f>
        <v/>
      </c>
      <c r="M187" s="49" t="str">
        <f>IFERROR(VLOOKUP(M$4,PICU!$BM$5:'PICU'!$BU$19,2,FALSE),"")</f>
        <v/>
      </c>
      <c r="N187" s="49" t="str">
        <f>IFERROR(VLOOKUP(N$4,PICU!$BM$5:'PICU'!$BU$19,2,FALSE),"")</f>
        <v/>
      </c>
      <c r="O187" s="49" t="str">
        <f>IFERROR(VLOOKUP(O$4,PICU!$BM$5:'PICU'!$BU$19,2,FALSE),"")</f>
        <v/>
      </c>
      <c r="P187" s="49" t="str">
        <f>IFERROR(VLOOKUP(P$4,PICU!$BM$5:'PICU'!$BU$19,2,FALSE),"")</f>
        <v/>
      </c>
      <c r="Q187" s="49" t="str">
        <f>IFERROR(VLOOKUP(Q$4,PICU!$BM$5:'PICU'!$BU$19,2,FALSE),"")</f>
        <v/>
      </c>
      <c r="R187" s="76" t="str">
        <f>IFERROR(VLOOKUP(R$4,PICU!$BM$5:'PICU'!$BT$19,2,FALSE),"")</f>
        <v/>
      </c>
      <c r="AA187" s="149"/>
      <c r="AB187" s="149"/>
      <c r="AC187" s="149"/>
      <c r="AD187" s="149"/>
    </row>
    <row r="188" spans="2:30" x14ac:dyDescent="0.35">
      <c r="B188" s="136"/>
      <c r="C188" s="1" t="s">
        <v>21</v>
      </c>
      <c r="D188" s="132">
        <f>IFERROR(VLOOKUP(D$4,PICU!$BM$5:'PICU'!$BU$19,3,FALSE),"")</f>
        <v>27.571428571428573</v>
      </c>
      <c r="E188" s="132">
        <f>IFERROR(VLOOKUP(E$4,PICU!$BM$5:'PICU'!$BU$19,3,FALSE),"")</f>
        <v>26.285714285714285</v>
      </c>
      <c r="F188" s="132">
        <f>IFERROR(VLOOKUP(F$4,PICU!$BM$5:'PICU'!$BU$19,3,FALSE),"")</f>
        <v>37.142857142857146</v>
      </c>
      <c r="G188" s="132">
        <f>IFERROR(VLOOKUP(G$4,PICU!$BM$5:'PICU'!$BU$19,3,FALSE),"")</f>
        <v>27.857142857142858</v>
      </c>
      <c r="H188" s="132">
        <f>IFERROR(VLOOKUP(H$4,PICU!$BM$5:'PICU'!$BU$19,3,FALSE),"")</f>
        <v>39.428571428571431</v>
      </c>
      <c r="I188" s="132">
        <f>IFERROR(VLOOKUP(I$4,PICU!$BM$5:'PICU'!$BU$19,3,FALSE),"")</f>
        <v>46.285714285714285</v>
      </c>
      <c r="J188" s="132">
        <f>IFERROR(VLOOKUP(J$4,PICU!$BM$5:'PICU'!$BU$19,3,FALSE),"")</f>
        <v>45.571428571428569</v>
      </c>
      <c r="K188" s="132">
        <f>IFERROR(VLOOKUP(K$4,PICU!$BM$5:'PICU'!$BU$19,3,FALSE),"")</f>
        <v>40</v>
      </c>
      <c r="L188" s="132" t="str">
        <f>IFERROR(VLOOKUP(L$4,PICU!$BM$5:'PICU'!$BU$19,3,FALSE),"")</f>
        <v/>
      </c>
      <c r="M188" s="132" t="str">
        <f>IFERROR(VLOOKUP(M$4,PICU!$BM$5:'PICU'!$BU$19,3,FALSE),"")</f>
        <v/>
      </c>
      <c r="N188" s="132" t="str">
        <f>IFERROR(VLOOKUP(N$4,PICU!$BM$5:'PICU'!$BU$19,3,FALSE),"")</f>
        <v/>
      </c>
      <c r="O188" s="132" t="str">
        <f>IFERROR(VLOOKUP(O$4,PICU!$BM$5:'PICU'!$BU$19,3,FALSE),"")</f>
        <v/>
      </c>
      <c r="P188" s="132" t="str">
        <f>IFERROR(VLOOKUP(P$4,PICU!$BM$5:'PICU'!$BU$19,3,FALSE),"")</f>
        <v/>
      </c>
      <c r="Q188" s="132" t="str">
        <f>IFERROR(VLOOKUP(Q$4,PICU!$BM$5:'PICU'!$BU$19,3,FALSE),"")</f>
        <v/>
      </c>
      <c r="R188" s="77" t="str">
        <f>IFERROR(VLOOKUP(R$4,PICU!$BM$5:'PICU'!$BT$19,3,FALSE),"")</f>
        <v/>
      </c>
      <c r="U188" s="2"/>
      <c r="AA188" s="149"/>
      <c r="AB188" s="149"/>
      <c r="AC188" s="149"/>
      <c r="AD188" s="149"/>
    </row>
    <row r="189" spans="2:30" x14ac:dyDescent="0.35">
      <c r="B189" s="136"/>
      <c r="C189" s="1" t="s">
        <v>22</v>
      </c>
      <c r="D189" s="132">
        <f>IFERROR(VLOOKUP(D$4,PICU!$BM$5:'PICU'!$BU$19,4,FALSE),"")</f>
        <v>5.1428571428571432</v>
      </c>
      <c r="E189" s="132">
        <f>IFERROR(VLOOKUP(E$4,PICU!$BM$5:'PICU'!$BU$19,4,FALSE),"")</f>
        <v>4.8571428571428568</v>
      </c>
      <c r="F189" s="132">
        <f>IFERROR(VLOOKUP(F$4,PICU!$BM$5:'PICU'!$BU$19,4,FALSE),"")</f>
        <v>1.5714285714285714</v>
      </c>
      <c r="G189" s="132">
        <f>IFERROR(VLOOKUP(G$4,PICU!$BM$5:'PICU'!$BU$19,4,FALSE),"")</f>
        <v>1.5714285714285714</v>
      </c>
      <c r="H189" s="132">
        <f>IFERROR(VLOOKUP(H$4,PICU!$BM$5:'PICU'!$BU$19,4,FALSE),"")</f>
        <v>4.4285714285714288</v>
      </c>
      <c r="I189" s="132">
        <f>IFERROR(VLOOKUP(I$4,PICU!$BM$5:'PICU'!$BU$19,4,FALSE),"")</f>
        <v>11.142857142857142</v>
      </c>
      <c r="J189" s="132">
        <f>IFERROR(VLOOKUP(J$4,PICU!$BM$5:'PICU'!$BU$19,4,FALSE),"")</f>
        <v>12.714285714285714</v>
      </c>
      <c r="K189" s="132">
        <f>IFERROR(VLOOKUP(K$4,PICU!$BM$5:'PICU'!$BU$19,4,FALSE),"")</f>
        <v>11.142857142857142</v>
      </c>
      <c r="L189" s="132" t="str">
        <f>IFERROR(VLOOKUP(L$4,PICU!$BM$5:'PICU'!$BU$19,4,FALSE),"")</f>
        <v/>
      </c>
      <c r="M189" s="132" t="str">
        <f>IFERROR(VLOOKUP(M$4,PICU!$BM$5:'PICU'!$BU$19,4,FALSE),"")</f>
        <v/>
      </c>
      <c r="N189" s="132" t="str">
        <f>IFERROR(VLOOKUP(N$4,PICU!$BM$5:'PICU'!$BU$19,4,FALSE),"")</f>
        <v/>
      </c>
      <c r="O189" s="132" t="str">
        <f>IFERROR(VLOOKUP(O$4,PICU!$BM$5:'PICU'!$BU$19,4,FALSE),"")</f>
        <v/>
      </c>
      <c r="P189" s="132" t="str">
        <f>IFERROR(VLOOKUP(P$4,PICU!$BM$5:'PICU'!$BU$19,4,FALSE),"")</f>
        <v/>
      </c>
      <c r="Q189" s="132" t="str">
        <f>IFERROR(VLOOKUP(Q$4,PICU!$BM$5:'PICU'!$BU$19,4,FALSE),"")</f>
        <v/>
      </c>
      <c r="R189" s="77" t="str">
        <f>IFERROR(VLOOKUP(R$4,PICU!$BM$5:'PICU'!$BT$19,4,FALSE),"")</f>
        <v/>
      </c>
      <c r="AA189" s="149"/>
      <c r="AB189" s="149"/>
      <c r="AC189" s="149"/>
      <c r="AD189" s="149"/>
    </row>
    <row r="190" spans="2:30" x14ac:dyDescent="0.35">
      <c r="B190" s="136"/>
      <c r="C190" s="1" t="s">
        <v>24</v>
      </c>
      <c r="D190" s="132">
        <f>IFERROR(VLOOKUP(D$4,PICU!$BM$5:'PICU'!$BU$19,8,FALSE),"")</f>
        <v>3.8571428571428572</v>
      </c>
      <c r="E190" s="132">
        <f>IFERROR(VLOOKUP(E$4,PICU!$BM$5:'PICU'!$BU$19,8,FALSE),"")</f>
        <v>3.8571428571428572</v>
      </c>
      <c r="F190" s="132">
        <f>IFERROR(VLOOKUP(F$4,PICU!$BM$5:'PICU'!$BU$19,8,FALSE),"")</f>
        <v>4</v>
      </c>
      <c r="G190" s="132">
        <f>IFERROR(VLOOKUP(G$4,PICU!$BM$5:'PICU'!$BU$19,8,FALSE),"")</f>
        <v>1.5714285714285714</v>
      </c>
      <c r="H190" s="132">
        <f>IFERROR(VLOOKUP(H$4,PICU!$BM$5:'PICU'!$BU$19,8,FALSE),"")</f>
        <v>4</v>
      </c>
      <c r="I190" s="132">
        <f>IFERROR(VLOOKUP(I$4,PICU!$BM$5:'PICU'!$BU$19,8,FALSE),"")</f>
        <v>5</v>
      </c>
      <c r="J190" s="132">
        <f>IFERROR(VLOOKUP(J$4,PICU!$BM$5:'PICU'!$BU$19,8,FALSE),"")</f>
        <v>3.8571428571428572</v>
      </c>
      <c r="K190" s="132">
        <f>IFERROR(VLOOKUP(K$4,PICU!$BM$5:'PICU'!$BU$19,8,FALSE),"")</f>
        <v>3.8571428571428572</v>
      </c>
      <c r="L190" s="132" t="str">
        <f>IFERROR(VLOOKUP(L$4,PICU!$BM$5:'PICU'!$BU$19,8,FALSE),"")</f>
        <v/>
      </c>
      <c r="M190" s="132" t="str">
        <f>IFERROR(VLOOKUP(M$4,PICU!$BM$5:'PICU'!$BU$19,8,FALSE),"")</f>
        <v/>
      </c>
      <c r="N190" s="132" t="str">
        <f>IFERROR(VLOOKUP(N$4,PICU!$BM$5:'PICU'!$BU$19,8,FALSE),"")</f>
        <v/>
      </c>
      <c r="O190" s="132" t="str">
        <f>IFERROR(VLOOKUP(O$4,PICU!$BM$5:'PICU'!$BU$19,8,FALSE),"")</f>
        <v/>
      </c>
      <c r="P190" s="132" t="str">
        <f>IFERROR(VLOOKUP(P$4,PICU!$BM$5:'PICU'!$BU$19,8,FALSE),"")</f>
        <v/>
      </c>
      <c r="Q190" s="132" t="str">
        <f>IFERROR(VLOOKUP(Q$4,PICU!$BM$5:'PICU'!$BU$19,8,FALSE),"")</f>
        <v/>
      </c>
      <c r="R190" s="77"/>
      <c r="AA190" s="149"/>
      <c r="AB190" s="149"/>
      <c r="AC190" s="149"/>
      <c r="AD190" s="149"/>
    </row>
    <row r="191" spans="2:30" x14ac:dyDescent="0.35">
      <c r="B191" s="136"/>
      <c r="C191" s="1" t="s">
        <v>25</v>
      </c>
      <c r="D191" s="132">
        <f>IFERROR(VLOOKUP(D$4,PICU!$BM$5:'PICU'!$BU$19,5,FALSE),"")</f>
        <v>2.7142857142857144</v>
      </c>
      <c r="E191" s="132">
        <f>IFERROR(VLOOKUP(E$4,PICU!$BM$5:'PICU'!$BU$19,5,FALSE),"")</f>
        <v>5.2857142857142856</v>
      </c>
      <c r="F191" s="132">
        <f>IFERROR(VLOOKUP(F$4,PICU!$BM$5:'PICU'!$BU$19,5,FALSE),"")</f>
        <v>8.1428571428571423</v>
      </c>
      <c r="G191" s="132">
        <f>IFERROR(VLOOKUP(G$4,PICU!$BM$5:'PICU'!$BU$19,5,FALSE),"")</f>
        <v>7.2857142857142856</v>
      </c>
      <c r="H191" s="132">
        <f>IFERROR(VLOOKUP(H$4,PICU!$BM$5:'PICU'!$BU$19,5,FALSE),"")</f>
        <v>10.142857142857142</v>
      </c>
      <c r="I191" s="132">
        <f>IFERROR(VLOOKUP(I$4,PICU!$BM$5:'PICU'!$BU$19,5,FALSE),"")</f>
        <v>14.571428571428571</v>
      </c>
      <c r="J191" s="132">
        <f>IFERROR(VLOOKUP(J$4,PICU!$BM$5:'PICU'!$BU$19,5,FALSE),"")</f>
        <v>10</v>
      </c>
      <c r="K191" s="132">
        <f>IFERROR(VLOOKUP(K$4,PICU!$BM$5:'PICU'!$BU$19,5,FALSE),"")</f>
        <v>12</v>
      </c>
      <c r="L191" s="132" t="str">
        <f>IFERROR(VLOOKUP(L$4,PICU!$BM$5:'PICU'!$BU$19,5,FALSE),"")</f>
        <v/>
      </c>
      <c r="M191" s="132" t="str">
        <f>IFERROR(VLOOKUP(M$4,PICU!$BM$5:'PICU'!$BU$19,5,FALSE),"")</f>
        <v/>
      </c>
      <c r="N191" s="132" t="str">
        <f>IFERROR(VLOOKUP(N$4,PICU!$BM$5:'PICU'!$BU$19,5,FALSE),"")</f>
        <v/>
      </c>
      <c r="O191" s="132" t="str">
        <f>IFERROR(VLOOKUP(O$4,PICU!$BM$5:'PICU'!$BU$19,5,FALSE),"")</f>
        <v/>
      </c>
      <c r="P191" s="132" t="str">
        <f>IFERROR(VLOOKUP(P$4,PICU!$BM$5:'PICU'!$BU$19,5,FALSE),"")</f>
        <v/>
      </c>
      <c r="Q191" s="132" t="str">
        <f>IFERROR(VLOOKUP(Q$4,PICU!$BM$5:'PICU'!$BU$19,5,FALSE),"")</f>
        <v/>
      </c>
      <c r="R191" s="77"/>
      <c r="AA191" s="149"/>
      <c r="AB191" s="149"/>
      <c r="AC191" s="149"/>
      <c r="AD191" s="149"/>
    </row>
    <row r="192" spans="2:30" x14ac:dyDescent="0.35">
      <c r="B192" s="136"/>
      <c r="C192" s="1" t="s">
        <v>37</v>
      </c>
      <c r="D192" s="132">
        <f>IFERROR(VLOOKUP(D$4,PICU!$BM$5:'PICU'!$BU$19,9,FALSE),"")</f>
        <v>8</v>
      </c>
      <c r="E192" s="132">
        <f>IFERROR(VLOOKUP(E$4,PICU!$BM$5:'PICU'!$BU$19,9,FALSE),"")</f>
        <v>9.4285714285714288</v>
      </c>
      <c r="F192" s="132">
        <f>IFERROR(VLOOKUP(F$4,PICU!$BM$5:'PICU'!$BU$19,9,FALSE),"")</f>
        <v>7.2857142857142856</v>
      </c>
      <c r="G192" s="132">
        <f>IFERROR(VLOOKUP(G$4,PICU!$BM$5:'PICU'!$BU$19,9,FALSE),"")</f>
        <v>8.5714285714285712</v>
      </c>
      <c r="H192" s="132">
        <f>IFERROR(VLOOKUP(H$4,PICU!$BM$5:'PICU'!$BU$19,9,FALSE),"")</f>
        <v>11.428571428571429</v>
      </c>
      <c r="I192" s="132">
        <f>IFERROR(VLOOKUP(I$4,PICU!$BM$5:'PICU'!$BU$19,9,FALSE),"")</f>
        <v>13.285714285714286</v>
      </c>
      <c r="J192" s="132">
        <f>IFERROR(VLOOKUP(J$4,PICU!$BM$5:'PICU'!$BU$19,9,FALSE),"")</f>
        <v>7.8571428571428568</v>
      </c>
      <c r="K192" s="132">
        <f>IFERROR(VLOOKUP(K$4,PICU!$BM$5:'PICU'!$BU$19,9,FALSE),"")</f>
        <v>8</v>
      </c>
      <c r="L192" s="132" t="str">
        <f>IFERROR(VLOOKUP(L$4,PICU!$BM$5:'PICU'!$BU$19,9,FALSE),"")</f>
        <v/>
      </c>
      <c r="M192" s="132" t="str">
        <f>IFERROR(VLOOKUP(M$4,PICU!$BM$5:'PICU'!$BU$19,9,FALSE),"")</f>
        <v/>
      </c>
      <c r="N192" s="132" t="str">
        <f>IFERROR(VLOOKUP(N$4,PICU!$BM$5:'PICU'!$BU$19,9,FALSE),"")</f>
        <v/>
      </c>
      <c r="O192" s="132" t="str">
        <f>IFERROR(VLOOKUP(O$4,PICU!$BM$5:'PICU'!$BU$19,9,FALSE),"")</f>
        <v/>
      </c>
      <c r="P192" s="132" t="str">
        <f>IFERROR(VLOOKUP(P$4,PICU!$BM$5:'PICU'!$BU$19,9,FALSE),"")</f>
        <v/>
      </c>
      <c r="Q192" s="132" t="str">
        <f>IFERROR(VLOOKUP(Q$4,PICU!$BM$5:'PICU'!$BU$19,9,FALSE),"")</f>
        <v/>
      </c>
      <c r="R192" s="77" t="str">
        <f>IFERROR(VLOOKUP(R$4,PICU!$BM$5:'PICU'!$BT$19,5,FALSE),"")</f>
        <v/>
      </c>
      <c r="AA192" s="149"/>
      <c r="AB192" s="149"/>
      <c r="AC192" s="149"/>
      <c r="AD192" s="149"/>
    </row>
    <row r="193" spans="2:30" x14ac:dyDescent="0.35">
      <c r="B193" s="136"/>
      <c r="C193" s="1" t="s">
        <v>27</v>
      </c>
      <c r="D193" s="132">
        <f>IFERROR(VLOOKUP(D$4,PICU!$BM$5:'PICU'!$BU$19,6,FALSE),"")</f>
        <v>4.4285714285714288</v>
      </c>
      <c r="E193" s="132">
        <f>IFERROR(VLOOKUP(E$4,PICU!$BM$5:'PICU'!$BU$19,6,FALSE),"")</f>
        <v>5.2857142857142856</v>
      </c>
      <c r="F193" s="132">
        <f>IFERROR(VLOOKUP(F$4,PICU!$BM$5:'PICU'!$BU$19,6,FALSE),"")</f>
        <v>4.8571428571428568</v>
      </c>
      <c r="G193" s="132">
        <f>IFERROR(VLOOKUP(G$4,PICU!$BM$5:'PICU'!$BU$19,6,FALSE),"")</f>
        <v>4.5714285714285712</v>
      </c>
      <c r="H193" s="132">
        <f>IFERROR(VLOOKUP(H$4,PICU!$BM$5:'PICU'!$BU$19,6,FALSE),"")</f>
        <v>5</v>
      </c>
      <c r="I193" s="132">
        <f>IFERROR(VLOOKUP(I$4,PICU!$BM$5:'PICU'!$BU$19,6,FALSE),"")</f>
        <v>4.5714285714285712</v>
      </c>
      <c r="J193" s="132">
        <f>IFERROR(VLOOKUP(J$4,PICU!$BM$5:'PICU'!$BU$19,6,FALSE),"")</f>
        <v>10</v>
      </c>
      <c r="K193" s="132">
        <f>IFERROR(VLOOKUP(K$4,PICU!$BM$5:'PICU'!$BU$19,6,FALSE),"")</f>
        <v>9.7142857142857135</v>
      </c>
      <c r="L193" s="132" t="str">
        <f>IFERROR(VLOOKUP(L$4,PICU!$BM$5:'PICU'!$BU$19,6,FALSE),"")</f>
        <v/>
      </c>
      <c r="M193" s="132" t="str">
        <f>IFERROR(VLOOKUP(M$4,PICU!$BM$5:'PICU'!$BU$19,6,FALSE),"")</f>
        <v/>
      </c>
      <c r="N193" s="132" t="str">
        <f>IFERROR(VLOOKUP(N$4,PICU!$BM$5:'PICU'!$BU$19,6,FALSE),"")</f>
        <v/>
      </c>
      <c r="O193" s="132" t="str">
        <f>IFERROR(VLOOKUP(O$4,PICU!$BM$5:'PICU'!$BU$19,6,FALSE),"")</f>
        <v/>
      </c>
      <c r="P193" s="132" t="str">
        <f>IFERROR(VLOOKUP(P$4,PICU!$BM$5:'PICU'!$BU$19,6,FALSE),"")</f>
        <v/>
      </c>
      <c r="Q193" s="132" t="str">
        <f>IFERROR(VLOOKUP(Q$4,PICU!$BM$5:'PICU'!$BU$19,6,FALSE),"")</f>
        <v/>
      </c>
      <c r="R193" s="77" t="str">
        <f>IFERROR(VLOOKUP(R$4,PICU!$BM$5:'PICU'!$BT$19,6,FALSE),"")</f>
        <v/>
      </c>
      <c r="AA193" s="39"/>
      <c r="AB193" s="39"/>
      <c r="AC193" s="39"/>
      <c r="AD193" s="39"/>
    </row>
    <row r="194" spans="2:30" x14ac:dyDescent="0.35">
      <c r="B194" s="136"/>
      <c r="C194" s="1" t="s">
        <v>28</v>
      </c>
      <c r="D194" s="132">
        <f>IFERROR(VLOOKUP(D$4,PICU!$BM$5:'PICU'!$BU$19,7,FALSE),"")</f>
        <v>1</v>
      </c>
      <c r="E194" s="132">
        <f>IFERROR(VLOOKUP(E$4,PICU!$BM$5:'PICU'!$BU$19,7,FALSE),"")</f>
        <v>0.7142857142857143</v>
      </c>
      <c r="F194" s="132">
        <f>IFERROR(VLOOKUP(F$4,PICU!$BM$5:'PICU'!$BU$19,7,FALSE),"")</f>
        <v>0.8571428571428571</v>
      </c>
      <c r="G194" s="132">
        <f>IFERROR(VLOOKUP(G$4,PICU!$BM$5:'PICU'!$BU$19,7,FALSE),"")</f>
        <v>3</v>
      </c>
      <c r="H194" s="132">
        <f>IFERROR(VLOOKUP(H$4,PICU!$BM$5:'PICU'!$BU$19,7,FALSE),"")</f>
        <v>6.4285714285714288</v>
      </c>
      <c r="I194" s="132">
        <f>IFERROR(VLOOKUP(I$4,PICU!$BM$5:'PICU'!$BU$19,7,FALSE),"")</f>
        <v>7.5714285714285712</v>
      </c>
      <c r="J194" s="132">
        <f>IFERROR(VLOOKUP(J$4,PICU!$BM$5:'PICU'!$BU$19,7,FALSE),"")</f>
        <v>8.1428571428571423</v>
      </c>
      <c r="K194" s="132">
        <f>IFERROR(VLOOKUP(K$4,PICU!$BM$5:'PICU'!$BU$19,7,FALSE),"")</f>
        <v>8.5714285714285712</v>
      </c>
      <c r="L194" s="132" t="str">
        <f>IFERROR(VLOOKUP(L$4,PICU!$BM$5:'PICU'!$BU$19,7,FALSE),"")</f>
        <v/>
      </c>
      <c r="M194" s="132" t="str">
        <f>IFERROR(VLOOKUP(M$4,PICU!$BM$5:'PICU'!$BU$19,7,FALSE),"")</f>
        <v/>
      </c>
      <c r="N194" s="132" t="str">
        <f>IFERROR(VLOOKUP(N$4,PICU!$BM$5:'PICU'!$BU$19,7,FALSE),"")</f>
        <v/>
      </c>
      <c r="O194" s="132" t="str">
        <f>IFERROR(VLOOKUP(O$4,PICU!$BM$5:'PICU'!$BU$19,7,FALSE),"")</f>
        <v/>
      </c>
      <c r="P194" s="132" t="str">
        <f>IFERROR(VLOOKUP(P$4,PICU!$BM$5:'PICU'!$BU$19,7,FALSE),"")</f>
        <v/>
      </c>
      <c r="Q194" s="132" t="str">
        <f>IFERROR(VLOOKUP(Q$4,PICU!$BM$5:'PICU'!$BU$19,7,FALSE),"")</f>
        <v/>
      </c>
      <c r="R194" s="77" t="str">
        <f>IFERROR(VLOOKUP(R$4,PICU!$BM$5:'PICU'!$BT$19,7,FALSE),"")</f>
        <v/>
      </c>
      <c r="AA194" s="39"/>
      <c r="AB194" s="39"/>
      <c r="AC194" s="39"/>
      <c r="AD194" s="39"/>
    </row>
    <row r="195" spans="2:30" ht="30" customHeight="1" x14ac:dyDescent="0.35">
      <c r="C195" s="1"/>
    </row>
    <row r="196" spans="2:30" ht="15" customHeight="1" x14ac:dyDescent="0.35">
      <c r="B196" s="136" t="s">
        <v>77</v>
      </c>
      <c r="C196" s="10" t="s">
        <v>78</v>
      </c>
      <c r="D196" s="88">
        <v>0.69740828004039046</v>
      </c>
      <c r="E196" s="88">
        <v>0.69336576365008806</v>
      </c>
      <c r="F196" s="88">
        <v>0.70634522015737489</v>
      </c>
      <c r="G196" s="88">
        <v>0.68617465353147433</v>
      </c>
      <c r="H196" s="88">
        <v>0.65475398936170215</v>
      </c>
      <c r="I196" s="88">
        <v>0.66290811174688657</v>
      </c>
      <c r="J196" s="88">
        <v>0.65104210261990458</v>
      </c>
      <c r="K196" s="88">
        <v>0.64789676554382436</v>
      </c>
      <c r="L196" s="88">
        <v>0.66876521447158566</v>
      </c>
      <c r="M196" s="88">
        <v>0.6675041876046901</v>
      </c>
      <c r="N196" s="88">
        <v>0.65256237356709368</v>
      </c>
      <c r="O196" s="88">
        <v>0.65131302961657855</v>
      </c>
      <c r="P196" s="88">
        <v>0.66137566137566139</v>
      </c>
      <c r="Q196" s="88">
        <v>0.65720524017467252</v>
      </c>
      <c r="AA196" s="137" t="s">
        <v>79</v>
      </c>
      <c r="AB196" s="137"/>
      <c r="AC196" s="137"/>
      <c r="AD196" s="137"/>
    </row>
    <row r="197" spans="2:30" x14ac:dyDescent="0.35">
      <c r="B197" s="136"/>
      <c r="C197" s="1" t="s">
        <v>18</v>
      </c>
      <c r="D197" s="96">
        <v>0.67379143358103033</v>
      </c>
      <c r="E197" s="96">
        <v>0.700058582308143</v>
      </c>
      <c r="F197" s="96">
        <v>0.71078066914498139</v>
      </c>
      <c r="G197" s="96">
        <v>0.68309343742376194</v>
      </c>
      <c r="H197" s="96">
        <v>0.68841965250644277</v>
      </c>
      <c r="I197" s="96">
        <v>0.68153130709184517</v>
      </c>
      <c r="J197" s="96">
        <v>0.67573431241655546</v>
      </c>
      <c r="K197" s="96">
        <v>0.68279614901632479</v>
      </c>
      <c r="L197" s="96">
        <v>0.66791885800150264</v>
      </c>
      <c r="M197" s="96">
        <v>0.66521811800100283</v>
      </c>
      <c r="N197" s="96">
        <v>0.69565217391304346</v>
      </c>
      <c r="O197" s="96">
        <v>0.69685137492730742</v>
      </c>
      <c r="P197" s="122">
        <v>0.67962210988646721</v>
      </c>
      <c r="Q197" s="89">
        <v>0.69205270572636113</v>
      </c>
      <c r="AA197" s="137"/>
      <c r="AB197" s="137"/>
      <c r="AC197" s="137"/>
      <c r="AD197" s="137"/>
    </row>
    <row r="198" spans="2:30" ht="9" customHeight="1" x14ac:dyDescent="0.35">
      <c r="B198" s="136"/>
      <c r="D198" s="26">
        <v>0.85</v>
      </c>
      <c r="E198" s="26">
        <v>0.85</v>
      </c>
      <c r="F198" s="26">
        <v>0.85</v>
      </c>
      <c r="G198" s="26">
        <v>0.85</v>
      </c>
      <c r="H198" s="26">
        <v>0.85</v>
      </c>
      <c r="I198" s="26">
        <v>0.85</v>
      </c>
      <c r="J198" s="26">
        <v>0.85</v>
      </c>
      <c r="K198" s="26">
        <v>0.85</v>
      </c>
      <c r="L198" s="26">
        <v>0.85</v>
      </c>
      <c r="M198" s="26">
        <v>0.85</v>
      </c>
      <c r="N198" s="26">
        <v>0.85</v>
      </c>
      <c r="O198" s="26">
        <v>0.85</v>
      </c>
      <c r="P198" s="26">
        <v>0.85</v>
      </c>
      <c r="Q198" s="26"/>
      <c r="R198" s="26">
        <v>0.85</v>
      </c>
      <c r="AA198" s="137"/>
      <c r="AB198" s="137"/>
      <c r="AC198" s="137"/>
      <c r="AD198" s="137"/>
    </row>
    <row r="199" spans="2:30" x14ac:dyDescent="0.35">
      <c r="B199" s="136"/>
      <c r="C199" s="13" t="s">
        <v>20</v>
      </c>
      <c r="D199" s="50">
        <f>IFERROR(VLOOKUP(D$4,NICU!$AA$5:$AI$19,2,FALSE),"")</f>
        <v>0.68895348837209303</v>
      </c>
      <c r="E199" s="50">
        <f>IFERROR(VLOOKUP(E$4,NICU!$AA$5:$AI$19,2,FALSE),"")</f>
        <v>0.69558411599934089</v>
      </c>
      <c r="F199" s="50">
        <f>IFERROR(VLOOKUP(F$4,NICU!$AA$5:$AI$19,2,FALSE),"")</f>
        <v>0.68632951076643844</v>
      </c>
      <c r="G199" s="50">
        <f>IFERROR(VLOOKUP(G$4,NICU!$AA$5:$AI$19,2,FALSE),"")</f>
        <v>0.69285243741765479</v>
      </c>
      <c r="H199" s="50">
        <f>IFERROR(VLOOKUP(H$4,NICU!$AA$5:$AI$19,2,FALSE),"")</f>
        <v>0.67326486665562368</v>
      </c>
      <c r="I199" s="50">
        <f>IFERROR(VLOOKUP(I$4,NICU!$AA$5:$AI$19,2,FALSE),"")</f>
        <v>0.6704897446630389</v>
      </c>
      <c r="J199" s="50">
        <f>IFERROR(VLOOKUP(J$4,NICU!$AA$5:$AI$19,2,FALSE),"")</f>
        <v>0.67554298077723229</v>
      </c>
      <c r="K199" s="50">
        <f>IFERROR(VLOOKUP(K$4,NICU!$AA$5:$AI$19,2,FALSE),"")</f>
        <v>0.6768848384424192</v>
      </c>
      <c r="L199" s="50" t="str">
        <f>IFERROR(VLOOKUP(L$4,NICU!$AA$5:$AI$19,2,FALSE),"")</f>
        <v/>
      </c>
      <c r="M199" s="50" t="str">
        <f>IFERROR(VLOOKUP(M$4,NICU!$AA$5:$AI$19,2,FALSE),"")</f>
        <v/>
      </c>
      <c r="N199" s="50" t="str">
        <f>IFERROR(VLOOKUP(N$4,NICU!$AA$5:$AI$19,2,FALSE),"")</f>
        <v/>
      </c>
      <c r="O199" s="50" t="str">
        <f>IFERROR(VLOOKUP(O$4,NICU!$AA$5:$AI$19,2,FALSE),"")</f>
        <v/>
      </c>
      <c r="P199" s="50" t="str">
        <f>IFERROR(VLOOKUP(P$4,NICU!$AA$5:$AI$19,2,FALSE),"")</f>
        <v/>
      </c>
      <c r="Q199" s="50" t="str">
        <f>IFERROR(VLOOKUP(Q$4,NICU!$AA$5:$AI$19,2,FALSE),"")</f>
        <v/>
      </c>
      <c r="R199" s="75" t="str">
        <f>IFERROR(VLOOKUP(R$4,NICU!$AA$5:$AH$19,2,FALSE),"")</f>
        <v/>
      </c>
      <c r="AA199" s="137"/>
      <c r="AB199" s="137"/>
      <c r="AC199" s="137"/>
      <c r="AD199" s="137"/>
    </row>
    <row r="200" spans="2:30" x14ac:dyDescent="0.35">
      <c r="B200" s="136"/>
      <c r="C200" s="1" t="s">
        <v>21</v>
      </c>
      <c r="D200" s="133">
        <f>IFERROR(VLOOKUP(D$4,NICU!$AA$5:$AI$19,3,FALSE),"")</f>
        <v>0.75944631500187054</v>
      </c>
      <c r="E200" s="133">
        <f>IFERROR(VLOOKUP(E$4,NICU!$AA$5:$AI$19,3,FALSE),"")</f>
        <v>0.78019948282231255</v>
      </c>
      <c r="F200" s="133">
        <f>IFERROR(VLOOKUP(F$4,NICU!$AA$5:$AI$19,3,FALSE),"")</f>
        <v>0.78592702903946388</v>
      </c>
      <c r="G200" s="133">
        <f>IFERROR(VLOOKUP(G$4,NICU!$AA$5:$AI$19,3,FALSE),"")</f>
        <v>0.76928838951310863</v>
      </c>
      <c r="H200" s="133">
        <f>IFERROR(VLOOKUP(H$4,NICU!$AA$5:$AI$19,3,FALSE),"")</f>
        <v>0.75831154277175938</v>
      </c>
      <c r="I200" s="133">
        <f>IFERROR(VLOOKUP(I$4,NICU!$AA$5:$AI$19,3,FALSE),"")</f>
        <v>0.73152049023362697</v>
      </c>
      <c r="J200" s="133">
        <f>IFERROR(VLOOKUP(J$4,NICU!$AA$5:$AI$19,3,FALSE),"")</f>
        <v>0.72720450281425886</v>
      </c>
      <c r="K200" s="133">
        <f>IFERROR(VLOOKUP(K$4,NICU!$AA$5:$AI$19,3,FALSE),"")</f>
        <v>0.74106134738426799</v>
      </c>
      <c r="L200" s="133" t="str">
        <f>IFERROR(VLOOKUP(L$4,NICU!$AA$5:$AI$19,3,FALSE),"")</f>
        <v/>
      </c>
      <c r="M200" s="133" t="str">
        <f>IFERROR(VLOOKUP(M$4,NICU!$AA$5:$AI$19,3,FALSE),"")</f>
        <v/>
      </c>
      <c r="N200" s="133" t="str">
        <f>IFERROR(VLOOKUP(N$4,NICU!$AA$5:$AI$19,3,FALSE),"")</f>
        <v/>
      </c>
      <c r="O200" s="133" t="str">
        <f>IFERROR(VLOOKUP(O$4,NICU!$AA$5:$AI$19,3,FALSE),"")</f>
        <v/>
      </c>
      <c r="P200" s="133" t="str">
        <f>IFERROR(VLOOKUP(P$4,NICU!$AA$5:$AI$19,3,FALSE),"")</f>
        <v/>
      </c>
      <c r="Q200" s="133" t="str">
        <f>IFERROR(VLOOKUP(Q$4,NICU!$AA$5:$AI$19,3,FALSE),"")</f>
        <v/>
      </c>
      <c r="R200" s="53" t="str">
        <f>IFERROR(VLOOKUP(R$4,NICU!$AA$5:$AH$19,3,FALSE),"")</f>
        <v/>
      </c>
      <c r="AA200" s="149" t="s">
        <v>80</v>
      </c>
      <c r="AB200" s="149"/>
      <c r="AC200" s="149"/>
      <c r="AD200" s="149"/>
    </row>
    <row r="201" spans="2:30" x14ac:dyDescent="0.35">
      <c r="B201" s="136"/>
      <c r="C201" s="1" t="s">
        <v>22</v>
      </c>
      <c r="D201" s="133">
        <f>IFERROR(VLOOKUP(D$4,NICU!$AA$5:$AI$19,4,FALSE),"")</f>
        <v>0.70378719567177639</v>
      </c>
      <c r="E201" s="133">
        <f>IFERROR(VLOOKUP(E$4,NICU!$AA$5:$AI$19,4,FALSE),"")</f>
        <v>0.71587372165406848</v>
      </c>
      <c r="F201" s="133">
        <f>IFERROR(VLOOKUP(F$4,NICU!$AA$5:$AI$19,4,FALSE),"")</f>
        <v>0.71704035874439465</v>
      </c>
      <c r="G201" s="133">
        <f>IFERROR(VLOOKUP(G$4,NICU!$AA$5:$AI$19,4,FALSE),"")</f>
        <v>0.75244879786286734</v>
      </c>
      <c r="H201" s="133">
        <f>IFERROR(VLOOKUP(H$4,NICU!$AA$5:$AI$19,4,FALSE),"")</f>
        <v>0.73754448398576511</v>
      </c>
      <c r="I201" s="133">
        <f>IFERROR(VLOOKUP(I$4,NICU!$AA$5:$AI$19,4,FALSE),"")</f>
        <v>0.71364852809991075</v>
      </c>
      <c r="J201" s="133">
        <f>IFERROR(VLOOKUP(J$4,NICU!$AA$5:$AI$19,4,FALSE),"")</f>
        <v>0.68752793920429145</v>
      </c>
      <c r="K201" s="133">
        <f>IFERROR(VLOOKUP(K$4,NICU!$AA$5:$AI$19,4,FALSE),"")</f>
        <v>0.67572383073496656</v>
      </c>
      <c r="L201" s="133" t="str">
        <f>IFERROR(VLOOKUP(L$4,NICU!$AA$5:$AI$19,4,FALSE),"")</f>
        <v/>
      </c>
      <c r="M201" s="133" t="str">
        <f>IFERROR(VLOOKUP(M$4,NICU!$AA$5:$AI$19,4,FALSE),"")</f>
        <v/>
      </c>
      <c r="N201" s="133" t="str">
        <f>IFERROR(VLOOKUP(N$4,NICU!$AA$5:$AI$19,4,FALSE),"")</f>
        <v/>
      </c>
      <c r="O201" s="133" t="str">
        <f>IFERROR(VLOOKUP(O$4,NICU!$AA$5:$AI$19,4,FALSE),"")</f>
        <v/>
      </c>
      <c r="P201" s="133" t="str">
        <f>IFERROR(VLOOKUP(P$4,NICU!$AA$5:$AI$19,4,FALSE),"")</f>
        <v/>
      </c>
      <c r="Q201" s="133" t="str">
        <f>IFERROR(VLOOKUP(Q$4,NICU!$AA$5:$AI$19,4,FALSE),"")</f>
        <v/>
      </c>
      <c r="R201" s="53" t="str">
        <f>IFERROR(VLOOKUP(R$4,NICU!$AA$5:$AH$19,4,FALSE),"")</f>
        <v/>
      </c>
      <c r="AA201" s="149"/>
      <c r="AB201" s="149"/>
      <c r="AC201" s="149"/>
      <c r="AD201" s="149"/>
    </row>
    <row r="202" spans="2:30" x14ac:dyDescent="0.35">
      <c r="B202" s="136"/>
      <c r="C202" s="1" t="s">
        <v>24</v>
      </c>
      <c r="D202" s="133">
        <f>IFERROR(VLOOKUP(D$4,NICU!$AA$5:$AI$19,8,FALSE),"")</f>
        <v>0.65348101265822789</v>
      </c>
      <c r="E202" s="133">
        <f>IFERROR(VLOOKUP(E$4,NICU!$AA$5:$AI$19,8,FALSE),"")</f>
        <v>0.62905718701700153</v>
      </c>
      <c r="F202" s="133">
        <f>IFERROR(VLOOKUP(F$4,NICU!$AA$5:$AI$19,8,FALSE),"")</f>
        <v>0.60455974842767291</v>
      </c>
      <c r="G202" s="133">
        <f>IFERROR(VLOOKUP(G$4,NICU!$AA$5:$AI$19,8,FALSE),"")</f>
        <v>0.60538827258320127</v>
      </c>
      <c r="H202" s="133">
        <f>IFERROR(VLOOKUP(H$4,NICU!$AA$5:$AI$19,8,FALSE),"")</f>
        <v>0.56635071090047395</v>
      </c>
      <c r="I202" s="133">
        <f>IFERROR(VLOOKUP(I$4,NICU!$AA$5:$AI$19,8,FALSE),"")</f>
        <v>0.60125588697017274</v>
      </c>
      <c r="J202" s="133">
        <f>IFERROR(VLOOKUP(J$4,NICU!$AA$5:$AI$19,8,FALSE),"")</f>
        <v>0.58656126482213444</v>
      </c>
      <c r="K202" s="133">
        <f>IFERROR(VLOOKUP(K$4,NICU!$AA$5:$AI$19,8,FALSE),"")</f>
        <v>0.63335955940204558</v>
      </c>
      <c r="L202" s="133" t="str">
        <f>IFERROR(VLOOKUP(L$4,NICU!$AA$5:$AI$19,8,FALSE),"")</f>
        <v/>
      </c>
      <c r="M202" s="133" t="str">
        <f>IFERROR(VLOOKUP(M$4,NICU!$AA$5:$AI$19,8,FALSE),"")</f>
        <v/>
      </c>
      <c r="N202" s="133" t="str">
        <f>IFERROR(VLOOKUP(N$4,NICU!$AA$5:$AI$19,8,FALSE),"")</f>
        <v/>
      </c>
      <c r="O202" s="133" t="str">
        <f>IFERROR(VLOOKUP(O$4,NICU!$AA$5:$AI$19,8,FALSE),"")</f>
        <v/>
      </c>
      <c r="P202" s="133" t="str">
        <f>IFERROR(VLOOKUP(P$4,NICU!$AA$5:$AI$19,8,FALSE),"")</f>
        <v/>
      </c>
      <c r="Q202" s="133" t="str">
        <f>IFERROR(VLOOKUP(Q$4,NICU!$AA$5:$AI$19,8,FALSE),"")</f>
        <v/>
      </c>
      <c r="R202" s="53"/>
      <c r="AA202" s="149"/>
      <c r="AB202" s="149"/>
      <c r="AC202" s="149"/>
      <c r="AD202" s="149"/>
    </row>
    <row r="203" spans="2:30" x14ac:dyDescent="0.35">
      <c r="B203" s="136"/>
      <c r="C203" s="1" t="s">
        <v>25</v>
      </c>
      <c r="D203" s="133">
        <f>IFERROR(VLOOKUP(D$4,NICU!$AA$5:$AI$19,5,FALSE),"")</f>
        <v>0.67859751643535426</v>
      </c>
      <c r="E203" s="133">
        <f>IFERROR(VLOOKUP(E$4,NICU!$AA$5:$AI$19,5,FALSE),"")</f>
        <v>0.69144981412639406</v>
      </c>
      <c r="F203" s="133">
        <f>IFERROR(VLOOKUP(F$4,NICU!$AA$5:$AI$19,5,FALSE),"")</f>
        <v>0.6588061901252763</v>
      </c>
      <c r="G203" s="133">
        <f>IFERROR(VLOOKUP(G$4,NICU!$AA$5:$AI$19,5,FALSE),"")</f>
        <v>0.65489330389992639</v>
      </c>
      <c r="H203" s="133">
        <f>IFERROR(VLOOKUP(H$4,NICU!$AA$5:$AI$19,5,FALSE),"")</f>
        <v>0.66224188790560468</v>
      </c>
      <c r="I203" s="133">
        <f>IFERROR(VLOOKUP(I$4,NICU!$AA$5:$AI$19,5,FALSE),"")</f>
        <v>0.6640986132511556</v>
      </c>
      <c r="J203" s="133">
        <f>IFERROR(VLOOKUP(J$4,NICU!$AA$5:$AI$19,5,FALSE),"")</f>
        <v>0.71417797888386125</v>
      </c>
      <c r="K203" s="133">
        <f>IFERROR(VLOOKUP(K$4,NICU!$AA$5:$AI$19,5,FALSE),"")</f>
        <v>0.67653589933382674</v>
      </c>
      <c r="L203" s="133" t="str">
        <f>IFERROR(VLOOKUP(L$4,NICU!$AA$5:$AI$19,5,FALSE),"")</f>
        <v/>
      </c>
      <c r="M203" s="133" t="str">
        <f>IFERROR(VLOOKUP(M$4,NICU!$AA$5:$AI$19,5,FALSE),"")</f>
        <v/>
      </c>
      <c r="N203" s="133" t="str">
        <f>IFERROR(VLOOKUP(N$4,NICU!$AA$5:$AI$19,5,FALSE),"")</f>
        <v/>
      </c>
      <c r="O203" s="133" t="str">
        <f>IFERROR(VLOOKUP(O$4,NICU!$AA$5:$AI$19,5,FALSE),"")</f>
        <v/>
      </c>
      <c r="P203" s="133" t="str">
        <f>IFERROR(VLOOKUP(P$4,NICU!$AA$5:$AI$19,5,FALSE),"")</f>
        <v/>
      </c>
      <c r="Q203" s="133" t="str">
        <f>IFERROR(VLOOKUP(Q$4,NICU!$AA$5:$AI$19,5,FALSE),"")</f>
        <v/>
      </c>
      <c r="R203" s="53"/>
      <c r="AA203" s="149"/>
      <c r="AB203" s="149"/>
      <c r="AC203" s="149"/>
      <c r="AD203" s="149"/>
    </row>
    <row r="204" spans="2:30" x14ac:dyDescent="0.35">
      <c r="B204" s="136"/>
      <c r="C204" s="1" t="s">
        <v>37</v>
      </c>
      <c r="D204" s="133">
        <f>IFERROR(VLOOKUP(D$4,NICU!$AA$5:$AI$19,9,FALSE),"")</f>
        <v>0.64758842443729903</v>
      </c>
      <c r="E204" s="133">
        <f>IFERROR(VLOOKUP(E$4,NICU!$AA$5:$AI$19,9,FALSE),"")</f>
        <v>0.654169360051713</v>
      </c>
      <c r="F204" s="133">
        <f>IFERROR(VLOOKUP(F$4,NICU!$AA$5:$AI$19,9,FALSE),"")</f>
        <v>0.65646908859145958</v>
      </c>
      <c r="G204" s="133">
        <f>IFERROR(VLOOKUP(G$4,NICU!$AA$5:$AI$19,9,FALSE),"")</f>
        <v>0.68647281921618208</v>
      </c>
      <c r="H204" s="133">
        <f>IFERROR(VLOOKUP(H$4,NICU!$AA$5:$AI$19,9,FALSE),"")</f>
        <v>0.67834394904458595</v>
      </c>
      <c r="I204" s="133">
        <f>IFERROR(VLOOKUP(I$4,NICU!$AA$5:$AI$19,9,FALSE),"")</f>
        <v>0.67793367346938771</v>
      </c>
      <c r="J204" s="133">
        <f>IFERROR(VLOOKUP(J$4,NICU!$AA$5:$AI$19,9,FALSE),"")</f>
        <v>0.70599489795918369</v>
      </c>
      <c r="K204" s="133">
        <f>IFERROR(VLOOKUP(K$4,NICU!$AA$5:$AI$19,9,FALSE),"")</f>
        <v>0.71392244119516846</v>
      </c>
      <c r="L204" s="133" t="str">
        <f>IFERROR(VLOOKUP(L$4,NICU!$AA$5:$AI$19,9,FALSE),"")</f>
        <v/>
      </c>
      <c r="M204" s="133" t="str">
        <f>IFERROR(VLOOKUP(M$4,NICU!$AA$5:$AI$19,9,FALSE),"")</f>
        <v/>
      </c>
      <c r="N204" s="133" t="str">
        <f>IFERROR(VLOOKUP(N$4,NICU!$AA$5:$AI$19,9,FALSE),"")</f>
        <v/>
      </c>
      <c r="O204" s="133" t="str">
        <f>IFERROR(VLOOKUP(O$4,NICU!$AA$5:$AI$19,9,FALSE),"")</f>
        <v/>
      </c>
      <c r="P204" s="133" t="str">
        <f>IFERROR(VLOOKUP(P$4,NICU!$AA$5:$AI$19,9,FALSE),"")</f>
        <v/>
      </c>
      <c r="Q204" s="133" t="str">
        <f>IFERROR(VLOOKUP(Q$4,NICU!$AA$5:$AI$19,9,FALSE),"")</f>
        <v/>
      </c>
      <c r="R204" s="53" t="str">
        <f>IFERROR(VLOOKUP(R$4,NICU!$AA$5:$AH$19,5,FALSE),"")</f>
        <v/>
      </c>
      <c r="AA204" s="149"/>
      <c r="AB204" s="149"/>
      <c r="AC204" s="149"/>
      <c r="AD204" s="149"/>
    </row>
    <row r="205" spans="2:30" x14ac:dyDescent="0.35">
      <c r="B205" s="136"/>
      <c r="C205" s="1" t="s">
        <v>27</v>
      </c>
      <c r="D205" s="133">
        <f>IFERROR(VLOOKUP(D$4,NICU!$AA$5:$AI$19,6,FALSE),"")</f>
        <v>0.61347150259067362</v>
      </c>
      <c r="E205" s="133">
        <f>IFERROR(VLOOKUP(E$4,NICU!$AA$5:$AI$19,6,FALSE),"")</f>
        <v>0.62814586543400097</v>
      </c>
      <c r="F205" s="133">
        <f>IFERROR(VLOOKUP(F$4,NICU!$AA$5:$AI$19,6,FALSE),"")</f>
        <v>0.58723623262995372</v>
      </c>
      <c r="G205" s="133">
        <f>IFERROR(VLOOKUP(G$4,NICU!$AA$5:$AI$19,6,FALSE),"")</f>
        <v>0.59427695452222795</v>
      </c>
      <c r="H205" s="133">
        <f>IFERROR(VLOOKUP(H$4,NICU!$AA$5:$AI$19,6,FALSE),"")</f>
        <v>0.53988378235604861</v>
      </c>
      <c r="I205" s="133">
        <f>IFERROR(VLOOKUP(I$4,NICU!$AA$5:$AI$19,6,FALSE),"")</f>
        <v>0.57256355932203384</v>
      </c>
      <c r="J205" s="133">
        <f>IFERROR(VLOOKUP(J$4,NICU!$AA$5:$AI$19,6,FALSE),"")</f>
        <v>0.58403805496828753</v>
      </c>
      <c r="K205" s="133">
        <f>IFERROR(VLOOKUP(K$4,NICU!$AA$5:$AI$19,6,FALSE),"")</f>
        <v>0.5955997904662127</v>
      </c>
      <c r="L205" s="133" t="str">
        <f>IFERROR(VLOOKUP(L$4,NICU!$AA$5:$AI$19,6,FALSE),"")</f>
        <v/>
      </c>
      <c r="M205" s="133" t="str">
        <f>IFERROR(VLOOKUP(M$4,NICU!$AA$5:$AI$19,6,FALSE),"")</f>
        <v/>
      </c>
      <c r="N205" s="133" t="str">
        <f>IFERROR(VLOOKUP(N$4,NICU!$AA$5:$AI$19,6,FALSE),"")</f>
        <v/>
      </c>
      <c r="O205" s="133" t="str">
        <f>IFERROR(VLOOKUP(O$4,NICU!$AA$5:$AI$19,6,FALSE),"")</f>
        <v/>
      </c>
      <c r="P205" s="133" t="str">
        <f>IFERROR(VLOOKUP(P$4,NICU!$AA$5:$AI$19,6,FALSE),"")</f>
        <v/>
      </c>
      <c r="Q205" s="133" t="str">
        <f>IFERROR(VLOOKUP(Q$4,NICU!$AA$5:$AI$19,6,FALSE),"")</f>
        <v/>
      </c>
      <c r="R205" s="53" t="str">
        <f>IFERROR(VLOOKUP(R$4,NICU!$AA$5:$AH$19,6,FALSE),"")</f>
        <v/>
      </c>
      <c r="AA205" s="149"/>
      <c r="AB205" s="149"/>
      <c r="AC205" s="149"/>
      <c r="AD205" s="149"/>
    </row>
    <row r="206" spans="2:30" ht="15" customHeight="1" x14ac:dyDescent="0.35">
      <c r="B206" s="136"/>
      <c r="C206" s="1" t="s">
        <v>28</v>
      </c>
      <c r="D206" s="133">
        <f>IFERROR(VLOOKUP(D$4,NICU!$AA$5:$AI$19,7,FALSE),"")</f>
        <v>0.73520853540252185</v>
      </c>
      <c r="E206" s="133">
        <f>IFERROR(VLOOKUP(E$4,NICU!$AA$5:$AI$19,7,FALSE),"")</f>
        <v>0.7073403241182078</v>
      </c>
      <c r="F206" s="133">
        <f>IFERROR(VLOOKUP(F$4,NICU!$AA$5:$AI$19,7,FALSE),"")</f>
        <v>0.72838345864661658</v>
      </c>
      <c r="G206" s="133">
        <f>IFERROR(VLOOKUP(G$4,NICU!$AA$5:$AI$19,7,FALSE),"")</f>
        <v>0.71816479400749067</v>
      </c>
      <c r="H206" s="133">
        <f>IFERROR(VLOOKUP(H$4,NICU!$AA$5:$AI$19,7,FALSE),"")</f>
        <v>0.69454887218045114</v>
      </c>
      <c r="I206" s="133">
        <f>IFERROR(VLOOKUP(I$4,NICU!$AA$5:$AI$19,7,FALSE),"")</f>
        <v>0.68327067669172936</v>
      </c>
      <c r="J206" s="133">
        <f>IFERROR(VLOOKUP(J$4,NICU!$AA$5:$AI$19,7,FALSE),"")</f>
        <v>0.6964285714285714</v>
      </c>
      <c r="K206" s="133">
        <f>IFERROR(VLOOKUP(K$4,NICU!$AA$5:$AI$19,7,FALSE),"")</f>
        <v>0.66259398496240607</v>
      </c>
      <c r="L206" s="133" t="str">
        <f>IFERROR(VLOOKUP(L$4,NICU!$AA$5:$AI$19,7,FALSE),"")</f>
        <v/>
      </c>
      <c r="M206" s="133" t="str">
        <f>IFERROR(VLOOKUP(M$4,NICU!$AA$5:$AI$19,7,FALSE),"")</f>
        <v/>
      </c>
      <c r="N206" s="133" t="str">
        <f>IFERROR(VLOOKUP(N$4,NICU!$AA$5:$AI$19,7,FALSE),"")</f>
        <v/>
      </c>
      <c r="O206" s="133" t="str">
        <f>IFERROR(VLOOKUP(O$4,NICU!$AA$5:$AI$19,7,FALSE),"")</f>
        <v/>
      </c>
      <c r="P206" s="133" t="str">
        <f>IFERROR(VLOOKUP(P$4,NICU!$AA$5:$AI$19,7,FALSE),"")</f>
        <v/>
      </c>
      <c r="Q206" s="133" t="str">
        <f>IFERROR(VLOOKUP(Q$4,NICU!$AA$5:$AI$19,7,FALSE),"")</f>
        <v/>
      </c>
      <c r="R206" s="53" t="str">
        <f>IFERROR(VLOOKUP(R$4,NICU!$AA$5:$AH$19,7,FALSE),"")</f>
        <v/>
      </c>
      <c r="AA206" s="149"/>
      <c r="AB206" s="149"/>
      <c r="AC206" s="149"/>
      <c r="AD206" s="149"/>
    </row>
    <row r="207" spans="2:30" ht="7.5" customHeight="1" x14ac:dyDescent="0.35">
      <c r="B207" s="136"/>
      <c r="C207" s="1"/>
      <c r="D207" s="53"/>
      <c r="E207" s="53"/>
      <c r="F207" s="53"/>
      <c r="G207" s="53"/>
      <c r="H207" s="53"/>
      <c r="I207" s="53"/>
      <c r="J207" s="53"/>
      <c r="K207" s="53"/>
      <c r="L207" s="53"/>
      <c r="M207" s="53"/>
      <c r="N207" s="53"/>
      <c r="O207" s="53"/>
      <c r="P207" s="53"/>
      <c r="Q207" s="53"/>
      <c r="R207" s="53"/>
      <c r="AA207" s="149"/>
      <c r="AB207" s="149"/>
      <c r="AC207" s="149"/>
      <c r="AD207" s="149"/>
    </row>
    <row r="208" spans="2:30" x14ac:dyDescent="0.35">
      <c r="B208" s="136"/>
      <c r="C208" s="10" t="s">
        <v>73</v>
      </c>
      <c r="D208" s="93">
        <v>513.71428571428567</v>
      </c>
      <c r="E208" s="93">
        <v>522.28571428571433</v>
      </c>
      <c r="F208" s="93">
        <v>501.14285714285717</v>
      </c>
      <c r="G208" s="93">
        <v>537</v>
      </c>
      <c r="H208" s="93">
        <v>593.42857142857144</v>
      </c>
      <c r="I208" s="93">
        <v>572.28571428571433</v>
      </c>
      <c r="J208" s="93">
        <v>595.57142857142856</v>
      </c>
      <c r="K208" s="93">
        <v>600.28571428571433</v>
      </c>
      <c r="L208" s="93">
        <v>563.71428571428567</v>
      </c>
      <c r="M208" s="93">
        <v>567.14285714285711</v>
      </c>
      <c r="N208" s="93">
        <v>588.85714285714289</v>
      </c>
      <c r="O208" s="93">
        <v>593.71428571428567</v>
      </c>
      <c r="P208" s="93">
        <v>576</v>
      </c>
      <c r="Q208" s="93">
        <v>583.14285714285711</v>
      </c>
      <c r="AA208" s="149"/>
      <c r="AB208" s="149"/>
      <c r="AC208" s="149"/>
      <c r="AD208" s="149"/>
    </row>
    <row r="209" spans="2:30" x14ac:dyDescent="0.35">
      <c r="B209" s="136"/>
      <c r="C209" s="1" t="s">
        <v>18</v>
      </c>
      <c r="D209" s="94">
        <v>558.14285714285711</v>
      </c>
      <c r="E209" s="94">
        <v>512</v>
      </c>
      <c r="F209" s="94">
        <v>500.14285714285717</v>
      </c>
      <c r="G209" s="94">
        <v>556.71428571428567</v>
      </c>
      <c r="H209" s="94">
        <v>535.42857142857144</v>
      </c>
      <c r="I209" s="94">
        <v>547.85714285714289</v>
      </c>
      <c r="J209" s="94">
        <v>555.14285714285711</v>
      </c>
      <c r="K209" s="94">
        <v>541.28571428571433</v>
      </c>
      <c r="L209" s="94">
        <v>568.28571428571433</v>
      </c>
      <c r="M209" s="94">
        <v>572.28571428571433</v>
      </c>
      <c r="N209" s="94">
        <v>522</v>
      </c>
      <c r="O209" s="94">
        <v>521.28571428571433</v>
      </c>
      <c r="P209" s="94">
        <v>552.28571428571433</v>
      </c>
      <c r="Q209" s="94">
        <v>530.85714285714289</v>
      </c>
      <c r="AA209" s="149"/>
      <c r="AB209" s="149"/>
      <c r="AC209" s="149"/>
      <c r="AD209" s="149"/>
    </row>
    <row r="210" spans="2:30" ht="7.5" customHeight="1" x14ac:dyDescent="0.35">
      <c r="B210" s="136"/>
      <c r="AA210" s="149"/>
      <c r="AB210" s="149"/>
      <c r="AC210" s="149"/>
      <c r="AD210" s="149"/>
    </row>
    <row r="211" spans="2:30" x14ac:dyDescent="0.35">
      <c r="B211" s="136"/>
      <c r="C211" s="13" t="s">
        <v>20</v>
      </c>
      <c r="D211" s="49">
        <f>IFERROR(VLOOKUP(D$4,NICU!$BL$5:$BT$19,2,FALSE),"")</f>
        <v>535</v>
      </c>
      <c r="E211" s="49">
        <f>IFERROR(VLOOKUP(E$4,NICU!$BL$5:$BT$19,2,FALSE),"")</f>
        <v>527.85714285714289</v>
      </c>
      <c r="F211" s="49">
        <f>IFERROR(VLOOKUP(F$4,NICU!$BL$5:$BT$19,2,FALSE),"")</f>
        <v>543.14285714285711</v>
      </c>
      <c r="G211" s="49">
        <f>IFERROR(VLOOKUP(G$4,NICU!$BL$5:$BT$19,2,FALSE),"")</f>
        <v>532.85714285714289</v>
      </c>
      <c r="H211" s="49">
        <f>IFERROR(VLOOKUP(H$4,NICU!$BL$5:$BT$19,2,FALSE),"")</f>
        <v>563.57142857142856</v>
      </c>
      <c r="I211" s="49">
        <f>IFERROR(VLOOKUP(I$4,NICU!$BL$5:$BT$19,2,FALSE),"")</f>
        <v>562.28571428571433</v>
      </c>
      <c r="J211" s="49">
        <f>IFERROR(VLOOKUP(J$4,NICU!$BL$5:$BT$19,2,FALSE),"")</f>
        <v>557</v>
      </c>
      <c r="K211" s="49">
        <f>IFERROR(VLOOKUP(K$4,NICU!$BL$5:$BT$19,2,FALSE),"")</f>
        <v>557.14285714285711</v>
      </c>
      <c r="L211" s="49" t="str">
        <f>IFERROR(VLOOKUP(L$4,NICU!$BL$5:$BT$19,2,FALSE),"")</f>
        <v/>
      </c>
      <c r="M211" s="49" t="str">
        <f>IFERROR(VLOOKUP(M$4,NICU!$BL$5:$BT$19,2,FALSE),"")</f>
        <v/>
      </c>
      <c r="N211" s="49" t="str">
        <f>IFERROR(VLOOKUP(N$4,NICU!$BL$5:$BT$19,2,FALSE),"")</f>
        <v/>
      </c>
      <c r="O211" s="49" t="str">
        <f>IFERROR(VLOOKUP(O$4,NICU!$BL$5:$BT$19,2,FALSE),"")</f>
        <v/>
      </c>
      <c r="P211" s="49" t="str">
        <f>IFERROR(VLOOKUP(P$4,NICU!$BL$5:$BT$19,2,FALSE),"")</f>
        <v/>
      </c>
      <c r="Q211" s="49" t="str">
        <f>IFERROR(VLOOKUP(Q$4,NICU!$BL$5:$BT$19,2,FALSE),"")</f>
        <v/>
      </c>
      <c r="R211" s="76" t="str">
        <f>IFERROR(VLOOKUP(R$4,NICU!$BL$5:$BS$19,2,FALSE),"")</f>
        <v/>
      </c>
      <c r="T211" s="2"/>
      <c r="AA211" s="149"/>
      <c r="AB211" s="149"/>
      <c r="AC211" s="149"/>
      <c r="AD211" s="149"/>
    </row>
    <row r="212" spans="2:30" x14ac:dyDescent="0.35">
      <c r="B212" s="136"/>
      <c r="C212" s="1" t="s">
        <v>21</v>
      </c>
      <c r="D212" s="132">
        <f>IFERROR(VLOOKUP(D$4,NICU!$BL$5:$BT$19,3,FALSE),"")</f>
        <v>91.857142857142861</v>
      </c>
      <c r="E212" s="132">
        <f>IFERROR(VLOOKUP(E$4,NICU!$BL$5:$BT$19,3,FALSE),"")</f>
        <v>85</v>
      </c>
      <c r="F212" s="132">
        <f>IFERROR(VLOOKUP(F$4,NICU!$BL$5:$BT$19,3,FALSE),"")</f>
        <v>82.142857142857139</v>
      </c>
      <c r="G212" s="132">
        <f>IFERROR(VLOOKUP(G$4,NICU!$BL$5:$BT$19,3,FALSE),"")</f>
        <v>88</v>
      </c>
      <c r="H212" s="132">
        <f>IFERROR(VLOOKUP(H$4,NICU!$BL$5:$BT$19,3,FALSE),"")</f>
        <v>92.428571428571431</v>
      </c>
      <c r="I212" s="132">
        <f>IFERROR(VLOOKUP(I$4,NICU!$BL$5:$BT$19,3,FALSE),"")</f>
        <v>100.14285714285714</v>
      </c>
      <c r="J212" s="132">
        <f>IFERROR(VLOOKUP(J$4,NICU!$BL$5:$BT$19,3,FALSE),"")</f>
        <v>103.85714285714286</v>
      </c>
      <c r="K212" s="132">
        <f>IFERROR(VLOOKUP(K$4,NICU!$BL$5:$BT$19,3,FALSE),"")</f>
        <v>98.285714285714292</v>
      </c>
      <c r="L212" s="132" t="str">
        <f>IFERROR(VLOOKUP(L$4,NICU!$BL$5:$BT$19,3,FALSE),"")</f>
        <v/>
      </c>
      <c r="M212" s="132" t="str">
        <f>IFERROR(VLOOKUP(M$4,NICU!$BL$5:$BT$19,3,FALSE),"")</f>
        <v/>
      </c>
      <c r="N212" s="132" t="str">
        <f>IFERROR(VLOOKUP(N$4,NICU!$BL$5:$BT$19,3,FALSE),"")</f>
        <v/>
      </c>
      <c r="O212" s="132" t="str">
        <f>IFERROR(VLOOKUP(O$4,NICU!$BL$5:$BT$19,3,FALSE),"")</f>
        <v/>
      </c>
      <c r="P212" s="132" t="str">
        <f>IFERROR(VLOOKUP(P$4,NICU!$BL$5:$BT$19,3,FALSE),"")</f>
        <v/>
      </c>
      <c r="Q212" s="132" t="str">
        <f>IFERROR(VLOOKUP(Q$4,NICU!$BL$5:$BT$19,3,FALSE),"")</f>
        <v/>
      </c>
      <c r="R212" s="77" t="str">
        <f>IFERROR(VLOOKUP(R$4,NICU!$BL$5:$BS$19,3,FALSE),"")</f>
        <v/>
      </c>
      <c r="AA212" s="149"/>
      <c r="AB212" s="149"/>
      <c r="AC212" s="149"/>
      <c r="AD212" s="149"/>
    </row>
    <row r="213" spans="2:30" x14ac:dyDescent="0.35">
      <c r="B213" s="136"/>
      <c r="C213" s="1" t="s">
        <v>22</v>
      </c>
      <c r="D213" s="132">
        <f>IFERROR(VLOOKUP(D$4,NICU!$BL$5:$BT$19,4,FALSE),"")</f>
        <v>93.857142857142861</v>
      </c>
      <c r="E213" s="132">
        <f>IFERROR(VLOOKUP(E$4,NICU!$BL$5:$BT$19,4,FALSE),"")</f>
        <v>91.285714285714292</v>
      </c>
      <c r="F213" s="132">
        <f>IFERROR(VLOOKUP(F$4,NICU!$BL$5:$BT$19,4,FALSE),"")</f>
        <v>90.142857142857139</v>
      </c>
      <c r="G213" s="132">
        <f>IFERROR(VLOOKUP(G$4,NICU!$BL$5:$BT$19,4,FALSE),"")</f>
        <v>79.428571428571431</v>
      </c>
      <c r="H213" s="132">
        <f>IFERROR(VLOOKUP(H$4,NICU!$BL$5:$BT$19,4,FALSE),"")</f>
        <v>84.285714285714292</v>
      </c>
      <c r="I213" s="132">
        <f>IFERROR(VLOOKUP(I$4,NICU!$BL$5:$BT$19,4,FALSE),"")</f>
        <v>91.714285714285708</v>
      </c>
      <c r="J213" s="132">
        <f>IFERROR(VLOOKUP(J$4,NICU!$BL$5:$BT$19,4,FALSE),"")</f>
        <v>99.857142857142861</v>
      </c>
      <c r="K213" s="132">
        <f>IFERROR(VLOOKUP(K$4,NICU!$BL$5:$BT$19,4,FALSE),"")</f>
        <v>104</v>
      </c>
      <c r="L213" s="132" t="str">
        <f>IFERROR(VLOOKUP(L$4,NICU!$BL$5:$BT$19,4,FALSE),"")</f>
        <v/>
      </c>
      <c r="M213" s="132" t="str">
        <f>IFERROR(VLOOKUP(M$4,NICU!$BL$5:$BT$19,4,FALSE),"")</f>
        <v/>
      </c>
      <c r="N213" s="132" t="str">
        <f>IFERROR(VLOOKUP(N$4,NICU!$BL$5:$BT$19,4,FALSE),"")</f>
        <v/>
      </c>
      <c r="O213" s="132" t="str">
        <f>IFERROR(VLOOKUP(O$4,NICU!$BL$5:$BT$19,4,FALSE),"")</f>
        <v/>
      </c>
      <c r="P213" s="132" t="str">
        <f>IFERROR(VLOOKUP(P$4,NICU!$BL$5:$BT$19,4,FALSE),"")</f>
        <v/>
      </c>
      <c r="Q213" s="132" t="str">
        <f>IFERROR(VLOOKUP(Q$4,NICU!$BL$5:$BT$19,4,FALSE),"")</f>
        <v/>
      </c>
      <c r="R213" s="77" t="str">
        <f>IFERROR(VLOOKUP(R$4,NICU!$BL$5:$BS$19,4,FALSE),"")</f>
        <v/>
      </c>
      <c r="AA213" s="149"/>
      <c r="AB213" s="149"/>
      <c r="AC213" s="149"/>
      <c r="AD213" s="149"/>
    </row>
    <row r="214" spans="2:30" x14ac:dyDescent="0.35">
      <c r="B214" s="136"/>
      <c r="C214" s="1" t="s">
        <v>24</v>
      </c>
      <c r="D214" s="132">
        <f>IFERROR(VLOOKUP(D$4,NICU!$BL$5:$BT$19,8,FALSE),"")</f>
        <v>62.571428571428569</v>
      </c>
      <c r="E214" s="132">
        <f>IFERROR(VLOOKUP(E$4,NICU!$BL$5:$BT$19,8,FALSE),"")</f>
        <v>68.571428571428569</v>
      </c>
      <c r="F214" s="132">
        <f>IFERROR(VLOOKUP(F$4,NICU!$BL$5:$BT$19,8,FALSE),"")</f>
        <v>71.857142857142861</v>
      </c>
      <c r="G214" s="132">
        <f>IFERROR(VLOOKUP(G$4,NICU!$BL$5:$BT$19,8,FALSE),"")</f>
        <v>71.142857142857139</v>
      </c>
      <c r="H214" s="132">
        <f>IFERROR(VLOOKUP(H$4,NICU!$BL$5:$BT$19,8,FALSE),"")</f>
        <v>78.428571428571431</v>
      </c>
      <c r="I214" s="132">
        <f>IFERROR(VLOOKUP(I$4,NICU!$BL$5:$BT$19,8,FALSE),"")</f>
        <v>72.571428571428569</v>
      </c>
      <c r="J214" s="132">
        <f>IFERROR(VLOOKUP(J$4,NICU!$BL$5:$BT$19,8,FALSE),"")</f>
        <v>74.714285714285708</v>
      </c>
      <c r="K214" s="132">
        <f>IFERROR(VLOOKUP(K$4,NICU!$BL$5:$BT$19,8,FALSE),"")</f>
        <v>66.571428571428569</v>
      </c>
      <c r="L214" s="132" t="str">
        <f>IFERROR(VLOOKUP(L$4,NICU!$BL$5:$BT$19,8,FALSE),"")</f>
        <v/>
      </c>
      <c r="M214" s="132" t="str">
        <f>IFERROR(VLOOKUP(M$4,NICU!$BL$5:$BT$19,8,FALSE),"")</f>
        <v/>
      </c>
      <c r="N214" s="132" t="str">
        <f>IFERROR(VLOOKUP(N$4,NICU!$BL$5:$BT$19,8,FALSE),"")</f>
        <v/>
      </c>
      <c r="O214" s="132" t="str">
        <f>IFERROR(VLOOKUP(O$4,NICU!$BL$5:$BT$19,8,FALSE),"")</f>
        <v/>
      </c>
      <c r="P214" s="132" t="str">
        <f>IFERROR(VLOOKUP(P$4,NICU!$BL$5:$BT$19,8,FALSE),"")</f>
        <v/>
      </c>
      <c r="Q214" s="132" t="str">
        <f>IFERROR(VLOOKUP(Q$4,NICU!$BL$5:$BT$19,8,FALSE),"")</f>
        <v/>
      </c>
      <c r="R214" s="77"/>
      <c r="AA214" s="149"/>
      <c r="AB214" s="149"/>
      <c r="AC214" s="149"/>
      <c r="AD214" s="149"/>
    </row>
    <row r="215" spans="2:30" x14ac:dyDescent="0.35">
      <c r="B215" s="136"/>
      <c r="C215" s="1" t="s">
        <v>25</v>
      </c>
      <c r="D215" s="132">
        <f>IFERROR(VLOOKUP(D$4,NICU!$BL$5:$BT$19,5,FALSE),"")</f>
        <v>62.857142857142854</v>
      </c>
      <c r="E215" s="132">
        <f>IFERROR(VLOOKUP(E$4,NICU!$BL$5:$BT$19,5,FALSE),"")</f>
        <v>59.285714285714285</v>
      </c>
      <c r="F215" s="132">
        <f>IFERROR(VLOOKUP(F$4,NICU!$BL$5:$BT$19,5,FALSE),"")</f>
        <v>66.142857142857139</v>
      </c>
      <c r="G215" s="132">
        <f>IFERROR(VLOOKUP(G$4,NICU!$BL$5:$BT$19,5,FALSE),"")</f>
        <v>67</v>
      </c>
      <c r="H215" s="132">
        <f>IFERROR(VLOOKUP(H$4,NICU!$BL$5:$BT$19,5,FALSE),"")</f>
        <v>65.428571428571431</v>
      </c>
      <c r="I215" s="132">
        <f>IFERROR(VLOOKUP(I$4,NICU!$BL$5:$BT$19,5,FALSE),"")</f>
        <v>62.285714285714285</v>
      </c>
      <c r="J215" s="132">
        <f>IFERROR(VLOOKUP(J$4,NICU!$BL$5:$BT$19,5,FALSE),"")</f>
        <v>54.142857142857146</v>
      </c>
      <c r="K215" s="132">
        <f>IFERROR(VLOOKUP(K$4,NICU!$BL$5:$BT$19,5,FALSE),"")</f>
        <v>62.428571428571431</v>
      </c>
      <c r="L215" s="132" t="str">
        <f>IFERROR(VLOOKUP(L$4,NICU!$BL$5:$BT$19,5,FALSE),"")</f>
        <v/>
      </c>
      <c r="M215" s="132" t="str">
        <f>IFERROR(VLOOKUP(M$4,NICU!$BL$5:$BT$19,5,FALSE),"")</f>
        <v/>
      </c>
      <c r="N215" s="132" t="str">
        <f>IFERROR(VLOOKUP(N$4,NICU!$BL$5:$BT$19,5,FALSE),"")</f>
        <v/>
      </c>
      <c r="O215" s="132" t="str">
        <f>IFERROR(VLOOKUP(O$4,NICU!$BL$5:$BT$19,5,FALSE),"")</f>
        <v/>
      </c>
      <c r="P215" s="132" t="str">
        <f>IFERROR(VLOOKUP(P$4,NICU!$BL$5:$BT$19,5,FALSE),"")</f>
        <v/>
      </c>
      <c r="Q215" s="132" t="str">
        <f>IFERROR(VLOOKUP(Q$4,NICU!$BL$5:$BT$19,5,FALSE),"")</f>
        <v/>
      </c>
      <c r="R215" s="77"/>
      <c r="AA215" s="149"/>
      <c r="AB215" s="149"/>
      <c r="AC215" s="149"/>
      <c r="AD215" s="149"/>
    </row>
    <row r="216" spans="2:30" x14ac:dyDescent="0.35">
      <c r="B216" s="136"/>
      <c r="C216" s="1" t="s">
        <v>37</v>
      </c>
      <c r="D216" s="132">
        <f>IFERROR(VLOOKUP(D$4,NICU!$BL$5:$BT$19,9,FALSE),"")</f>
        <v>78.285714285714292</v>
      </c>
      <c r="E216" s="132">
        <f>IFERROR(VLOOKUP(E$4,NICU!$BL$5:$BT$19,9,FALSE),"")</f>
        <v>76.428571428571431</v>
      </c>
      <c r="F216" s="132">
        <f>IFERROR(VLOOKUP(F$4,NICU!$BL$5:$BT$19,9,FALSE),"")</f>
        <v>77</v>
      </c>
      <c r="G216" s="132">
        <f>IFERROR(VLOOKUP(G$4,NICU!$BL$5:$BT$19,9,FALSE),"")</f>
        <v>70.857142857142861</v>
      </c>
      <c r="H216" s="132">
        <f>IFERROR(VLOOKUP(H$4,NICU!$BL$5:$BT$19,9,FALSE),"")</f>
        <v>72.142857142857139</v>
      </c>
      <c r="I216" s="132">
        <f>IFERROR(VLOOKUP(I$4,NICU!$BL$5:$BT$19,9,FALSE),"")</f>
        <v>72.142857142857139</v>
      </c>
      <c r="J216" s="132">
        <f>IFERROR(VLOOKUP(J$4,NICU!$BL$5:$BT$19,9,FALSE),"")</f>
        <v>65.857142857142861</v>
      </c>
      <c r="K216" s="132">
        <f>IFERROR(VLOOKUP(K$4,NICU!$BL$5:$BT$19,9,FALSE),"")</f>
        <v>64.285714285714292</v>
      </c>
      <c r="L216" s="132" t="str">
        <f>IFERROR(VLOOKUP(L$4,NICU!$BL$5:$BT$19,9,FALSE),"")</f>
        <v/>
      </c>
      <c r="M216" s="132" t="str">
        <f>IFERROR(VLOOKUP(M$4,NICU!$BL$5:$BT$19,9,FALSE),"")</f>
        <v/>
      </c>
      <c r="N216" s="132" t="str">
        <f>IFERROR(VLOOKUP(N$4,NICU!$BL$5:$BT$19,9,FALSE),"")</f>
        <v/>
      </c>
      <c r="O216" s="132" t="str">
        <f>IFERROR(VLOOKUP(O$4,NICU!$BL$5:$BT$19,9,FALSE),"")</f>
        <v/>
      </c>
      <c r="P216" s="132" t="str">
        <f>IFERROR(VLOOKUP(P$4,NICU!$BL$5:$BT$19,9,FALSE),"")</f>
        <v/>
      </c>
      <c r="Q216" s="132" t="str">
        <f>IFERROR(VLOOKUP(Q$4,NICU!$BL$5:$BT$19,9,FALSE),"")</f>
        <v/>
      </c>
      <c r="R216" s="77" t="str">
        <f>IFERROR(VLOOKUP(R$4,NICU!$BL$5:$BS$19,5,FALSE),"")</f>
        <v/>
      </c>
      <c r="AA216" s="149"/>
      <c r="AB216" s="149"/>
      <c r="AC216" s="149"/>
      <c r="AD216" s="149"/>
    </row>
    <row r="217" spans="2:30" x14ac:dyDescent="0.35">
      <c r="B217" s="136"/>
      <c r="C217" s="1" t="s">
        <v>27</v>
      </c>
      <c r="D217" s="132">
        <f>IFERROR(VLOOKUP(D$4,NICU!$BL$5:$BT$19,6,FALSE),"")</f>
        <v>106.57142857142857</v>
      </c>
      <c r="E217" s="132">
        <f>IFERROR(VLOOKUP(E$4,NICU!$BL$5:$BT$19,6,FALSE),"")</f>
        <v>103.42857142857143</v>
      </c>
      <c r="F217" s="132">
        <f>IFERROR(VLOOKUP(F$4,NICU!$BL$5:$BT$19,6,FALSE),"")</f>
        <v>114.57142857142857</v>
      </c>
      <c r="G217" s="132">
        <f>IFERROR(VLOOKUP(G$4,NICU!$BL$5:$BT$19,6,FALSE),"")</f>
        <v>113.42857142857143</v>
      </c>
      <c r="H217" s="132">
        <f>IFERROR(VLOOKUP(H$4,NICU!$BL$5:$BT$19,6,FALSE),"")</f>
        <v>124.42857142857143</v>
      </c>
      <c r="I217" s="132">
        <f>IFERROR(VLOOKUP(I$4,NICU!$BL$5:$BT$19,6,FALSE),"")</f>
        <v>115.28571428571429</v>
      </c>
      <c r="J217" s="132">
        <f>IFERROR(VLOOKUP(J$4,NICU!$BL$5:$BT$19,6,FALSE),"")</f>
        <v>112.42857142857143</v>
      </c>
      <c r="K217" s="132">
        <f>IFERROR(VLOOKUP(K$4,NICU!$BL$5:$BT$19,6,FALSE),"")</f>
        <v>110.28571428571429</v>
      </c>
      <c r="L217" s="132" t="str">
        <f>IFERROR(VLOOKUP(L$4,NICU!$BL$5:$BT$19,6,FALSE),"")</f>
        <v/>
      </c>
      <c r="M217" s="132" t="str">
        <f>IFERROR(VLOOKUP(M$4,NICU!$BL$5:$BT$19,6,FALSE),"")</f>
        <v/>
      </c>
      <c r="N217" s="132" t="str">
        <f>IFERROR(VLOOKUP(N$4,NICU!$BL$5:$BT$19,6,FALSE),"")</f>
        <v/>
      </c>
      <c r="O217" s="132" t="str">
        <f>IFERROR(VLOOKUP(O$4,NICU!$BL$5:$BT$19,6,FALSE),"")</f>
        <v/>
      </c>
      <c r="P217" s="132" t="str">
        <f>IFERROR(VLOOKUP(P$4,NICU!$BL$5:$BT$19,6,FALSE),"")</f>
        <v/>
      </c>
      <c r="Q217" s="132" t="str">
        <f>IFERROR(VLOOKUP(Q$4,NICU!$BL$5:$BT$19,6,FALSE),"")</f>
        <v/>
      </c>
      <c r="R217" s="77" t="str">
        <f>IFERROR(VLOOKUP(R$4,NICU!$BL$5:$BS$19,6,FALSE),"")</f>
        <v/>
      </c>
      <c r="AA217" s="39"/>
      <c r="AB217" s="39"/>
      <c r="AC217" s="39"/>
      <c r="AD217" s="39"/>
    </row>
    <row r="218" spans="2:30" x14ac:dyDescent="0.35">
      <c r="B218" s="136"/>
      <c r="C218" s="1" t="s">
        <v>62</v>
      </c>
      <c r="D218" s="132">
        <f>IFERROR(VLOOKUP(D$4,NICU!$BL$5:$BT$19,7,FALSE),"")</f>
        <v>39</v>
      </c>
      <c r="E218" s="132">
        <f>IFERROR(VLOOKUP(E$4,NICU!$BL$5:$BT$19,7,FALSE),"")</f>
        <v>43.857142857142854</v>
      </c>
      <c r="F218" s="132">
        <f>IFERROR(VLOOKUP(F$4,NICU!$BL$5:$BT$19,7,FALSE),"")</f>
        <v>41.285714285714285</v>
      </c>
      <c r="G218" s="132">
        <f>IFERROR(VLOOKUP(G$4,NICU!$BL$5:$BT$19,7,FALSE),"")</f>
        <v>43</v>
      </c>
      <c r="H218" s="132">
        <f>IFERROR(VLOOKUP(H$4,NICU!$BL$5:$BT$19,7,FALSE),"")</f>
        <v>46.428571428571431</v>
      </c>
      <c r="I218" s="132">
        <f>IFERROR(VLOOKUP(I$4,NICU!$BL$5:$BT$19,7,FALSE),"")</f>
        <v>48.142857142857146</v>
      </c>
      <c r="J218" s="132">
        <f>IFERROR(VLOOKUP(J$4,NICU!$BL$5:$BT$19,7,FALSE),"")</f>
        <v>46.142857142857146</v>
      </c>
      <c r="K218" s="132">
        <f>IFERROR(VLOOKUP(K$4,NICU!$BL$5:$BT$19,7,FALSE),"")</f>
        <v>51.285714285714285</v>
      </c>
      <c r="L218" s="132" t="str">
        <f>IFERROR(VLOOKUP(L$4,NICU!$BL$5:$BT$19,7,FALSE),"")</f>
        <v/>
      </c>
      <c r="M218" s="132" t="str">
        <f>IFERROR(VLOOKUP(M$4,NICU!$BL$5:$BT$19,7,FALSE),"")</f>
        <v/>
      </c>
      <c r="N218" s="132" t="str">
        <f>IFERROR(VLOOKUP(N$4,NICU!$BL$5:$BT$19,7,FALSE),"")</f>
        <v/>
      </c>
      <c r="O218" s="132" t="str">
        <f>IFERROR(VLOOKUP(O$4,NICU!$BL$5:$BT$19,7,FALSE),"")</f>
        <v/>
      </c>
      <c r="P218" s="132" t="str">
        <f>IFERROR(VLOOKUP(P$4,NICU!$BL$5:$BT$19,7,FALSE),"")</f>
        <v/>
      </c>
      <c r="Q218" s="132" t="str">
        <f>IFERROR(VLOOKUP(Q$4,NICU!$BL$5:$BT$19,7,FALSE),"")</f>
        <v/>
      </c>
      <c r="R218" s="77" t="str">
        <f>IFERROR(VLOOKUP(R$4,NICU!$BL$5:$BS$19,7,FALSE),"")</f>
        <v/>
      </c>
      <c r="AA218" s="39"/>
      <c r="AB218" s="39"/>
      <c r="AC218" s="39"/>
      <c r="AD218" s="39"/>
    </row>
    <row r="219" spans="2:30" ht="30" customHeight="1" x14ac:dyDescent="0.35">
      <c r="C219" s="1"/>
    </row>
    <row r="220" spans="2:30" ht="15" customHeight="1" x14ac:dyDescent="0.35">
      <c r="B220" s="136" t="s">
        <v>81</v>
      </c>
      <c r="C220" s="9" t="s">
        <v>82</v>
      </c>
      <c r="D220" s="126">
        <v>77895</v>
      </c>
      <c r="E220" s="126">
        <v>74822</v>
      </c>
      <c r="F220" s="126">
        <v>69349</v>
      </c>
      <c r="G220" s="126">
        <v>70166</v>
      </c>
      <c r="H220" s="126">
        <v>71211</v>
      </c>
      <c r="I220" s="126">
        <v>72029</v>
      </c>
      <c r="J220" s="126">
        <v>72009</v>
      </c>
      <c r="K220" s="126">
        <v>77935</v>
      </c>
      <c r="L220" s="126">
        <v>78431</v>
      </c>
      <c r="M220" s="126">
        <v>80502</v>
      </c>
      <c r="N220" s="126">
        <v>78240</v>
      </c>
      <c r="O220" s="126">
        <v>79752</v>
      </c>
      <c r="P220" s="126">
        <v>78572</v>
      </c>
      <c r="Q220" s="126">
        <v>79735</v>
      </c>
      <c r="AA220" s="137" t="s">
        <v>83</v>
      </c>
      <c r="AB220" s="137"/>
      <c r="AC220" s="137"/>
      <c r="AD220" s="137"/>
    </row>
    <row r="221" spans="2:30" ht="15" customHeight="1" x14ac:dyDescent="0.35">
      <c r="B221" s="136"/>
      <c r="C221" s="1" t="s">
        <v>18</v>
      </c>
      <c r="D221" s="11">
        <v>83873</v>
      </c>
      <c r="E221" s="11">
        <v>84268</v>
      </c>
      <c r="F221" s="11">
        <v>85923</v>
      </c>
      <c r="G221" s="11">
        <v>93454</v>
      </c>
      <c r="H221" s="11">
        <v>93576</v>
      </c>
      <c r="I221" s="11">
        <v>91234</v>
      </c>
      <c r="J221" s="11">
        <v>90294</v>
      </c>
      <c r="K221" s="11">
        <v>90115</v>
      </c>
      <c r="L221" s="11">
        <v>90079</v>
      </c>
      <c r="M221" s="11">
        <v>90861</v>
      </c>
      <c r="N221" s="11">
        <v>91225</v>
      </c>
      <c r="O221" s="11">
        <v>89377</v>
      </c>
      <c r="P221" s="123">
        <v>91597</v>
      </c>
      <c r="Q221" s="68">
        <v>92763</v>
      </c>
      <c r="AA221" s="137"/>
      <c r="AB221" s="137"/>
      <c r="AC221" s="137"/>
      <c r="AD221" s="137"/>
    </row>
    <row r="222" spans="2:30" ht="7.5" customHeight="1" x14ac:dyDescent="0.35">
      <c r="B222" s="136"/>
      <c r="AA222" s="137"/>
      <c r="AB222" s="137"/>
      <c r="AC222" s="137"/>
      <c r="AD222" s="137"/>
    </row>
    <row r="223" spans="2:30" x14ac:dyDescent="0.35">
      <c r="B223" s="136"/>
      <c r="C223" s="13" t="s">
        <v>20</v>
      </c>
      <c r="D223" s="51">
        <f>IFERROR(VLOOKUP(D$5, Ambulance!$M$3:$U$17,2,FALSE),"")</f>
        <v>90514</v>
      </c>
      <c r="E223" s="51">
        <f>IFERROR(VLOOKUP(E$5, Ambulance!$M$3:$U$17,2,FALSE),"")</f>
        <v>89902</v>
      </c>
      <c r="F223" s="51">
        <f>IFERROR(VLOOKUP(F$5, Ambulance!$M$3:$U$17,2,FALSE),"")</f>
        <v>91563</v>
      </c>
      <c r="G223" s="51">
        <f>IFERROR(VLOOKUP(G$5, Ambulance!$M$3:$U$17,2,FALSE),"")</f>
        <v>92996</v>
      </c>
      <c r="H223" s="51">
        <f>IFERROR(VLOOKUP(H$5, Ambulance!$M$3:$U$17,2,FALSE),"")</f>
        <v>94493</v>
      </c>
      <c r="I223" s="51">
        <f>IFERROR(VLOOKUP(I$5, Ambulance!$M$3:$U$17,2,FALSE),"")</f>
        <v>91862</v>
      </c>
      <c r="J223" s="51">
        <f>IFERROR(VLOOKUP(J$5, Ambulance!$M$3:$U$17,2,FALSE),"")</f>
        <v>87747</v>
      </c>
      <c r="K223" s="51">
        <f>IFERROR(VLOOKUP(K$5, Ambulance!$M$3:$U$17,2,FALSE),"")</f>
        <v>88928</v>
      </c>
      <c r="L223" s="51" t="str">
        <f>IFERROR(VLOOKUP(L$5, Ambulance!$M$3:$U$17,2,FALSE),"")</f>
        <v/>
      </c>
      <c r="M223" s="51" t="str">
        <f>IFERROR(VLOOKUP(M$5, Ambulance!$M$3:$U$17,2,FALSE),"")</f>
        <v/>
      </c>
      <c r="N223" s="51" t="str">
        <f>IFERROR(VLOOKUP(N$5, Ambulance!$M$3:$U$17,2,FALSE),"")</f>
        <v/>
      </c>
      <c r="O223" s="51" t="str">
        <f>IFERROR(VLOOKUP(O$5, Ambulance!$M$3:$U$17,2,FALSE),"")</f>
        <v/>
      </c>
      <c r="P223" s="51" t="str">
        <f>IFERROR(VLOOKUP(P$5, Ambulance!$M$3:$U$17,2,FALSE),"")</f>
        <v/>
      </c>
      <c r="Q223" s="51" t="str">
        <f>IFERROR(VLOOKUP(Q$5, Ambulance!$M$3:$U$17,2,FALSE),"")</f>
        <v/>
      </c>
      <c r="R223" s="78"/>
      <c r="AA223" s="137"/>
      <c r="AB223" s="137"/>
      <c r="AC223" s="137"/>
      <c r="AD223" s="137"/>
    </row>
    <row r="224" spans="2:30" x14ac:dyDescent="0.35">
      <c r="B224" s="136"/>
      <c r="C224" s="1" t="s">
        <v>21</v>
      </c>
      <c r="D224" s="134">
        <f>IFERROR(VLOOKUP(D$5, Ambulance!$M$3:$U$17,3,FALSE),"")</f>
        <v>14824</v>
      </c>
      <c r="E224" s="134">
        <f>IFERROR(VLOOKUP(E$5, Ambulance!$M$3:$U$17,3,FALSE),"")</f>
        <v>14870</v>
      </c>
      <c r="F224" s="134">
        <f>IFERROR(VLOOKUP(F$5, Ambulance!$M$3:$U$17,3,FALSE),"")</f>
        <v>14819</v>
      </c>
      <c r="G224" s="134">
        <f>IFERROR(VLOOKUP(G$5, Ambulance!$M$3:$U$17,3,FALSE),"")</f>
        <v>14995</v>
      </c>
      <c r="H224" s="134">
        <f>IFERROR(VLOOKUP(H$5, Ambulance!$M$3:$U$17,3,FALSE),"")</f>
        <v>14431</v>
      </c>
      <c r="I224" s="134">
        <f>IFERROR(VLOOKUP(I$5, Ambulance!$M$3:$U$17,3,FALSE),"")</f>
        <v>15134</v>
      </c>
      <c r="J224" s="134">
        <f>IFERROR(VLOOKUP(J$5, Ambulance!$M$3:$U$17,3,FALSE),"")</f>
        <v>14576</v>
      </c>
      <c r="K224" s="134">
        <f>IFERROR(VLOOKUP(K$5, Ambulance!$M$3:$U$17,3,FALSE),"")</f>
        <v>14233</v>
      </c>
      <c r="L224" s="134" t="str">
        <f>IFERROR(VLOOKUP(L$5, Ambulance!$M$3:$U$17,3,FALSE),"")</f>
        <v/>
      </c>
      <c r="M224" s="134" t="str">
        <f>IFERROR(VLOOKUP(M$5, Ambulance!$M$3:$U$17,3,FALSE),"")</f>
        <v/>
      </c>
      <c r="N224" s="134" t="str">
        <f>IFERROR(VLOOKUP(N$5, Ambulance!$M$3:$U$17,3,FALSE),"")</f>
        <v/>
      </c>
      <c r="O224" s="134" t="str">
        <f>IFERROR(VLOOKUP(O$5, Ambulance!$M$3:$U$17,3,FALSE),"")</f>
        <v/>
      </c>
      <c r="P224" s="134" t="str">
        <f>IFERROR(VLOOKUP(P$5, Ambulance!$M$3:$U$17,3,FALSE),"")</f>
        <v/>
      </c>
      <c r="Q224" s="134" t="str">
        <f>IFERROR(VLOOKUP(Q$5, Ambulance!$M$3:$U$17,3,FALSE),"")</f>
        <v/>
      </c>
      <c r="R224" s="54" t="str">
        <f>IFERROR(VLOOKUP(R$4, Ambulance!$M$3:$T$17,3,FALSE),"")</f>
        <v/>
      </c>
      <c r="AA224" s="137"/>
      <c r="AB224" s="137"/>
      <c r="AC224" s="137"/>
      <c r="AD224" s="137"/>
    </row>
    <row r="225" spans="2:30" x14ac:dyDescent="0.35">
      <c r="B225" s="136"/>
      <c r="C225" s="1" t="s">
        <v>22</v>
      </c>
      <c r="D225" s="134">
        <f>IFERROR(VLOOKUP(D$5, Ambulance!$M$3:$U$17,4,FALSE),"")</f>
        <v>16055</v>
      </c>
      <c r="E225" s="134">
        <f>IFERROR(VLOOKUP(E$5, Ambulance!$M$3:$U$17,4,FALSE),"")</f>
        <v>15969</v>
      </c>
      <c r="F225" s="134">
        <f>IFERROR(VLOOKUP(F$5, Ambulance!$M$3:$U$17,4,FALSE),"")</f>
        <v>16487</v>
      </c>
      <c r="G225" s="134">
        <f>IFERROR(VLOOKUP(G$5, Ambulance!$M$3:$U$17,4,FALSE),"")</f>
        <v>16617</v>
      </c>
      <c r="H225" s="134">
        <f>IFERROR(VLOOKUP(H$5, Ambulance!$M$3:$U$17,4,FALSE),"")</f>
        <v>17210</v>
      </c>
      <c r="I225" s="134">
        <f>IFERROR(VLOOKUP(I$5, Ambulance!$M$3:$U$17,4,FALSE),"")</f>
        <v>16291</v>
      </c>
      <c r="J225" s="134">
        <f>IFERROR(VLOOKUP(J$5, Ambulance!$M$3:$U$17,4,FALSE),"")</f>
        <v>16227</v>
      </c>
      <c r="K225" s="134">
        <f>IFERROR(VLOOKUP(K$5, Ambulance!$M$3:$U$17,4,FALSE),"")</f>
        <v>16782</v>
      </c>
      <c r="L225" s="134" t="str">
        <f>IFERROR(VLOOKUP(L$5, Ambulance!$M$3:$U$17,4,FALSE),"")</f>
        <v/>
      </c>
      <c r="M225" s="134" t="str">
        <f>IFERROR(VLOOKUP(M$5, Ambulance!$M$3:$U$17,4,FALSE),"")</f>
        <v/>
      </c>
      <c r="N225" s="134" t="str">
        <f>IFERROR(VLOOKUP(N$5, Ambulance!$M$3:$U$17,4,FALSE),"")</f>
        <v/>
      </c>
      <c r="O225" s="134" t="str">
        <f>IFERROR(VLOOKUP(O$5, Ambulance!$M$3:$U$17,4,FALSE),"")</f>
        <v/>
      </c>
      <c r="P225" s="134" t="str">
        <f>IFERROR(VLOOKUP(P$5, Ambulance!$M$3:$U$17,4,FALSE),"")</f>
        <v/>
      </c>
      <c r="Q225" s="134" t="str">
        <f>IFERROR(VLOOKUP(Q$5, Ambulance!$M$3:$U$17,4,FALSE),"")</f>
        <v/>
      </c>
      <c r="R225" s="54" t="str">
        <f>IFERROR(VLOOKUP(R$4, Ambulance!$M$3:$T$17,4,FALSE),"")</f>
        <v/>
      </c>
      <c r="AA225" s="137"/>
      <c r="AB225" s="137"/>
      <c r="AC225" s="137"/>
      <c r="AD225" s="137"/>
    </row>
    <row r="226" spans="2:30" x14ac:dyDescent="0.35">
      <c r="B226" s="136"/>
      <c r="C226" s="1" t="s">
        <v>24</v>
      </c>
      <c r="D226" s="134">
        <f>IFERROR(VLOOKUP(D$5, Ambulance!$M$3:$U$17,8,FALSE),"")</f>
        <v>9148</v>
      </c>
      <c r="E226" s="134">
        <f>IFERROR(VLOOKUP(E$5, Ambulance!$M$3:$U$17,8,FALSE),"")</f>
        <v>9153</v>
      </c>
      <c r="F226" s="134">
        <f>IFERROR(VLOOKUP(F$5, Ambulance!$M$3:$U$17,8,FALSE),"")</f>
        <v>9511</v>
      </c>
      <c r="G226" s="134">
        <f>IFERROR(VLOOKUP(G$5, Ambulance!$M$3:$U$17,8,FALSE),"")</f>
        <v>9528</v>
      </c>
      <c r="H226" s="134">
        <f>IFERROR(VLOOKUP(H$5, Ambulance!$M$3:$U$17,8,FALSE),"")</f>
        <v>9787</v>
      </c>
      <c r="I226" s="134">
        <f>IFERROR(VLOOKUP(I$5, Ambulance!$M$3:$U$17,8,FALSE),"")</f>
        <v>9037</v>
      </c>
      <c r="J226" s="134">
        <f>IFERROR(VLOOKUP(J$5, Ambulance!$M$3:$U$17,8,FALSE),"")</f>
        <v>8825</v>
      </c>
      <c r="K226" s="134">
        <f>IFERROR(VLOOKUP(K$5, Ambulance!$M$3:$U$17,8,FALSE),"")</f>
        <v>9123</v>
      </c>
      <c r="L226" s="134" t="str">
        <f>IFERROR(VLOOKUP(L$5, Ambulance!$M$3:$U$17,8,FALSE),"")</f>
        <v/>
      </c>
      <c r="M226" s="134" t="str">
        <f>IFERROR(VLOOKUP(M$5, Ambulance!$M$3:$U$17,8,FALSE),"")</f>
        <v/>
      </c>
      <c r="N226" s="134" t="str">
        <f>IFERROR(VLOOKUP(N$5, Ambulance!$M$3:$U$17,8,FALSE),"")</f>
        <v/>
      </c>
      <c r="O226" s="134" t="str">
        <f>IFERROR(VLOOKUP(O$5, Ambulance!$M$3:$U$17,8,FALSE),"")</f>
        <v/>
      </c>
      <c r="P226" s="134" t="str">
        <f>IFERROR(VLOOKUP(P$5, Ambulance!$M$3:$U$17,8,FALSE),"")</f>
        <v/>
      </c>
      <c r="Q226" s="134" t="str">
        <f>IFERROR(VLOOKUP(Q$5, Ambulance!$M$3:$U$17,8,FALSE),"")</f>
        <v/>
      </c>
      <c r="R226" s="54"/>
      <c r="AA226" s="81"/>
      <c r="AB226" s="81"/>
      <c r="AC226" s="81"/>
      <c r="AD226" s="81"/>
    </row>
    <row r="227" spans="2:30" x14ac:dyDescent="0.35">
      <c r="B227" s="136"/>
      <c r="C227" s="1" t="s">
        <v>25</v>
      </c>
      <c r="D227" s="134">
        <f>IFERROR(VLOOKUP(D$5, Ambulance!$M$3:$U$17,5,FALSE),"")</f>
        <v>16317</v>
      </c>
      <c r="E227" s="134">
        <f>IFERROR(VLOOKUP(E$5, Ambulance!$M$3:$U$17,5,FALSE),"")</f>
        <v>16201</v>
      </c>
      <c r="F227" s="134">
        <f>IFERROR(VLOOKUP(F$5, Ambulance!$M$3:$U$17,5,FALSE),"")</f>
        <v>16323</v>
      </c>
      <c r="G227" s="134">
        <f>IFERROR(VLOOKUP(G$5, Ambulance!$M$3:$U$17,5,FALSE),"")</f>
        <v>16772</v>
      </c>
      <c r="H227" s="134">
        <f>IFERROR(VLOOKUP(H$5, Ambulance!$M$3:$U$17,5,FALSE),"")</f>
        <v>16949</v>
      </c>
      <c r="I227" s="134">
        <f>IFERROR(VLOOKUP(I$5, Ambulance!$M$3:$U$17,5,FALSE),"")</f>
        <v>16497</v>
      </c>
      <c r="J227" s="134">
        <f>IFERROR(VLOOKUP(J$5, Ambulance!$M$3:$U$17,5,FALSE),"")</f>
        <v>15479</v>
      </c>
      <c r="K227" s="134">
        <f>IFERROR(VLOOKUP(K$5, Ambulance!$M$3:$U$17,5,FALSE),"")</f>
        <v>15626</v>
      </c>
      <c r="L227" s="134" t="str">
        <f>IFERROR(VLOOKUP(L$5, Ambulance!$M$3:$U$17,5,FALSE),"")</f>
        <v/>
      </c>
      <c r="M227" s="134" t="str">
        <f>IFERROR(VLOOKUP(M$5, Ambulance!$M$3:$U$17,5,FALSE),"")</f>
        <v/>
      </c>
      <c r="N227" s="134" t="str">
        <f>IFERROR(VLOOKUP(N$5, Ambulance!$M$3:$U$17,5,FALSE),"")</f>
        <v/>
      </c>
      <c r="O227" s="134" t="str">
        <f>IFERROR(VLOOKUP(O$5, Ambulance!$M$3:$U$17,5,FALSE),"")</f>
        <v/>
      </c>
      <c r="P227" s="134" t="str">
        <f>IFERROR(VLOOKUP(P$5, Ambulance!$M$3:$U$17,5,FALSE),"")</f>
        <v/>
      </c>
      <c r="Q227" s="134" t="str">
        <f>IFERROR(VLOOKUP(Q$5, Ambulance!$M$3:$U$17,5,FALSE),"")</f>
        <v/>
      </c>
      <c r="R227" s="54"/>
      <c r="AA227" s="81"/>
      <c r="AB227" s="81"/>
      <c r="AC227" s="81"/>
      <c r="AD227" s="81"/>
    </row>
    <row r="228" spans="2:30" x14ac:dyDescent="0.35">
      <c r="B228" s="136"/>
      <c r="C228" s="1" t="s">
        <v>37</v>
      </c>
      <c r="D228" s="134">
        <f>IFERROR(VLOOKUP(D$5, Ambulance!$M$3:$U$17,9,FALSE),"")</f>
        <v>11360</v>
      </c>
      <c r="E228" s="134">
        <f>IFERROR(VLOOKUP(E$5, Ambulance!$M$3:$U$17,9,FALSE),"")</f>
        <v>11278</v>
      </c>
      <c r="F228" s="134">
        <f>IFERROR(VLOOKUP(F$5, Ambulance!$M$3:$U$17,9,FALSE),"")</f>
        <v>11481</v>
      </c>
      <c r="G228" s="134">
        <f>IFERROR(VLOOKUP(G$5, Ambulance!$M$3:$U$17,9,FALSE),"")</f>
        <v>11688</v>
      </c>
      <c r="H228" s="134">
        <f>IFERROR(VLOOKUP(H$5, Ambulance!$M$3:$U$17,9,FALSE),"")</f>
        <v>12130</v>
      </c>
      <c r="I228" s="134">
        <f>IFERROR(VLOOKUP(I$5, Ambulance!$M$3:$U$17,9,FALSE),"")</f>
        <v>11445</v>
      </c>
      <c r="J228" s="134">
        <f>IFERROR(VLOOKUP(J$5, Ambulance!$M$3:$U$17,9,FALSE),"")</f>
        <v>11045</v>
      </c>
      <c r="K228" s="134">
        <f>IFERROR(VLOOKUP(K$5, Ambulance!$M$3:$U$17,9,FALSE),"")</f>
        <v>11074</v>
      </c>
      <c r="L228" s="134" t="str">
        <f>IFERROR(VLOOKUP(L$5, Ambulance!$M$3:$U$17,9,FALSE),"")</f>
        <v/>
      </c>
      <c r="M228" s="134" t="str">
        <f>IFERROR(VLOOKUP(M$5, Ambulance!$M$3:$U$17,9,FALSE),"")</f>
        <v/>
      </c>
      <c r="N228" s="134" t="str">
        <f>IFERROR(VLOOKUP(N$5, Ambulance!$M$3:$U$17,9,FALSE),"")</f>
        <v/>
      </c>
      <c r="O228" s="134" t="str">
        <f>IFERROR(VLOOKUP(O$5, Ambulance!$M$3:$U$17,9,FALSE),"")</f>
        <v/>
      </c>
      <c r="P228" s="134" t="str">
        <f>IFERROR(VLOOKUP(P$5, Ambulance!$M$3:$U$17,9,FALSE),"")</f>
        <v/>
      </c>
      <c r="Q228" s="134" t="str">
        <f>IFERROR(VLOOKUP(Q$5, Ambulance!$M$3:$U$17,9,FALSE),"")</f>
        <v/>
      </c>
      <c r="R228" s="54" t="str">
        <f>IFERROR(VLOOKUP(R$4, Ambulance!$M$3:$T$17,5,FALSE),"")</f>
        <v/>
      </c>
      <c r="AA228" s="149" t="s">
        <v>84</v>
      </c>
      <c r="AB228" s="149"/>
      <c r="AC228" s="149"/>
      <c r="AD228" s="149"/>
    </row>
    <row r="229" spans="2:30" ht="17.25" customHeight="1" x14ac:dyDescent="0.35">
      <c r="B229" s="136"/>
      <c r="C229" s="1" t="s">
        <v>27</v>
      </c>
      <c r="D229" s="134">
        <f>IFERROR(VLOOKUP(D$5, Ambulance!$M$3:$U$17,6,FALSE),"")</f>
        <v>14405</v>
      </c>
      <c r="E229" s="134">
        <f>IFERROR(VLOOKUP(E$5, Ambulance!$M$3:$U$17,6,FALSE),"")</f>
        <v>14081</v>
      </c>
      <c r="F229" s="134">
        <f>IFERROR(VLOOKUP(F$5, Ambulance!$M$3:$U$17,6,FALSE),"")</f>
        <v>14286</v>
      </c>
      <c r="G229" s="134">
        <f>IFERROR(VLOOKUP(G$5, Ambulance!$M$3:$U$17,6,FALSE),"")</f>
        <v>14668</v>
      </c>
      <c r="H229" s="134">
        <f>IFERROR(VLOOKUP(H$5, Ambulance!$M$3:$U$17,6,FALSE),"")</f>
        <v>14997</v>
      </c>
      <c r="I229" s="134">
        <f>IFERROR(VLOOKUP(I$5, Ambulance!$M$3:$U$17,6,FALSE),"")</f>
        <v>14997</v>
      </c>
      <c r="J229" s="134">
        <f>IFERROR(VLOOKUP(J$5, Ambulance!$M$3:$U$17,6,FALSE),"")</f>
        <v>13636</v>
      </c>
      <c r="K229" s="134">
        <f>IFERROR(VLOOKUP(K$5, Ambulance!$M$3:$U$17,6,FALSE),"")</f>
        <v>13790</v>
      </c>
      <c r="L229" s="134" t="str">
        <f>IFERROR(VLOOKUP(L$5, Ambulance!$M$3:$U$17,6,FALSE),"")</f>
        <v/>
      </c>
      <c r="M229" s="134" t="str">
        <f>IFERROR(VLOOKUP(M$5, Ambulance!$M$3:$U$17,6,FALSE),"")</f>
        <v/>
      </c>
      <c r="N229" s="134" t="str">
        <f>IFERROR(VLOOKUP(N$5, Ambulance!$M$3:$U$17,6,FALSE),"")</f>
        <v/>
      </c>
      <c r="O229" s="134" t="str">
        <f>IFERROR(VLOOKUP(O$5, Ambulance!$M$3:$U$17,6,FALSE),"")</f>
        <v/>
      </c>
      <c r="P229" s="134" t="str">
        <f>IFERROR(VLOOKUP(P$5, Ambulance!$M$3:$U$17,6,FALSE),"")</f>
        <v/>
      </c>
      <c r="Q229" s="134" t="str">
        <f>IFERROR(VLOOKUP(Q$5, Ambulance!$M$3:$U$17,6,FALSE),"")</f>
        <v/>
      </c>
      <c r="R229" s="54" t="str">
        <f>IFERROR(VLOOKUP(R$4, Ambulance!$M$3:$T$17,6,FALSE),"")</f>
        <v/>
      </c>
      <c r="AA229" s="149"/>
      <c r="AB229" s="149"/>
      <c r="AC229" s="149"/>
      <c r="AD229" s="149"/>
    </row>
    <row r="230" spans="2:30" ht="17.25" customHeight="1" x14ac:dyDescent="0.35">
      <c r="B230" s="136"/>
      <c r="C230" s="1" t="s">
        <v>62</v>
      </c>
      <c r="D230" s="134">
        <f>IFERROR(VLOOKUP(D$5, Ambulance!$M$3:$U$17,7,FALSE),"")</f>
        <v>8405</v>
      </c>
      <c r="E230" s="134">
        <f>IFERROR(VLOOKUP(E$5, Ambulance!$M$3:$U$17,7,FALSE),"")</f>
        <v>8350</v>
      </c>
      <c r="F230" s="134">
        <f>IFERROR(VLOOKUP(F$5, Ambulance!$M$3:$U$17,7,FALSE),"")</f>
        <v>8656</v>
      </c>
      <c r="G230" s="134">
        <f>IFERROR(VLOOKUP(G$5, Ambulance!$M$3:$U$17,7,FALSE),"")</f>
        <v>8728</v>
      </c>
      <c r="H230" s="134">
        <f>IFERROR(VLOOKUP(H$5, Ambulance!$M$3:$U$17,7,FALSE),"")</f>
        <v>8989</v>
      </c>
      <c r="I230" s="134">
        <f>IFERROR(VLOOKUP(I$5, Ambulance!$M$3:$U$17,7,FALSE),"")</f>
        <v>8461</v>
      </c>
      <c r="J230" s="134">
        <f>IFERROR(VLOOKUP(J$5, Ambulance!$M$3:$U$17,7,FALSE),"")</f>
        <v>7959</v>
      </c>
      <c r="K230" s="134">
        <f>IFERROR(VLOOKUP(K$5, Ambulance!$M$3:$U$17,7,FALSE),"")</f>
        <v>8300</v>
      </c>
      <c r="L230" s="134" t="str">
        <f>IFERROR(VLOOKUP(L$5, Ambulance!$M$3:$U$17,7,FALSE),"")</f>
        <v/>
      </c>
      <c r="M230" s="134" t="str">
        <f>IFERROR(VLOOKUP(M$5, Ambulance!$M$3:$U$17,7,FALSE),"")</f>
        <v/>
      </c>
      <c r="N230" s="134" t="str">
        <f>IFERROR(VLOOKUP(N$5, Ambulance!$M$3:$U$17,7,FALSE),"")</f>
        <v/>
      </c>
      <c r="O230" s="134" t="str">
        <f>IFERROR(VLOOKUP(O$5, Ambulance!$M$3:$U$17,7,FALSE),"")</f>
        <v/>
      </c>
      <c r="P230" s="134" t="str">
        <f>IFERROR(VLOOKUP(P$5, Ambulance!$M$3:$U$17,7,FALSE),"")</f>
        <v/>
      </c>
      <c r="Q230" s="134" t="str">
        <f>IFERROR(VLOOKUP(Q$5, Ambulance!$M$3:$U$17,7,FALSE),"")</f>
        <v/>
      </c>
      <c r="R230" s="54" t="str">
        <f>IFERROR(VLOOKUP(R$4, Ambulance!$M$3:$T$17,7,FALSE),"")</f>
        <v/>
      </c>
      <c r="AA230" s="149"/>
      <c r="AB230" s="149"/>
      <c r="AC230" s="149"/>
      <c r="AD230" s="149"/>
    </row>
    <row r="231" spans="2:30" ht="9" customHeight="1" x14ac:dyDescent="0.35">
      <c r="B231" s="136"/>
      <c r="C231" s="1"/>
      <c r="D231" s="54"/>
      <c r="E231" s="54"/>
      <c r="F231" s="54"/>
      <c r="G231" s="54"/>
      <c r="H231" s="54"/>
      <c r="I231" s="54"/>
      <c r="J231" s="54"/>
      <c r="K231" s="54"/>
      <c r="L231" s="54"/>
      <c r="M231" s="54"/>
      <c r="N231" s="54"/>
      <c r="O231" s="54"/>
      <c r="P231" s="54"/>
      <c r="Q231" s="54"/>
      <c r="R231" s="54"/>
      <c r="AA231" s="149"/>
      <c r="AB231" s="149"/>
      <c r="AC231" s="149"/>
      <c r="AD231" s="149"/>
    </row>
    <row r="232" spans="2:30" x14ac:dyDescent="0.35">
      <c r="B232" s="136"/>
      <c r="C232" s="9" t="s">
        <v>85</v>
      </c>
      <c r="D232" s="84">
        <v>0.30673342319789459</v>
      </c>
      <c r="E232" s="84">
        <v>0.33654540108524233</v>
      </c>
      <c r="F232" s="84">
        <v>0.40526900171595842</v>
      </c>
      <c r="G232" s="84">
        <v>0.37404155858963029</v>
      </c>
      <c r="H232" s="84">
        <v>0.43656176714271672</v>
      </c>
      <c r="I232" s="84">
        <v>0.35748101459134513</v>
      </c>
      <c r="J232" s="84">
        <v>0.2335541390659501</v>
      </c>
      <c r="K232" s="84">
        <v>0.201629563097453</v>
      </c>
      <c r="L232" s="84">
        <v>0.18175211332253829</v>
      </c>
      <c r="M232" s="84">
        <v>0.23595687063675436</v>
      </c>
      <c r="N232" s="84">
        <v>0.20021728016359919</v>
      </c>
      <c r="O232" s="84">
        <v>0.2496112950145451</v>
      </c>
      <c r="P232" s="84">
        <v>0.25768721682024132</v>
      </c>
      <c r="Q232" s="84">
        <v>0.23293409418699443</v>
      </c>
      <c r="AA232" s="149"/>
      <c r="AB232" s="149"/>
      <c r="AC232" s="149"/>
      <c r="AD232" s="149"/>
    </row>
    <row r="233" spans="2:30" x14ac:dyDescent="0.35">
      <c r="B233" s="136"/>
      <c r="C233" s="1" t="s">
        <v>18</v>
      </c>
      <c r="D233" s="5">
        <v>0.26902578899049756</v>
      </c>
      <c r="E233" s="5">
        <v>0.33818294014335215</v>
      </c>
      <c r="F233" s="5">
        <v>0.33051685811715142</v>
      </c>
      <c r="G233" s="5">
        <v>0.22927857555588846</v>
      </c>
      <c r="H233" s="5">
        <v>0.28941181499529794</v>
      </c>
      <c r="I233" s="5">
        <v>0.30897472433522588</v>
      </c>
      <c r="J233" s="5">
        <v>0.25720424391432434</v>
      </c>
      <c r="K233" s="5">
        <v>0.32175553459468459</v>
      </c>
      <c r="L233" s="5">
        <v>0.33926886399715805</v>
      </c>
      <c r="M233" s="5">
        <v>0.30711746513905858</v>
      </c>
      <c r="N233" s="5">
        <v>0.32573307755549463</v>
      </c>
      <c r="O233" s="5">
        <v>0.29868981952851403</v>
      </c>
      <c r="P233" s="124">
        <v>0.27043462122121903</v>
      </c>
      <c r="Q233" s="89">
        <v>0.23692636072572038</v>
      </c>
      <c r="AA233" s="149"/>
      <c r="AB233" s="149"/>
      <c r="AC233" s="149"/>
      <c r="AD233" s="149"/>
    </row>
    <row r="234" spans="2:30" ht="7.5" customHeight="1" x14ac:dyDescent="0.35">
      <c r="B234" s="136"/>
      <c r="AA234" s="149"/>
      <c r="AB234" s="149"/>
      <c r="AC234" s="149"/>
      <c r="AD234" s="149"/>
    </row>
    <row r="235" spans="2:30" x14ac:dyDescent="0.35">
      <c r="B235" s="136"/>
      <c r="C235" s="13" t="s">
        <v>20</v>
      </c>
      <c r="D235" s="52">
        <f>IFERROR(VLOOKUP(D$5,Ambulance!$AY$5:$BG$19,2,FALSE),"")</f>
        <v>0.36055195881300128</v>
      </c>
      <c r="E235" s="52">
        <f>IFERROR(VLOOKUP(E$5,Ambulance!$AY$5:$BG$19,2,FALSE),"")</f>
        <v>0.35808992013525837</v>
      </c>
      <c r="F235" s="52">
        <f>IFERROR(VLOOKUP(F$5,Ambulance!$AY$5:$BG$19,2,FALSE),"")</f>
        <v>0.34483361183010602</v>
      </c>
      <c r="G235" s="52">
        <f>IFERROR(VLOOKUP(G$5,Ambulance!$AY$5:$BG$19,2,FALSE),"")</f>
        <v>0.36865026452750654</v>
      </c>
      <c r="H235" s="52">
        <f>IFERROR(VLOOKUP(H$5,Ambulance!$AY$5:$BG$19,2,FALSE),"")</f>
        <v>0.3214206343327019</v>
      </c>
      <c r="I235" s="52">
        <f>IFERROR(VLOOKUP(I$5,Ambulance!$AY$5:$BG$19,2,FALSE),"")</f>
        <v>0.42244889072739544</v>
      </c>
      <c r="J235" s="52">
        <f>IFERROR(VLOOKUP(J$5,Ambulance!$AY$5:$BG$19,2,FALSE),"")</f>
        <v>0.34828541146705871</v>
      </c>
      <c r="K235" s="52">
        <f>IFERROR(VLOOKUP(K$5,Ambulance!$AY$5:$BG$19,2,FALSE),"")</f>
        <v>0.29517137459517812</v>
      </c>
      <c r="L235" s="52" t="str">
        <f>IFERROR(VLOOKUP(L$5,Ambulance!$AY$5:$BG$19,2,FALSE),"")</f>
        <v/>
      </c>
      <c r="M235" s="52" t="str">
        <f>IFERROR(VLOOKUP(M$5,Ambulance!$AY$5:$BG$19,2,FALSE),"")</f>
        <v/>
      </c>
      <c r="N235" s="52" t="str">
        <f>IFERROR(VLOOKUP(N$5,Ambulance!$AY$5:$BG$19,2,FALSE),"")</f>
        <v/>
      </c>
      <c r="O235" s="52" t="str">
        <f>IFERROR(VLOOKUP(O$5,Ambulance!$AY$5:$BG$19,2,FALSE),"")</f>
        <v/>
      </c>
      <c r="P235" s="52" t="str">
        <f>IFERROR(VLOOKUP(P$5,Ambulance!$AY$5:$BG$19,2,FALSE),"")</f>
        <v/>
      </c>
      <c r="Q235" s="52" t="str">
        <f>IFERROR(VLOOKUP(Q$5,Ambulance!$AY$5:$BG$19,2,FALSE),"")</f>
        <v/>
      </c>
      <c r="R235" s="75" t="str">
        <f>IFERROR(VLOOKUP(R$4,Ambulance!$AY$5:$BF$19,2,FALSE),"")</f>
        <v/>
      </c>
      <c r="T235" s="2"/>
      <c r="U235" s="79"/>
      <c r="AA235" s="149"/>
      <c r="AB235" s="149"/>
      <c r="AC235" s="149"/>
      <c r="AD235" s="149"/>
    </row>
    <row r="236" spans="2:30" x14ac:dyDescent="0.35">
      <c r="B236" s="136"/>
      <c r="C236" s="1" t="s">
        <v>21</v>
      </c>
      <c r="D236" s="133">
        <f>IFERROR(VLOOKUP(D$5,Ambulance!$AY$5:$BG$19,3,FALSE),"")</f>
        <v>0.27779276848354023</v>
      </c>
      <c r="E236" s="133">
        <f>IFERROR(VLOOKUP(E$5,Ambulance!$AY$5:$BG$19,3,FALSE),"")</f>
        <v>0.28345662407531941</v>
      </c>
      <c r="F236" s="133">
        <f>IFERROR(VLOOKUP(F$5,Ambulance!$AY$5:$BG$19,3,FALSE),"")</f>
        <v>0.28045077265672447</v>
      </c>
      <c r="G236" s="133">
        <f>IFERROR(VLOOKUP(G$5,Ambulance!$AY$5:$BG$19,3,FALSE),"")</f>
        <v>0.28862954318106038</v>
      </c>
      <c r="H236" s="133">
        <f>IFERROR(VLOOKUP(H$5,Ambulance!$AY$5:$BG$19,3,FALSE),"")</f>
        <v>0.26935070334696143</v>
      </c>
      <c r="I236" s="133">
        <f>IFERROR(VLOOKUP(I$5,Ambulance!$AY$5:$BG$19,3,FALSE),"")</f>
        <v>0.31577904057089995</v>
      </c>
      <c r="J236" s="133">
        <f>IFERROR(VLOOKUP(J$5,Ambulance!$AY$5:$BG$19,3,FALSE),"")</f>
        <v>0.29912184412733261</v>
      </c>
      <c r="K236" s="133">
        <f>IFERROR(VLOOKUP(K$5,Ambulance!$AY$5:$BG$19,3,FALSE),"")</f>
        <v>0.28286376730134194</v>
      </c>
      <c r="L236" s="133" t="str">
        <f>IFERROR(VLOOKUP(L$5,Ambulance!$AY$5:$BG$19,3,FALSE),"")</f>
        <v/>
      </c>
      <c r="M236" s="133" t="str">
        <f>IFERROR(VLOOKUP(M$5,Ambulance!$AY$5:$BG$19,3,FALSE),"")</f>
        <v/>
      </c>
      <c r="N236" s="133" t="str">
        <f>IFERROR(VLOOKUP(N$5,Ambulance!$AY$5:$BG$19,3,FALSE),"")</f>
        <v/>
      </c>
      <c r="O236" s="133" t="str">
        <f>IFERROR(VLOOKUP(O$5,Ambulance!$AY$5:$BG$19,3,FALSE),"")</f>
        <v/>
      </c>
      <c r="P236" s="133" t="str">
        <f>IFERROR(VLOOKUP(P$5,Ambulance!$AY$5:$BG$19,3,FALSE),"")</f>
        <v/>
      </c>
      <c r="Q236" s="133" t="str">
        <f>IFERROR(VLOOKUP(Q$5,Ambulance!$AY$5:$BG$19,3,FALSE),"")</f>
        <v/>
      </c>
      <c r="R236" s="53" t="str">
        <f>IFERROR(VLOOKUP(R$4,Ambulance!$AY$5:$BF$19,3,FALSE),"")</f>
        <v/>
      </c>
      <c r="AA236" s="149"/>
      <c r="AB236" s="149"/>
      <c r="AC236" s="149"/>
      <c r="AD236" s="149"/>
    </row>
    <row r="237" spans="2:30" x14ac:dyDescent="0.35">
      <c r="B237" s="136"/>
      <c r="C237" s="1" t="s">
        <v>22</v>
      </c>
      <c r="D237" s="133">
        <f>IFERROR(VLOOKUP(D$5,Ambulance!$AY$5:$BG$19,4,FALSE),"")</f>
        <v>0.5332295235129243</v>
      </c>
      <c r="E237" s="133">
        <f>IFERROR(VLOOKUP(E$5,Ambulance!$AY$5:$BG$19,4,FALSE),"")</f>
        <v>0.51311916838875316</v>
      </c>
      <c r="F237" s="133">
        <f>IFERROR(VLOOKUP(F$5,Ambulance!$AY$5:$BG$19,4,FALSE),"")</f>
        <v>0.49372232668162797</v>
      </c>
      <c r="G237" s="133">
        <f>IFERROR(VLOOKUP(G$5,Ambulance!$AY$5:$BG$19,4,FALSE),"")</f>
        <v>0.5321056749112355</v>
      </c>
      <c r="H237" s="133">
        <f>IFERROR(VLOOKUP(H$5,Ambulance!$AY$5:$BG$19,4,FALSE),"")</f>
        <v>0.42823939570017433</v>
      </c>
      <c r="I237" s="133">
        <f>IFERROR(VLOOKUP(I$5,Ambulance!$AY$5:$BG$19,4,FALSE),"")</f>
        <v>0.56755263642501996</v>
      </c>
      <c r="J237" s="133">
        <f>IFERROR(VLOOKUP(J$5,Ambulance!$AY$5:$BG$19,4,FALSE),"")</f>
        <v>0.43877488137055526</v>
      </c>
      <c r="K237" s="133">
        <f>IFERROR(VLOOKUP(K$5,Ambulance!$AY$5:$BG$19,4,FALSE),"")</f>
        <v>0.40740078655702539</v>
      </c>
      <c r="L237" s="133" t="str">
        <f>IFERROR(VLOOKUP(L$5,Ambulance!$AY$5:$BG$19,4,FALSE),"")</f>
        <v/>
      </c>
      <c r="M237" s="133" t="str">
        <f>IFERROR(VLOOKUP(M$5,Ambulance!$AY$5:$BG$19,4,FALSE),"")</f>
        <v/>
      </c>
      <c r="N237" s="133" t="str">
        <f>IFERROR(VLOOKUP(N$5,Ambulance!$AY$5:$BG$19,4,FALSE),"")</f>
        <v/>
      </c>
      <c r="O237" s="133" t="str">
        <f>IFERROR(VLOOKUP(O$5,Ambulance!$AY$5:$BG$19,4,FALSE),"")</f>
        <v/>
      </c>
      <c r="P237" s="133" t="str">
        <f>IFERROR(VLOOKUP(P$5,Ambulance!$AY$5:$BG$19,4,FALSE),"")</f>
        <v/>
      </c>
      <c r="Q237" s="133" t="str">
        <f>IFERROR(VLOOKUP(Q$5,Ambulance!$AY$5:$BG$19,4,FALSE),"")</f>
        <v/>
      </c>
      <c r="R237" s="53" t="str">
        <f>IFERROR(VLOOKUP(R$4,Ambulance!$AY$5:$BF$19,4,FALSE),"")</f>
        <v/>
      </c>
      <c r="AA237" s="149"/>
      <c r="AB237" s="149"/>
      <c r="AC237" s="149"/>
      <c r="AD237" s="149"/>
    </row>
    <row r="238" spans="2:30" x14ac:dyDescent="0.35">
      <c r="B238" s="136"/>
      <c r="C238" s="1" t="s">
        <v>24</v>
      </c>
      <c r="D238" s="133">
        <f>IFERROR(VLOOKUP(D$5,Ambulance!$AY$5:$BG$19,8,FALSE),"")</f>
        <v>0.34663314385658067</v>
      </c>
      <c r="E238" s="133">
        <f>IFERROR(VLOOKUP(E$5,Ambulance!$AY$5:$BG$19,8,FALSE),"")</f>
        <v>0.39790232710586693</v>
      </c>
      <c r="F238" s="133">
        <f>IFERROR(VLOOKUP(F$5,Ambulance!$AY$5:$BG$19,8,FALSE),"")</f>
        <v>0.36452528651035643</v>
      </c>
      <c r="G238" s="133">
        <f>IFERROR(VLOOKUP(G$5,Ambulance!$AY$5:$BG$19,8,FALSE),"")</f>
        <v>0.39546599496221663</v>
      </c>
      <c r="H238" s="133">
        <f>IFERROR(VLOOKUP(H$5,Ambulance!$AY$5:$BG$19,8,FALSE),"")</f>
        <v>0.36793705936446308</v>
      </c>
      <c r="I238" s="133">
        <f>IFERROR(VLOOKUP(I$5,Ambulance!$AY$5:$BG$19,8,FALSE),"")</f>
        <v>0.54509239791966357</v>
      </c>
      <c r="J238" s="133">
        <f>IFERROR(VLOOKUP(J$5,Ambulance!$AY$5:$BG$19,8,FALSE),"")</f>
        <v>0.43524079320113312</v>
      </c>
      <c r="K238" s="133">
        <f>IFERROR(VLOOKUP(K$5,Ambulance!$AY$5:$BG$19,8,FALSE),"")</f>
        <v>0.27786912199934233</v>
      </c>
      <c r="L238" s="133" t="str">
        <f>IFERROR(VLOOKUP(L$5,Ambulance!$AY$5:$BG$19,8,FALSE),"")</f>
        <v/>
      </c>
      <c r="M238" s="133" t="str">
        <f>IFERROR(VLOOKUP(M$5,Ambulance!$AY$5:$BG$19,8,FALSE),"")</f>
        <v/>
      </c>
      <c r="N238" s="133" t="str">
        <f>IFERROR(VLOOKUP(N$5,Ambulance!$AY$5:$BG$19,8,FALSE),"")</f>
        <v/>
      </c>
      <c r="O238" s="133" t="str">
        <f>IFERROR(VLOOKUP(O$5,Ambulance!$AY$5:$BG$19,8,FALSE),"")</f>
        <v/>
      </c>
      <c r="P238" s="133" t="str">
        <f>IFERROR(VLOOKUP(P$5,Ambulance!$AY$5:$BG$19,8,FALSE),"")</f>
        <v/>
      </c>
      <c r="Q238" s="133" t="str">
        <f>IFERROR(VLOOKUP(Q$5,Ambulance!$AY$5:$BG$19,8,FALSE),"")</f>
        <v/>
      </c>
      <c r="R238" s="53"/>
      <c r="AA238" s="149"/>
      <c r="AB238" s="149"/>
      <c r="AC238" s="149"/>
      <c r="AD238" s="149"/>
    </row>
    <row r="239" spans="2:30" x14ac:dyDescent="0.35">
      <c r="B239" s="136"/>
      <c r="C239" s="1" t="s">
        <v>25</v>
      </c>
      <c r="D239" s="133">
        <f>IFERROR(VLOOKUP(D$5,Ambulance!$AY$5:$BG$19,5,FALSE),"")</f>
        <v>0.3124348838634553</v>
      </c>
      <c r="E239" s="133">
        <f>IFERROR(VLOOKUP(E$5,Ambulance!$AY$5:$BG$19,5,FALSE),"")</f>
        <v>0.31528917968026665</v>
      </c>
      <c r="F239" s="133">
        <f>IFERROR(VLOOKUP(F$5,Ambulance!$AY$5:$BG$19,5,FALSE),"")</f>
        <v>0.30662255712797892</v>
      </c>
      <c r="G239" s="133">
        <f>IFERROR(VLOOKUP(G$5,Ambulance!$AY$5:$BG$19,5,FALSE),"")</f>
        <v>0.34569520629620798</v>
      </c>
      <c r="H239" s="133">
        <f>IFERROR(VLOOKUP(H$5,Ambulance!$AY$5:$BG$19,5,FALSE),"")</f>
        <v>0.28969260723346513</v>
      </c>
      <c r="I239" s="133">
        <f>IFERROR(VLOOKUP(I$5,Ambulance!$AY$5:$BG$19,5,FALSE),"")</f>
        <v>0.36909741165060311</v>
      </c>
      <c r="J239" s="133">
        <f>IFERROR(VLOOKUP(J$5,Ambulance!$AY$5:$BG$19,5,FALSE),"")</f>
        <v>0.30899928935977777</v>
      </c>
      <c r="K239" s="133">
        <f>IFERROR(VLOOKUP(K$5,Ambulance!$AY$5:$BG$19,5,FALSE),"")</f>
        <v>0.24369640343018048</v>
      </c>
      <c r="L239" s="133" t="str">
        <f>IFERROR(VLOOKUP(L$5,Ambulance!$AY$5:$BG$19,5,FALSE),"")</f>
        <v/>
      </c>
      <c r="M239" s="133" t="str">
        <f>IFERROR(VLOOKUP(M$5,Ambulance!$AY$5:$BG$19,5,FALSE),"")</f>
        <v/>
      </c>
      <c r="N239" s="133" t="str">
        <f>IFERROR(VLOOKUP(N$5,Ambulance!$AY$5:$BG$19,5,FALSE),"")</f>
        <v/>
      </c>
      <c r="O239" s="133" t="str">
        <f>IFERROR(VLOOKUP(O$5,Ambulance!$AY$5:$BG$19,5,FALSE),"")</f>
        <v/>
      </c>
      <c r="P239" s="133" t="str">
        <f>IFERROR(VLOOKUP(P$5,Ambulance!$AY$5:$BG$19,5,FALSE),"")</f>
        <v/>
      </c>
      <c r="Q239" s="133" t="str">
        <f>IFERROR(VLOOKUP(Q$5,Ambulance!$AY$5:$BG$19,5,FALSE),"")</f>
        <v/>
      </c>
      <c r="R239" s="53"/>
      <c r="AA239" s="149"/>
      <c r="AB239" s="149"/>
      <c r="AC239" s="149"/>
      <c r="AD239" s="149"/>
    </row>
    <row r="240" spans="2:30" x14ac:dyDescent="0.35">
      <c r="B240" s="136"/>
      <c r="C240" s="1" t="s">
        <v>37</v>
      </c>
      <c r="D240" s="133">
        <f>IFERROR(VLOOKUP(D$5,Ambulance!$AY$5:$BG$19,9,FALSE),"")</f>
        <v>0.41734154929577466</v>
      </c>
      <c r="E240" s="133">
        <f>IFERROR(VLOOKUP(E$5,Ambulance!$AY$5:$BG$19,9,FALSE),"")</f>
        <v>0.39031743216882425</v>
      </c>
      <c r="F240" s="133">
        <f>IFERROR(VLOOKUP(F$5,Ambulance!$AY$5:$BG$19,9,FALSE),"")</f>
        <v>0.36782510234300148</v>
      </c>
      <c r="G240" s="133">
        <f>IFERROR(VLOOKUP(G$5,Ambulance!$AY$5:$BG$19,9,FALSE),"")</f>
        <v>0.40075290896646132</v>
      </c>
      <c r="H240" s="133">
        <f>IFERROR(VLOOKUP(H$5,Ambulance!$AY$5:$BG$19,9,FALSE),"")</f>
        <v>0.33066776586974445</v>
      </c>
      <c r="I240" s="133">
        <f>IFERROR(VLOOKUP(I$5,Ambulance!$AY$5:$BG$19,9,FALSE),"")</f>
        <v>0.46028833551769333</v>
      </c>
      <c r="J240" s="133">
        <f>IFERROR(VLOOKUP(J$5,Ambulance!$AY$5:$BG$19,9,FALSE),"")</f>
        <v>0.35753734721593483</v>
      </c>
      <c r="K240" s="133">
        <f>IFERROR(VLOOKUP(K$5,Ambulance!$AY$5:$BG$19,9,FALSE),"")</f>
        <v>0.32490518331226298</v>
      </c>
      <c r="L240" s="133" t="str">
        <f>IFERROR(VLOOKUP(L$5,Ambulance!$AY$5:$BG$19,9,FALSE),"")</f>
        <v/>
      </c>
      <c r="M240" s="133" t="str">
        <f>IFERROR(VLOOKUP(M$5,Ambulance!$AY$5:$BG$19,9,FALSE),"")</f>
        <v/>
      </c>
      <c r="N240" s="133" t="str">
        <f>IFERROR(VLOOKUP(N$5,Ambulance!$AY$5:$BG$19,9,FALSE),"")</f>
        <v/>
      </c>
      <c r="O240" s="133" t="str">
        <f>IFERROR(VLOOKUP(O$5,Ambulance!$AY$5:$BG$19,9,FALSE),"")</f>
        <v/>
      </c>
      <c r="P240" s="133" t="str">
        <f>IFERROR(VLOOKUP(P$5,Ambulance!$AY$5:$BG$19,9,FALSE),"")</f>
        <v/>
      </c>
      <c r="Q240" s="133" t="str">
        <f>IFERROR(VLOOKUP(Q$5,Ambulance!$AY$5:$BG$19,9,FALSE),"")</f>
        <v/>
      </c>
      <c r="R240" s="53" t="str">
        <f>IFERROR(VLOOKUP(R$4,Ambulance!$AY$5:$BF$19,5,FALSE),"")</f>
        <v/>
      </c>
      <c r="AA240" s="149"/>
      <c r="AB240" s="149"/>
      <c r="AC240" s="149"/>
      <c r="AD240" s="149"/>
    </row>
    <row r="241" spans="2:30" ht="15.75" customHeight="1" x14ac:dyDescent="0.35">
      <c r="B241" s="136"/>
      <c r="C241" s="1" t="s">
        <v>27</v>
      </c>
      <c r="D241" s="133">
        <f>IFERROR(VLOOKUP(D$5,Ambulance!$AY$5:$BG$19,6,FALSE),"")</f>
        <v>0.17653592502603263</v>
      </c>
      <c r="E241" s="133">
        <f>IFERROR(VLOOKUP(E$5,Ambulance!$AY$5:$BG$19,6,FALSE),"")</f>
        <v>0.17441943043817912</v>
      </c>
      <c r="F241" s="133">
        <f>IFERROR(VLOOKUP(F$5,Ambulance!$AY$5:$BG$19,6,FALSE),"")</f>
        <v>0.15763684726305474</v>
      </c>
      <c r="G241" s="133">
        <f>IFERROR(VLOOKUP(G$5,Ambulance!$AY$5:$BG$19,6,FALSE),"")</f>
        <v>0.14923643305154077</v>
      </c>
      <c r="H241" s="133">
        <f>IFERROR(VLOOKUP(H$5,Ambulance!$AY$5:$BG$19,6,FALSE),"")</f>
        <v>0.14909648596385944</v>
      </c>
      <c r="I241" s="133">
        <f>IFERROR(VLOOKUP(I$5,Ambulance!$AY$5:$BG$19,6,FALSE),"")</f>
        <v>0.21424284856971396</v>
      </c>
      <c r="J241" s="133">
        <f>IFERROR(VLOOKUP(J$5,Ambulance!$AY$5:$BG$19,6,FALSE),"")</f>
        <v>0.17072455265473746</v>
      </c>
      <c r="K241" s="133">
        <f>IFERROR(VLOOKUP(K$5,Ambulance!$AY$5:$BG$19,6,FALSE),"")</f>
        <v>0.10775924583031182</v>
      </c>
      <c r="L241" s="133" t="str">
        <f>IFERROR(VLOOKUP(L$5,Ambulance!$AY$5:$BG$19,6,FALSE),"")</f>
        <v/>
      </c>
      <c r="M241" s="133" t="str">
        <f>IFERROR(VLOOKUP(M$5,Ambulance!$AY$5:$BG$19,6,FALSE),"")</f>
        <v/>
      </c>
      <c r="N241" s="133" t="str">
        <f>IFERROR(VLOOKUP(N$5,Ambulance!$AY$5:$BG$19,6,FALSE),"")</f>
        <v/>
      </c>
      <c r="O241" s="133" t="str">
        <f>IFERROR(VLOOKUP(O$5,Ambulance!$AY$5:$BG$19,6,FALSE),"")</f>
        <v/>
      </c>
      <c r="P241" s="133" t="str">
        <f>IFERROR(VLOOKUP(P$5,Ambulance!$AY$5:$BG$19,6,FALSE),"")</f>
        <v/>
      </c>
      <c r="Q241" s="133" t="str">
        <f>IFERROR(VLOOKUP(Q$5,Ambulance!$AY$5:$BG$19,6,FALSE),"")</f>
        <v/>
      </c>
      <c r="R241" s="53" t="str">
        <f>IFERROR(VLOOKUP(R$4,Ambulance!$AY$5:$BF$19,6,FALSE),"")</f>
        <v/>
      </c>
      <c r="AA241" s="149"/>
      <c r="AB241" s="149"/>
      <c r="AC241" s="149"/>
      <c r="AD241" s="149"/>
    </row>
    <row r="242" spans="2:30" ht="15.75" customHeight="1" x14ac:dyDescent="0.35">
      <c r="B242" s="136"/>
      <c r="C242" s="1" t="s">
        <v>62</v>
      </c>
      <c r="D242" s="133">
        <f>IFERROR(VLOOKUP(D$5,Ambulance!$AY$5:$BG$19,7,FALSE),"")</f>
        <v>0.52385484830458062</v>
      </c>
      <c r="E242" s="133">
        <f>IFERROR(VLOOKUP(E$5,Ambulance!$AY$5:$BG$19,7,FALSE),"")</f>
        <v>0.50011976047904194</v>
      </c>
      <c r="F242" s="133">
        <f>IFERROR(VLOOKUP(F$5,Ambulance!$AY$5:$BG$19,7,FALSE),"")</f>
        <v>0.50034658040665436</v>
      </c>
      <c r="G242" s="133">
        <f>IFERROR(VLOOKUP(G$5,Ambulance!$AY$5:$BG$19,7,FALSE),"")</f>
        <v>0.53551787351054081</v>
      </c>
      <c r="H242" s="133">
        <f>IFERROR(VLOOKUP(H$5,Ambulance!$AY$5:$BG$19,7,FALSE),"")</f>
        <v>0.48470352653242854</v>
      </c>
      <c r="I242" s="133">
        <f>IFERROR(VLOOKUP(I$5,Ambulance!$AY$5:$BG$19,7,FALSE),"")</f>
        <v>0.62474884765394156</v>
      </c>
      <c r="J242" s="133">
        <f>IFERROR(VLOOKUP(J$5,Ambulance!$AY$5:$BG$19,7,FALSE),"")</f>
        <v>0.52519160698580225</v>
      </c>
      <c r="K242" s="133">
        <f>IFERROR(VLOOKUP(K$5,Ambulance!$AY$5:$BG$19,7,FALSE),"")</f>
        <v>0.47698795180722892</v>
      </c>
      <c r="L242" s="133" t="str">
        <f>IFERROR(VLOOKUP(L$5,Ambulance!$AY$5:$BG$19,7,FALSE),"")</f>
        <v/>
      </c>
      <c r="M242" s="133" t="str">
        <f>IFERROR(VLOOKUP(M$5,Ambulance!$AY$5:$BG$19,7,FALSE),"")</f>
        <v/>
      </c>
      <c r="N242" s="133" t="str">
        <f>IFERROR(VLOOKUP(N$5,Ambulance!$AY$5:$BG$19,7,FALSE),"")</f>
        <v/>
      </c>
      <c r="O242" s="133" t="str">
        <f>IFERROR(VLOOKUP(O$5,Ambulance!$AY$5:$BG$19,7,FALSE),"")</f>
        <v/>
      </c>
      <c r="P242" s="133" t="str">
        <f>IFERROR(VLOOKUP(P$5,Ambulance!$AY$5:$BG$19,7,FALSE),"")</f>
        <v/>
      </c>
      <c r="Q242" s="133" t="str">
        <f>IFERROR(VLOOKUP(Q$5,Ambulance!$AY$5:$BG$19,7,FALSE),"")</f>
        <v/>
      </c>
      <c r="R242" s="53" t="str">
        <f>IFERROR(VLOOKUP(R$4,Ambulance!$AY$5:$BF$19,7,FALSE),"")</f>
        <v/>
      </c>
      <c r="AA242" s="149"/>
      <c r="AB242" s="149"/>
      <c r="AC242" s="149"/>
      <c r="AD242" s="149"/>
    </row>
    <row r="243" spans="2:30" ht="10.5" customHeight="1" x14ac:dyDescent="0.35">
      <c r="B243" s="136"/>
      <c r="C243" s="1"/>
      <c r="D243" s="53"/>
      <c r="E243" s="53"/>
      <c r="F243" s="53"/>
      <c r="G243" s="53"/>
      <c r="H243" s="53"/>
      <c r="I243" s="53"/>
      <c r="J243" s="53"/>
      <c r="K243" s="53"/>
      <c r="L243" s="53"/>
      <c r="M243" s="53"/>
      <c r="N243" s="53"/>
      <c r="O243" s="53"/>
      <c r="P243" s="53"/>
      <c r="Q243" s="53"/>
      <c r="R243" s="53"/>
      <c r="AA243" s="149"/>
      <c r="AB243" s="149"/>
      <c r="AC243" s="149"/>
      <c r="AD243" s="149"/>
    </row>
    <row r="244" spans="2:30" x14ac:dyDescent="0.35">
      <c r="B244" s="136"/>
      <c r="C244" s="9" t="s">
        <v>86</v>
      </c>
      <c r="D244" s="84">
        <v>0.14501572629822196</v>
      </c>
      <c r="E244" s="84">
        <v>0.16750420999171367</v>
      </c>
      <c r="F244" s="84">
        <v>0.23618220882781293</v>
      </c>
      <c r="G244" s="84">
        <v>0.19855770601145853</v>
      </c>
      <c r="H244" s="84">
        <v>0.26288073471795087</v>
      </c>
      <c r="I244" s="84">
        <v>0.18831304058087714</v>
      </c>
      <c r="J244" s="84">
        <v>8.89472149314669E-2</v>
      </c>
      <c r="K244" s="84">
        <v>6.5708603323282225E-2</v>
      </c>
      <c r="L244" s="84">
        <v>5.6125766597391338E-2</v>
      </c>
      <c r="M244" s="84">
        <v>9.6010037017713851E-2</v>
      </c>
      <c r="N244" s="84">
        <v>6.8443251533742325E-2</v>
      </c>
      <c r="O244" s="84">
        <v>0.10382184772795666</v>
      </c>
      <c r="P244" s="84">
        <v>0.10954283968843863</v>
      </c>
      <c r="Q244" s="84">
        <v>9.2619301436006773E-2</v>
      </c>
      <c r="AA244" s="149"/>
      <c r="AB244" s="149"/>
      <c r="AC244" s="149"/>
      <c r="AD244" s="149"/>
    </row>
    <row r="245" spans="2:30" x14ac:dyDescent="0.35">
      <c r="B245" s="136"/>
      <c r="C245" s="1" t="s">
        <v>18</v>
      </c>
      <c r="D245" s="5">
        <v>9.7576097194567973E-2</v>
      </c>
      <c r="E245" s="5">
        <v>0.1518607300517397</v>
      </c>
      <c r="F245" s="5">
        <v>0.14194104023369761</v>
      </c>
      <c r="G245" s="5">
        <v>7.1853532219059643E-2</v>
      </c>
      <c r="H245" s="5">
        <v>0.11731640591604685</v>
      </c>
      <c r="I245" s="5">
        <v>0.13399609794594119</v>
      </c>
      <c r="J245" s="5">
        <v>9.0515427381664335E-2</v>
      </c>
      <c r="K245" s="5">
        <v>0.13961049769738668</v>
      </c>
      <c r="L245" s="5">
        <v>0.15376502847500528</v>
      </c>
      <c r="M245" s="5">
        <v>0.12098700212412367</v>
      </c>
      <c r="N245" s="5">
        <v>0.13346122225267196</v>
      </c>
      <c r="O245" s="5">
        <v>0.11980710921154213</v>
      </c>
      <c r="P245" s="124">
        <v>9.5265128770592927E-2</v>
      </c>
      <c r="Q245" s="89">
        <v>7.4997574463956537E-2</v>
      </c>
      <c r="AA245" s="149"/>
      <c r="AB245" s="149"/>
      <c r="AC245" s="149"/>
      <c r="AD245" s="149"/>
    </row>
    <row r="246" spans="2:30" ht="7.5" customHeight="1" x14ac:dyDescent="0.35">
      <c r="B246" s="136"/>
      <c r="C246" s="1"/>
      <c r="AA246" s="149"/>
      <c r="AB246" s="149"/>
      <c r="AC246" s="149"/>
      <c r="AD246" s="149"/>
    </row>
    <row r="247" spans="2:30" x14ac:dyDescent="0.35">
      <c r="B247" s="136"/>
      <c r="C247" s="13" t="s">
        <v>20</v>
      </c>
      <c r="D247" s="50">
        <f>IFERROR(VLOOKUP(D$5,Ambulance!$AY$22:$BG$36,2,FALSE),"")</f>
        <v>0.16356585721545838</v>
      </c>
      <c r="E247" s="50">
        <f>IFERROR(VLOOKUP(E$5,Ambulance!$AY$22:$BG$36,2,FALSE),"")</f>
        <v>0.16319992881137238</v>
      </c>
      <c r="F247" s="50">
        <f>IFERROR(VLOOKUP(F$5,Ambulance!$AY$22:$BG$36,2,FALSE),"")</f>
        <v>0.14307089108045826</v>
      </c>
      <c r="G247" s="50">
        <f>IFERROR(VLOOKUP(G$5,Ambulance!$AY$22:$BG$36,2,FALSE),"")</f>
        <v>0.16252311927394728</v>
      </c>
      <c r="H247" s="50">
        <f>IFERROR(VLOOKUP(H$5,Ambulance!$AY$22:$BG$36,2,FALSE),"")</f>
        <v>0.12941699385139641</v>
      </c>
      <c r="I247" s="50">
        <f>IFERROR(VLOOKUP(I$5,Ambulance!$AY$22:$BG$36,2,FALSE),"")</f>
        <v>0.2128627724194988</v>
      </c>
      <c r="J247" s="50">
        <f>IFERROR(VLOOKUP(J$5,Ambulance!$AY$22:$BG$36,2,FALSE),"")</f>
        <v>0.14707055511869352</v>
      </c>
      <c r="K247" s="50">
        <f>IFERROR(VLOOKUP(K$5,Ambulance!$AY$22:$BG$36,2,FALSE),"")</f>
        <v>0.10144161568909679</v>
      </c>
      <c r="L247" s="50" t="str">
        <f>IFERROR(VLOOKUP(L$5,Ambulance!$AY$22:$BG$36,2,FALSE),"")</f>
        <v/>
      </c>
      <c r="M247" s="50" t="str">
        <f>IFERROR(VLOOKUP(M$5,Ambulance!$AY$22:$BG$36,2,FALSE),"")</f>
        <v/>
      </c>
      <c r="N247" s="50" t="str">
        <f>IFERROR(VLOOKUP(N$5,Ambulance!$AY$22:$BG$36,2,FALSE),"")</f>
        <v/>
      </c>
      <c r="O247" s="50" t="str">
        <f>IFERROR(VLOOKUP(O$5,Ambulance!$AY$22:$BG$36,2,FALSE),"")</f>
        <v/>
      </c>
      <c r="P247" s="50" t="str">
        <f>IFERROR(VLOOKUP(P$5,Ambulance!$AY$22:$BG$36,2,FALSE),"")</f>
        <v/>
      </c>
      <c r="Q247" s="50" t="str">
        <f>IFERROR(VLOOKUP(Q$5,Ambulance!$AY$22:$BG$36,2,FALSE),"")</f>
        <v/>
      </c>
      <c r="R247" s="75" t="str">
        <f>IFERROR(VLOOKUP(R$4,Ambulance!$AY$22:$BF$36,2,FALSE),"")</f>
        <v/>
      </c>
      <c r="AA247" s="149"/>
      <c r="AB247" s="149"/>
      <c r="AC247" s="149"/>
      <c r="AD247" s="149"/>
    </row>
    <row r="248" spans="2:30" x14ac:dyDescent="0.35">
      <c r="B248" s="136"/>
      <c r="C248" s="1" t="s">
        <v>21</v>
      </c>
      <c r="D248" s="133">
        <f>IFERROR(VLOOKUP(D$5,Ambulance!$AY$22:$BG$36,3,FALSE),"")</f>
        <v>2.1654074473826227E-2</v>
      </c>
      <c r="E248" s="133">
        <f>IFERROR(VLOOKUP(E$5,Ambulance!$AY$22:$BG$36,3,FALSE),"")</f>
        <v>2.3066577000672495E-2</v>
      </c>
      <c r="F248" s="133">
        <f>IFERROR(VLOOKUP(F$5,Ambulance!$AY$22:$BG$36,3,FALSE),"")</f>
        <v>1.916458600445374E-2</v>
      </c>
      <c r="G248" s="133">
        <f>IFERROR(VLOOKUP(G$5,Ambulance!$AY$22:$BG$36,3,FALSE),"")</f>
        <v>2.4074691563854618E-2</v>
      </c>
      <c r="H248" s="133">
        <f>IFERROR(VLOOKUP(H$5,Ambulance!$AY$22:$BG$36,3,FALSE),"")</f>
        <v>2.3075323955373848E-2</v>
      </c>
      <c r="I248" s="133">
        <f>IFERROR(VLOOKUP(I$5,Ambulance!$AY$22:$BG$36,3,FALSE),"")</f>
        <v>3.3038192150125545E-2</v>
      </c>
      <c r="J248" s="133">
        <f>IFERROR(VLOOKUP(J$5,Ambulance!$AY$22:$BG$36,3,FALSE),"")</f>
        <v>3.2519209659714603E-2</v>
      </c>
      <c r="K248" s="133">
        <f>IFERROR(VLOOKUP(K$5,Ambulance!$AY$22:$BG$36,3,FALSE),"")</f>
        <v>2.1920888077004146E-2</v>
      </c>
      <c r="L248" s="133" t="str">
        <f>IFERROR(VLOOKUP(L$5,Ambulance!$AY$22:$BG$36,3,FALSE),"")</f>
        <v/>
      </c>
      <c r="M248" s="133" t="str">
        <f>IFERROR(VLOOKUP(M$5,Ambulance!$AY$22:$BG$36,3,FALSE),"")</f>
        <v/>
      </c>
      <c r="N248" s="133" t="str">
        <f>IFERROR(VLOOKUP(N$5,Ambulance!$AY$22:$BG$36,3,FALSE),"")</f>
        <v/>
      </c>
      <c r="O248" s="133" t="str">
        <f>IFERROR(VLOOKUP(O$5,Ambulance!$AY$22:$BG$36,3,FALSE),"")</f>
        <v/>
      </c>
      <c r="P248" s="133" t="str">
        <f>IFERROR(VLOOKUP(P$5,Ambulance!$AY$22:$BG$36,3,FALSE),"")</f>
        <v/>
      </c>
      <c r="Q248" s="133" t="str">
        <f>IFERROR(VLOOKUP(Q$5,Ambulance!$AY$22:$BG$36,3,FALSE),"")</f>
        <v/>
      </c>
      <c r="R248" s="53" t="str">
        <f>IFERROR(VLOOKUP(R$4,Ambulance!$AY$22:$BF$36,3,FALSE),"")</f>
        <v/>
      </c>
      <c r="AA248" s="149"/>
      <c r="AB248" s="149"/>
      <c r="AC248" s="149"/>
      <c r="AD248" s="149"/>
    </row>
    <row r="249" spans="2:30" x14ac:dyDescent="0.35">
      <c r="B249" s="136"/>
      <c r="C249" s="1" t="s">
        <v>22</v>
      </c>
      <c r="D249" s="133">
        <f>IFERROR(VLOOKUP(D$5,Ambulance!$AY$22:$BG$36,4,FALSE),"")</f>
        <v>0.33864839613827469</v>
      </c>
      <c r="E249" s="133">
        <f>IFERROR(VLOOKUP(E$5,Ambulance!$AY$22:$BG$36,4,FALSE),"")</f>
        <v>0.32156052351430897</v>
      </c>
      <c r="F249" s="133">
        <f>IFERROR(VLOOKUP(F$5,Ambulance!$AY$22:$BG$36,4,FALSE),"")</f>
        <v>0.28155516467519864</v>
      </c>
      <c r="G249" s="133">
        <f>IFERROR(VLOOKUP(G$5,Ambulance!$AY$22:$BG$36,4,FALSE),"")</f>
        <v>0.32280194981043508</v>
      </c>
      <c r="H249" s="133">
        <f>IFERROR(VLOOKUP(H$5,Ambulance!$AY$22:$BG$36,4,FALSE),"")</f>
        <v>0.22934340499709471</v>
      </c>
      <c r="I249" s="133">
        <f>IFERROR(VLOOKUP(I$5,Ambulance!$AY$22:$BG$36,4,FALSE),"")</f>
        <v>0.37996439752010314</v>
      </c>
      <c r="J249" s="133">
        <f>IFERROR(VLOOKUP(J$5,Ambulance!$AY$22:$BG$36,4,FALSE),"")</f>
        <v>0.24021692241326184</v>
      </c>
      <c r="K249" s="133">
        <f>IFERROR(VLOOKUP(K$5,Ambulance!$AY$22:$BG$36,4,FALSE),"")</f>
        <v>0.19842688594923133</v>
      </c>
      <c r="L249" s="133" t="str">
        <f>IFERROR(VLOOKUP(L$5,Ambulance!$AY$22:$BG$36,4,FALSE),"")</f>
        <v/>
      </c>
      <c r="M249" s="133" t="str">
        <f>IFERROR(VLOOKUP(M$5,Ambulance!$AY$22:$BG$36,4,FALSE),"")</f>
        <v/>
      </c>
      <c r="N249" s="133" t="str">
        <f>IFERROR(VLOOKUP(N$5,Ambulance!$AY$22:$BG$36,4,FALSE),"")</f>
        <v/>
      </c>
      <c r="O249" s="133" t="str">
        <f>IFERROR(VLOOKUP(O$5,Ambulance!$AY$22:$BG$36,4,FALSE),"")</f>
        <v/>
      </c>
      <c r="P249" s="133" t="str">
        <f>IFERROR(VLOOKUP(P$5,Ambulance!$AY$22:$BG$36,4,FALSE),"")</f>
        <v/>
      </c>
      <c r="Q249" s="133" t="str">
        <f>IFERROR(VLOOKUP(Q$5,Ambulance!$AY$22:$BG$36,4,FALSE),"")</f>
        <v/>
      </c>
      <c r="R249" s="53" t="str">
        <f>IFERROR(VLOOKUP(R$4,Ambulance!$AY$22:$BF$36,4,FALSE),"")</f>
        <v/>
      </c>
      <c r="AA249" s="149"/>
      <c r="AB249" s="149"/>
      <c r="AC249" s="149"/>
      <c r="AD249" s="149"/>
    </row>
    <row r="250" spans="2:30" x14ac:dyDescent="0.35">
      <c r="B250" s="136"/>
      <c r="C250" s="1" t="s">
        <v>24</v>
      </c>
      <c r="D250" s="133">
        <f>IFERROR(VLOOKUP(D$5,Ambulance!$AY$22:$BG$36,8,FALSE),"")</f>
        <v>0.16014429383471798</v>
      </c>
      <c r="E250" s="133">
        <f>IFERROR(VLOOKUP(E$5,Ambulance!$AY$22:$BG$36,8,FALSE),"")</f>
        <v>0.19086638260679559</v>
      </c>
      <c r="F250" s="133">
        <f>IFERROR(VLOOKUP(F$5,Ambulance!$AY$22:$BG$36,8,FALSE),"")</f>
        <v>0.15098307223215224</v>
      </c>
      <c r="G250" s="133">
        <f>IFERROR(VLOOKUP(G$5,Ambulance!$AY$22:$BG$36,8,FALSE),"")</f>
        <v>0.18912678421494541</v>
      </c>
      <c r="H250" s="133">
        <f>IFERROR(VLOOKUP(H$5,Ambulance!$AY$22:$BG$36,8,FALSE),"")</f>
        <v>0.17809338918974149</v>
      </c>
      <c r="I250" s="133">
        <f>IFERROR(VLOOKUP(I$5,Ambulance!$AY$22:$BG$36,8,FALSE),"")</f>
        <v>0.32975544981741728</v>
      </c>
      <c r="J250" s="133">
        <f>IFERROR(VLOOKUP(J$5,Ambulance!$AY$22:$BG$36,8,FALSE),"")</f>
        <v>0.22719546742209631</v>
      </c>
      <c r="K250" s="133">
        <f>IFERROR(VLOOKUP(K$5,Ambulance!$AY$22:$BG$36,8,FALSE),"")</f>
        <v>0.10807848295516825</v>
      </c>
      <c r="L250" s="133" t="str">
        <f>IFERROR(VLOOKUP(L$5,Ambulance!$AY$22:$BG$36,8,FALSE),"")</f>
        <v/>
      </c>
      <c r="M250" s="133" t="str">
        <f>IFERROR(VLOOKUP(M$5,Ambulance!$AY$22:$BG$36,8,FALSE),"")</f>
        <v/>
      </c>
      <c r="N250" s="133" t="str">
        <f>IFERROR(VLOOKUP(N$5,Ambulance!$AY$22:$BG$36,8,FALSE),"")</f>
        <v/>
      </c>
      <c r="O250" s="133" t="str">
        <f>IFERROR(VLOOKUP(O$5,Ambulance!$AY$22:$BG$36,8,FALSE),"")</f>
        <v/>
      </c>
      <c r="P250" s="133" t="str">
        <f>IFERROR(VLOOKUP(P$5,Ambulance!$AY$22:$BG$36,8,FALSE),"")</f>
        <v/>
      </c>
      <c r="Q250" s="133" t="str">
        <f>IFERROR(VLOOKUP(Q$5,Ambulance!$AY$22:$BG$36,8,FALSE),"")</f>
        <v/>
      </c>
      <c r="R250" s="53"/>
      <c r="AA250" s="149"/>
      <c r="AB250" s="149"/>
      <c r="AC250" s="149"/>
      <c r="AD250" s="149"/>
    </row>
    <row r="251" spans="2:30" x14ac:dyDescent="0.35">
      <c r="B251" s="136"/>
      <c r="C251" s="1" t="s">
        <v>25</v>
      </c>
      <c r="D251" s="133">
        <f>IFERROR(VLOOKUP(D$5,Ambulance!$AY$22:$BG$36,5,FALSE),"")</f>
        <v>0.14150885579457009</v>
      </c>
      <c r="E251" s="133">
        <f>IFERROR(VLOOKUP(E$5,Ambulance!$AY$22:$BG$36,5,FALSE),"")</f>
        <v>0.14733658416147152</v>
      </c>
      <c r="F251" s="133">
        <f>IFERROR(VLOOKUP(F$5,Ambulance!$AY$22:$BG$36,5,FALSE),"")</f>
        <v>0.13747472891012683</v>
      </c>
      <c r="G251" s="133">
        <f>IFERROR(VLOOKUP(G$5,Ambulance!$AY$22:$BG$36,5,FALSE),"")</f>
        <v>0.15311233007393274</v>
      </c>
      <c r="H251" s="133">
        <f>IFERROR(VLOOKUP(H$5,Ambulance!$AY$22:$BG$36,5,FALSE),"")</f>
        <v>0.12006608059472536</v>
      </c>
      <c r="I251" s="133">
        <f>IFERROR(VLOOKUP(I$5,Ambulance!$AY$22:$BG$36,5,FALSE),"")</f>
        <v>0.18021458446990363</v>
      </c>
      <c r="J251" s="133">
        <f>IFERROR(VLOOKUP(J$5,Ambulance!$AY$22:$BG$36,5,FALSE),"")</f>
        <v>0.1389624652755346</v>
      </c>
      <c r="K251" s="133">
        <f>IFERROR(VLOOKUP(K$5,Ambulance!$AY$22:$BG$36,5,FALSE),"")</f>
        <v>7.0075515167029312E-2</v>
      </c>
      <c r="L251" s="133" t="str">
        <f>IFERROR(VLOOKUP(L$5,Ambulance!$AY$22:$BG$36,5,FALSE),"")</f>
        <v/>
      </c>
      <c r="M251" s="133" t="str">
        <f>IFERROR(VLOOKUP(M$5,Ambulance!$AY$22:$BG$36,5,FALSE),"")</f>
        <v/>
      </c>
      <c r="N251" s="133" t="str">
        <f>IFERROR(VLOOKUP(N$5,Ambulance!$AY$22:$BG$36,5,FALSE),"")</f>
        <v/>
      </c>
      <c r="O251" s="133" t="str">
        <f>IFERROR(VLOOKUP(O$5,Ambulance!$AY$22:$BG$36,5,FALSE),"")</f>
        <v/>
      </c>
      <c r="P251" s="133" t="str">
        <f>IFERROR(VLOOKUP(P$5,Ambulance!$AY$22:$BG$36,5,FALSE),"")</f>
        <v/>
      </c>
      <c r="Q251" s="133" t="str">
        <f>IFERROR(VLOOKUP(Q$5,Ambulance!$AY$22:$BG$36,5,FALSE),"")</f>
        <v/>
      </c>
      <c r="R251" s="53"/>
      <c r="AA251" s="149"/>
      <c r="AB251" s="149"/>
      <c r="AC251" s="149"/>
      <c r="AD251" s="149"/>
    </row>
    <row r="252" spans="2:30" x14ac:dyDescent="0.35">
      <c r="B252" s="136"/>
      <c r="C252" s="1" t="s">
        <v>37</v>
      </c>
      <c r="D252" s="133">
        <f>IFERROR(VLOOKUP(D$5,Ambulance!$AY$22:$BG$36,9,FALSE),"")</f>
        <v>0.18151408450704226</v>
      </c>
      <c r="E252" s="133">
        <f>IFERROR(VLOOKUP(E$5,Ambulance!$AY$22:$BG$36,9,FALSE),"")</f>
        <v>0.17875509842170598</v>
      </c>
      <c r="F252" s="133">
        <f>IFERROR(VLOOKUP(F$5,Ambulance!$AY$22:$BG$36,9,FALSE),"")</f>
        <v>0.14955143280202074</v>
      </c>
      <c r="G252" s="133">
        <f>IFERROR(VLOOKUP(G$5,Ambulance!$AY$22:$BG$36,9,FALSE),"")</f>
        <v>0.17265571526351814</v>
      </c>
      <c r="H252" s="133">
        <f>IFERROR(VLOOKUP(H$5,Ambulance!$AY$22:$BG$36,9,FALSE),"")</f>
        <v>0.11417971970321517</v>
      </c>
      <c r="I252" s="133">
        <f>IFERROR(VLOOKUP(I$5,Ambulance!$AY$22:$BG$36,9,FALSE),"")</f>
        <v>0.23748361730013107</v>
      </c>
      <c r="J252" s="133">
        <f>IFERROR(VLOOKUP(J$5,Ambulance!$AY$22:$BG$36,9,FALSE),"")</f>
        <v>0.13852421910366683</v>
      </c>
      <c r="K252" s="133">
        <f>IFERROR(VLOOKUP(K$5,Ambulance!$AY$22:$BG$36,9,FALSE),"")</f>
        <v>9.0391908975979776E-2</v>
      </c>
      <c r="L252" s="133" t="str">
        <f>IFERROR(VLOOKUP(L$5,Ambulance!$AY$22:$BG$36,9,FALSE),"")</f>
        <v/>
      </c>
      <c r="M252" s="133" t="str">
        <f>IFERROR(VLOOKUP(M$5,Ambulance!$AY$22:$BG$36,9,FALSE),"")</f>
        <v/>
      </c>
      <c r="N252" s="133" t="str">
        <f>IFERROR(VLOOKUP(N$5,Ambulance!$AY$22:$BG$36,9,FALSE),"")</f>
        <v/>
      </c>
      <c r="O252" s="133" t="str">
        <f>IFERROR(VLOOKUP(O$5,Ambulance!$AY$22:$BG$36,9,FALSE),"")</f>
        <v/>
      </c>
      <c r="P252" s="133" t="str">
        <f>IFERROR(VLOOKUP(P$5,Ambulance!$AY$22:$BG$36,9,FALSE),"")</f>
        <v/>
      </c>
      <c r="Q252" s="133" t="str">
        <f>IFERROR(VLOOKUP(Q$5,Ambulance!$AY$22:$BG$36,9,FALSE),"")</f>
        <v/>
      </c>
      <c r="R252" s="53" t="str">
        <f>IFERROR(VLOOKUP(R$4,Ambulance!$AY$22:$BF$36,5,FALSE),"")</f>
        <v/>
      </c>
      <c r="AA252" s="149"/>
      <c r="AB252" s="149"/>
      <c r="AC252" s="149"/>
      <c r="AD252" s="149"/>
    </row>
    <row r="253" spans="2:30" x14ac:dyDescent="0.35">
      <c r="B253" s="136"/>
      <c r="C253" s="1" t="s">
        <v>87</v>
      </c>
      <c r="D253" s="133">
        <f>IFERROR(VLOOKUP(D$5,Ambulance!$AY$22:$BG$36,6,FALSE),"")</f>
        <v>4.6442207566817079E-2</v>
      </c>
      <c r="E253" s="133">
        <f>IFERROR(VLOOKUP(E$5,Ambulance!$AY$22:$BG$36,6,FALSE),"")</f>
        <v>4.5806405795042963E-2</v>
      </c>
      <c r="F253" s="133">
        <f>IFERROR(VLOOKUP(F$5,Ambulance!$AY$22:$BG$36,6,FALSE),"")</f>
        <v>3.0379392412151755E-2</v>
      </c>
      <c r="G253" s="133">
        <f>IFERROR(VLOOKUP(G$5,Ambulance!$AY$22:$BG$36,6,FALSE),"")</f>
        <v>2.1952549768202892E-2</v>
      </c>
      <c r="H253" s="133">
        <f>IFERROR(VLOOKUP(H$5,Ambulance!$AY$22:$BG$36,6,FALSE),"")</f>
        <v>2.6071881042875243E-2</v>
      </c>
      <c r="I253" s="133">
        <f>IFERROR(VLOOKUP(I$5,Ambulance!$AY$22:$BG$36,6,FALSE),"")</f>
        <v>5.4744282189771287E-2</v>
      </c>
      <c r="J253" s="133">
        <f>IFERROR(VLOOKUP(J$5,Ambulance!$AY$22:$BG$36,6,FALSE),"")</f>
        <v>3.4320915224405987E-2</v>
      </c>
      <c r="K253" s="133">
        <f>IFERROR(VLOOKUP(K$5,Ambulance!$AY$22:$BG$36,6,FALSE),"")</f>
        <v>1.4213197969543147E-2</v>
      </c>
      <c r="L253" s="133" t="str">
        <f>IFERROR(VLOOKUP(L$5,Ambulance!$AY$22:$BG$36,6,FALSE),"")</f>
        <v/>
      </c>
      <c r="M253" s="133" t="str">
        <f>IFERROR(VLOOKUP(M$5,Ambulance!$AY$22:$BG$36,6,FALSE),"")</f>
        <v/>
      </c>
      <c r="N253" s="133" t="str">
        <f>IFERROR(VLOOKUP(N$5,Ambulance!$AY$22:$BG$36,6,FALSE),"")</f>
        <v/>
      </c>
      <c r="O253" s="133" t="str">
        <f>IFERROR(VLOOKUP(O$5,Ambulance!$AY$22:$BG$36,6,FALSE),"")</f>
        <v/>
      </c>
      <c r="P253" s="133" t="str">
        <f>IFERROR(VLOOKUP(P$5,Ambulance!$AY$22:$BG$36,6,FALSE),"")</f>
        <v/>
      </c>
      <c r="Q253" s="133" t="str">
        <f>IFERROR(VLOOKUP(Q$5,Ambulance!$AY$22:$BG$36,6,FALSE),"")</f>
        <v/>
      </c>
      <c r="R253" s="53" t="str">
        <f>IFERROR(VLOOKUP(R$4,Ambulance!$AY$22:$BF$36,6,FALSE),"")</f>
        <v/>
      </c>
      <c r="AA253" s="149"/>
      <c r="AB253" s="149"/>
      <c r="AC253" s="149"/>
      <c r="AD253" s="149"/>
    </row>
    <row r="254" spans="2:30" x14ac:dyDescent="0.35">
      <c r="B254" s="136"/>
      <c r="C254" s="1" t="s">
        <v>62</v>
      </c>
      <c r="D254" s="133">
        <f>IFERROR(VLOOKUP(D$5,Ambulance!$AY$22:$BG$36,7,FALSE),"")</f>
        <v>0.30243902439024389</v>
      </c>
      <c r="E254" s="133">
        <f>IFERROR(VLOOKUP(E$5,Ambulance!$AY$22:$BG$36,7,FALSE),"")</f>
        <v>0.28730538922155691</v>
      </c>
      <c r="F254" s="133">
        <f>IFERROR(VLOOKUP(F$5,Ambulance!$AY$22:$BG$36,7,FALSE),"")</f>
        <v>0.27067929759704251</v>
      </c>
      <c r="G254" s="133">
        <f>IFERROR(VLOOKUP(G$5,Ambulance!$AY$22:$BG$36,7,FALSE),"")</f>
        <v>0.30694317140238314</v>
      </c>
      <c r="H254" s="133">
        <f>IFERROR(VLOOKUP(H$5,Ambulance!$AY$22:$BG$36,7,FALSE),"")</f>
        <v>0.2664367560351541</v>
      </c>
      <c r="I254" s="133">
        <f>IFERROR(VLOOKUP(I$5,Ambulance!$AY$22:$BG$36,7,FALSE),"")</f>
        <v>0.39853445219241224</v>
      </c>
      <c r="J254" s="133">
        <f>IFERROR(VLOOKUP(J$5,Ambulance!$AY$22:$BG$36,7,FALSE),"")</f>
        <v>0.29890689785148888</v>
      </c>
      <c r="K254" s="133">
        <f>IFERROR(VLOOKUP(K$5,Ambulance!$AY$22:$BG$36,7,FALSE),"")</f>
        <v>0.25313253012048192</v>
      </c>
      <c r="L254" s="133" t="str">
        <f>IFERROR(VLOOKUP(L$5,Ambulance!$AY$22:$BG$36,7,FALSE),"")</f>
        <v/>
      </c>
      <c r="M254" s="133" t="str">
        <f>IFERROR(VLOOKUP(M$5,Ambulance!$AY$22:$BG$36,7,FALSE),"")</f>
        <v/>
      </c>
      <c r="N254" s="133" t="str">
        <f>IFERROR(VLOOKUP(N$5,Ambulance!$AY$22:$BG$36,7,FALSE),"")</f>
        <v/>
      </c>
      <c r="O254" s="133" t="str">
        <f>IFERROR(VLOOKUP(O$5,Ambulance!$AY$22:$BG$36,7,FALSE),"")</f>
        <v/>
      </c>
      <c r="P254" s="133" t="str">
        <f>IFERROR(VLOOKUP(P$5,Ambulance!$AY$22:$BG$36,7,FALSE),"")</f>
        <v/>
      </c>
      <c r="Q254" s="133" t="str">
        <f>IFERROR(VLOOKUP(Q$5,Ambulance!$AY$22:$BG$36,7,FALSE),"")</f>
        <v/>
      </c>
      <c r="R254" s="53" t="str">
        <f>IFERROR(VLOOKUP(R$4,Ambulance!$AY$22:$BF$36,7,FALSE),"")</f>
        <v/>
      </c>
      <c r="AA254" s="149"/>
      <c r="AB254" s="149"/>
      <c r="AC254" s="149"/>
      <c r="AD254" s="149"/>
    </row>
    <row r="255" spans="2:30" ht="7.5" customHeight="1" x14ac:dyDescent="0.35">
      <c r="B255" s="136"/>
      <c r="AA255" s="149"/>
      <c r="AB255" s="149"/>
      <c r="AC255" s="149"/>
      <c r="AD255" s="149"/>
    </row>
    <row r="256" spans="2:30" x14ac:dyDescent="0.35">
      <c r="B256" s="136"/>
      <c r="C256" s="1" t="s">
        <v>88</v>
      </c>
      <c r="D256" s="110">
        <f>HLOOKUP(D4,Ambulance!BL157:BY158,2,FALSE)</f>
        <v>112</v>
      </c>
      <c r="E256" s="110">
        <f>HLOOKUP(E4,Ambulance!BM157:BZ158,2,FALSE)</f>
        <v>115</v>
      </c>
      <c r="F256" s="110">
        <f>HLOOKUP(F4,Ambulance!BN157:CA158,2,FALSE)</f>
        <v>112</v>
      </c>
      <c r="G256" s="110">
        <f>HLOOKUP(G4,Ambulance!BO157:CB158,2,FALSE)</f>
        <v>114</v>
      </c>
      <c r="H256" s="110">
        <f>HLOOKUP(H4,Ambulance!BP157:CC158,2,FALSE)</f>
        <v>114</v>
      </c>
      <c r="I256" s="110">
        <f>HLOOKUP(I4,Ambulance!BQ157:CD158,2,FALSE)</f>
        <v>114</v>
      </c>
      <c r="J256" s="110">
        <f>HLOOKUP(J4,Ambulance!BR157:CE158,2,FALSE)</f>
        <v>114</v>
      </c>
      <c r="K256" s="110">
        <f>HLOOKUP(K4,Ambulance!BS157:CF158,2,FALSE)</f>
        <v>112</v>
      </c>
      <c r="L256" s="110" t="str">
        <f>HLOOKUP(L4,Ambulance!BT157:CG158,2,FALSE)</f>
        <v/>
      </c>
      <c r="M256" s="110" t="str">
        <f>HLOOKUP(M4,Ambulance!BU157:CH158,2,FALSE)</f>
        <v/>
      </c>
      <c r="N256" s="110" t="str">
        <f>HLOOKUP(N4,Ambulance!BV157:CI158,2,FALSE)</f>
        <v/>
      </c>
      <c r="O256" s="110" t="str">
        <f>HLOOKUP(O4,Ambulance!BW157:CJ158,2,FALSE)</f>
        <v/>
      </c>
      <c r="P256" s="110" t="str">
        <f>HLOOKUP(P4,Ambulance!BX157:CK158,2,FALSE)</f>
        <v/>
      </c>
      <c r="Q256" s="110" t="str">
        <f>HLOOKUP(Q4,Ambulance!BY157:CL158,2,FALSE)</f>
        <v/>
      </c>
      <c r="R256" s="78"/>
      <c r="AA256" s="149"/>
      <c r="AB256" s="149"/>
      <c r="AC256" s="149"/>
      <c r="AD256" s="149"/>
    </row>
    <row r="257" spans="2:30" x14ac:dyDescent="0.35">
      <c r="B257" s="136"/>
      <c r="C257" s="1"/>
      <c r="D257" s="111"/>
      <c r="E257" s="111"/>
      <c r="F257" s="111"/>
      <c r="G257" s="111"/>
      <c r="H257" s="111"/>
      <c r="I257" s="111"/>
      <c r="J257" s="111"/>
      <c r="K257" s="111"/>
      <c r="L257" s="111"/>
      <c r="M257" s="111"/>
      <c r="N257" s="111"/>
      <c r="O257" s="111"/>
      <c r="P257" s="111"/>
      <c r="Q257" s="111"/>
      <c r="R257" s="78"/>
      <c r="AA257" s="39"/>
      <c r="AB257" s="39"/>
      <c r="AC257" s="39"/>
      <c r="AD257" s="39"/>
    </row>
    <row r="258" spans="2:30" ht="15" customHeight="1" x14ac:dyDescent="0.35"/>
    <row r="260" spans="2:30" ht="14.5" customHeight="1" x14ac:dyDescent="0.35">
      <c r="B260" s="136" t="s">
        <v>89</v>
      </c>
      <c r="C260" s="9" t="s">
        <v>90</v>
      </c>
      <c r="D260" s="93">
        <v>712.28571428571433</v>
      </c>
      <c r="E260" s="93">
        <v>1161.5714285714287</v>
      </c>
      <c r="F260" s="93">
        <v>1939</v>
      </c>
      <c r="G260" s="93">
        <v>3479</v>
      </c>
      <c r="H260" s="93">
        <v>5105.2857142857147</v>
      </c>
      <c r="I260" s="93">
        <v>4913.5714285714284</v>
      </c>
      <c r="J260" s="93">
        <v>3225.8571428571427</v>
      </c>
      <c r="K260" s="93">
        <v>1892.8571428571429</v>
      </c>
      <c r="L260" s="93">
        <v>1203.2857142857142</v>
      </c>
      <c r="M260" s="93">
        <v>895.42857142857144</v>
      </c>
      <c r="N260" s="93">
        <v>687.42857142857144</v>
      </c>
      <c r="O260" s="93">
        <v>603</v>
      </c>
      <c r="P260" s="93">
        <v>486.71428571428572</v>
      </c>
      <c r="Q260" s="86">
        <v>398</v>
      </c>
      <c r="AA260" s="137" t="s">
        <v>91</v>
      </c>
      <c r="AB260" s="137"/>
      <c r="AC260" s="137"/>
      <c r="AD260" s="137"/>
    </row>
    <row r="261" spans="2:30" ht="14.5" customHeight="1" x14ac:dyDescent="0.35">
      <c r="B261" s="136"/>
      <c r="C261" s="1" t="s">
        <v>18</v>
      </c>
      <c r="D261" s="11">
        <v>234.42857142857142</v>
      </c>
      <c r="E261" s="11">
        <v>384.28571428571428</v>
      </c>
      <c r="F261" s="11">
        <v>618.28571428571433</v>
      </c>
      <c r="G261" s="11">
        <v>893.57142857142856</v>
      </c>
      <c r="H261" s="11">
        <v>1231.5714285714287</v>
      </c>
      <c r="I261" s="11">
        <v>1441.1428571428571</v>
      </c>
      <c r="J261" s="11">
        <v>1335.2857142857142</v>
      </c>
      <c r="K261" s="11">
        <v>1517</v>
      </c>
      <c r="L261" s="11">
        <v>2141.5714285714284</v>
      </c>
      <c r="M261" s="11">
        <v>2371.4285714285716</v>
      </c>
      <c r="N261" s="11">
        <v>2292</v>
      </c>
      <c r="O261" s="11">
        <v>2096.1428571428573</v>
      </c>
      <c r="P261" s="123">
        <v>1740.1428571428571</v>
      </c>
      <c r="Q261" s="68">
        <v>1256.2857142857142</v>
      </c>
      <c r="AA261" s="137"/>
      <c r="AB261" s="137"/>
      <c r="AC261" s="137"/>
      <c r="AD261" s="137"/>
    </row>
    <row r="262" spans="2:30" ht="8.15" customHeight="1" x14ac:dyDescent="0.35">
      <c r="B262" s="136"/>
      <c r="C262" s="1"/>
      <c r="AA262" s="137"/>
      <c r="AB262" s="137"/>
      <c r="AC262" s="137"/>
      <c r="AD262" s="137"/>
    </row>
    <row r="263" spans="2:30" x14ac:dyDescent="0.35">
      <c r="B263" s="136"/>
      <c r="C263" s="13" t="s">
        <v>20</v>
      </c>
      <c r="D263" s="118">
        <f>IFERROR(VLOOKUP(D$4,Flu!$R$4:$Z$17,2,FALSE),"")</f>
        <v>1059.5714285714287</v>
      </c>
      <c r="E263" s="47">
        <f>IFERROR(VLOOKUP(E$4,Flu!$R$4:$Z$17,2,FALSE),"")</f>
        <v>1794.8571428571429</v>
      </c>
      <c r="F263" s="47">
        <f>IFERROR(VLOOKUP(F$4,Flu!$R$4:$Z$17,2,FALSE),"")</f>
        <v>2503.8571428571427</v>
      </c>
      <c r="G263" s="47">
        <f>IFERROR(VLOOKUP(G$4,Flu!$R$4:$Z$17,2,FALSE),"")</f>
        <v>3634.1428571428573</v>
      </c>
      <c r="H263" s="47">
        <f>IFERROR(VLOOKUP(H$4,Flu!$R$4:$Z$17,2,FALSE),"")</f>
        <v>4257.7142857142853</v>
      </c>
      <c r="I263" s="47">
        <f>IFERROR(VLOOKUP(I$4,Flu!$R$4:$Z$17,2,FALSE),"")</f>
        <v>5151.2857142857147</v>
      </c>
      <c r="J263" s="47">
        <f>IFERROR(VLOOKUP(J$4,Flu!$R$4:$Z$17,2,FALSE),"")</f>
        <v>4692.8571428571431</v>
      </c>
      <c r="K263" s="47">
        <f>IFERROR(VLOOKUP(K$4,Flu!$R$4:$Z$17,2,FALSE),"")</f>
        <v>3657</v>
      </c>
      <c r="L263" s="47" t="str">
        <f>IFERROR(VLOOKUP(L$4,Flu!$R$4:$Z$17,2,FALSE),"")</f>
        <v/>
      </c>
      <c r="M263" s="47" t="str">
        <f>IFERROR(VLOOKUP(M$4,Flu!$R$4:$Z$17,2,FALSE),"")</f>
        <v/>
      </c>
      <c r="N263" s="47" t="str">
        <f>IFERROR(VLOOKUP(N$4,Flu!$R$4:$Z$17,2,FALSE),"")</f>
        <v/>
      </c>
      <c r="O263" s="47" t="str">
        <f>IFERROR(VLOOKUP(O$4,Flu!$R$4:$Z$17,2,FALSE),"")</f>
        <v/>
      </c>
      <c r="P263" s="47" t="str">
        <f>IFERROR(VLOOKUP(P$4,Flu!$R$4:$Z$17,2,FALSE),"")</f>
        <v/>
      </c>
      <c r="Q263" s="47" t="str">
        <f>IFERROR(VLOOKUP(Q$4,Flu!$R$4:$Z$17,2,FALSE),"")</f>
        <v/>
      </c>
      <c r="AA263" s="137"/>
      <c r="AB263" s="137"/>
      <c r="AC263" s="137"/>
      <c r="AD263" s="137"/>
    </row>
    <row r="264" spans="2:30" x14ac:dyDescent="0.35">
      <c r="B264" s="136"/>
      <c r="C264" s="1" t="s">
        <v>21</v>
      </c>
      <c r="D264" s="132">
        <f>IFERROR(VLOOKUP(D$4,Flu!$R$4:$Z$17,3,FALSE),"")</f>
        <v>84.857142857142861</v>
      </c>
      <c r="E264" s="132">
        <f>IFERROR(VLOOKUP(E$4,Flu!$R$4:$Z$17,3,FALSE),"")</f>
        <v>132.85714285714286</v>
      </c>
      <c r="F264" s="132">
        <f>IFERROR(VLOOKUP(F$4,Flu!$R$4:$Z$17,3,FALSE),"")</f>
        <v>221.42857142857142</v>
      </c>
      <c r="G264" s="132">
        <f>IFERROR(VLOOKUP(G$4,Flu!$R$4:$Z$17,3,FALSE),"")</f>
        <v>356.28571428571428</v>
      </c>
      <c r="H264" s="132">
        <f>IFERROR(VLOOKUP(H$4,Flu!$R$4:$Z$17,3,FALSE),"")</f>
        <v>446</v>
      </c>
      <c r="I264" s="132">
        <f>IFERROR(VLOOKUP(I$4,Flu!$R$4:$Z$17,3,FALSE),"")</f>
        <v>542.14285714285711</v>
      </c>
      <c r="J264" s="132">
        <f>IFERROR(VLOOKUP(J$4,Flu!$R$4:$Z$17,3,FALSE),"")</f>
        <v>515.42857142857144</v>
      </c>
      <c r="K264" s="132">
        <f>IFERROR(VLOOKUP(K$4,Flu!$R$4:$Z$17,3,FALSE),"")</f>
        <v>411.14285714285717</v>
      </c>
      <c r="L264" s="132" t="str">
        <f>IFERROR(VLOOKUP(L$4,Flu!$R$4:$Z$17,3,FALSE),"")</f>
        <v/>
      </c>
      <c r="M264" s="132" t="str">
        <f>IFERROR(VLOOKUP(M$4,Flu!$R$4:$Z$17,3,FALSE),"")</f>
        <v/>
      </c>
      <c r="N264" s="132" t="str">
        <f>IFERROR(VLOOKUP(N$4,Flu!$R$4:$Z$17,3,FALSE),"")</f>
        <v/>
      </c>
      <c r="O264" s="132" t="str">
        <f>IFERROR(VLOOKUP(O$4,Flu!$R$4:$Z$17,3,FALSE),"")</f>
        <v/>
      </c>
      <c r="P264" s="132" t="str">
        <f>IFERROR(VLOOKUP(P$4,Flu!$R$4:$Z$17,3,FALSE),"")</f>
        <v/>
      </c>
      <c r="Q264" s="132" t="str">
        <f>IFERROR(VLOOKUP(Q$4,Flu!$R$4:$Z$17,3,FALSE),"")</f>
        <v/>
      </c>
      <c r="AA264" s="116"/>
      <c r="AB264" s="116"/>
      <c r="AC264" s="116"/>
      <c r="AD264" s="116"/>
    </row>
    <row r="265" spans="2:30" x14ac:dyDescent="0.35">
      <c r="B265" s="136"/>
      <c r="C265" s="1" t="s">
        <v>22</v>
      </c>
      <c r="D265" s="132">
        <f>IFERROR(VLOOKUP(D$4,Flu!$R$4:$Z$17,4,FALSE),"")</f>
        <v>298.57142857142856</v>
      </c>
      <c r="E265" s="132">
        <f>IFERROR(VLOOKUP(E$4,Flu!$R$4:$Z$17,4,FALSE),"")</f>
        <v>524.42857142857144</v>
      </c>
      <c r="F265" s="132">
        <f>IFERROR(VLOOKUP(F$4,Flu!$R$4:$Z$17,4,FALSE),"")</f>
        <v>690.14285714285711</v>
      </c>
      <c r="G265" s="132">
        <f>IFERROR(VLOOKUP(G$4,Flu!$R$4:$Z$17,4,FALSE),"")</f>
        <v>924.71428571428567</v>
      </c>
      <c r="H265" s="132">
        <f>IFERROR(VLOOKUP(H$4,Flu!$R$4:$Z$17,4,FALSE),"")</f>
        <v>1003.8571428571429</v>
      </c>
      <c r="I265" s="132">
        <f>IFERROR(VLOOKUP(I$4,Flu!$R$4:$Z$17,4,FALSE),"")</f>
        <v>1072.5714285714287</v>
      </c>
      <c r="J265" s="132">
        <f>IFERROR(VLOOKUP(J$4,Flu!$R$4:$Z$17,4,FALSE),"")</f>
        <v>972.85714285714289</v>
      </c>
      <c r="K265" s="132">
        <f>IFERROR(VLOOKUP(K$4,Flu!$R$4:$Z$17,4,FALSE),"")</f>
        <v>732</v>
      </c>
      <c r="L265" s="132" t="str">
        <f>IFERROR(VLOOKUP(L$4,Flu!$R$4:$Z$17,4,FALSE),"")</f>
        <v/>
      </c>
      <c r="M265" s="132" t="str">
        <f>IFERROR(VLOOKUP(M$4,Flu!$R$4:$Z$17,4,FALSE),"")</f>
        <v/>
      </c>
      <c r="N265" s="132" t="str">
        <f>IFERROR(VLOOKUP(N$4,Flu!$R$4:$Z$17,4,FALSE),"")</f>
        <v/>
      </c>
      <c r="O265" s="132" t="str">
        <f>IFERROR(VLOOKUP(O$4,Flu!$R$4:$Z$17,4,FALSE),"")</f>
        <v/>
      </c>
      <c r="P265" s="132" t="str">
        <f>IFERROR(VLOOKUP(P$4,Flu!$R$4:$Z$17,4,FALSE),"")</f>
        <v/>
      </c>
      <c r="Q265" s="132" t="str">
        <f>IFERROR(VLOOKUP(Q$4,Flu!$R$4:$Z$17,4,FALSE),"")</f>
        <v/>
      </c>
      <c r="AA265" s="138" t="s">
        <v>92</v>
      </c>
      <c r="AB265" s="138"/>
      <c r="AC265" s="138"/>
      <c r="AD265" s="138"/>
    </row>
    <row r="266" spans="2:30" x14ac:dyDescent="0.35">
      <c r="B266" s="136"/>
      <c r="C266" s="1" t="s">
        <v>24</v>
      </c>
      <c r="D266" s="132">
        <f>IFERROR(VLOOKUP(D$4,Flu!$R$4:$Z$17,8,FALSE),"")</f>
        <v>58.571428571428569</v>
      </c>
      <c r="E266" s="132">
        <f>IFERROR(VLOOKUP(E$4,Flu!$R$4:$Z$17,8,FALSE),"")</f>
        <v>124.57142857142857</v>
      </c>
      <c r="F266" s="132">
        <f>IFERROR(VLOOKUP(F$4,Flu!$R$4:$Z$17,8,FALSE),"")</f>
        <v>164.42857142857142</v>
      </c>
      <c r="G266" s="132">
        <f>IFERROR(VLOOKUP(G$4,Flu!$R$4:$Z$17,8,FALSE),"")</f>
        <v>266.28571428571428</v>
      </c>
      <c r="H266" s="132">
        <f>IFERROR(VLOOKUP(H$4,Flu!$R$4:$Z$17,8,FALSE),"")</f>
        <v>405.42857142857144</v>
      </c>
      <c r="I266" s="132">
        <f>IFERROR(VLOOKUP(I$4,Flu!$R$4:$Z$17,8,FALSE),"")</f>
        <v>573.85714285714289</v>
      </c>
      <c r="J266" s="132">
        <f>IFERROR(VLOOKUP(J$4,Flu!$R$4:$Z$17,8,FALSE),"")</f>
        <v>561.42857142857144</v>
      </c>
      <c r="K266" s="132">
        <f>IFERROR(VLOOKUP(K$4,Flu!$R$4:$Z$17,8,FALSE),"")</f>
        <v>425.57142857142856</v>
      </c>
      <c r="L266" s="132" t="str">
        <f>IFERROR(VLOOKUP(L$4,Flu!$R$4:$Z$17,8,FALSE),"")</f>
        <v/>
      </c>
      <c r="M266" s="132" t="str">
        <f>IFERROR(VLOOKUP(M$4,Flu!$R$4:$Z$17,8,FALSE),"")</f>
        <v/>
      </c>
      <c r="N266" s="132" t="str">
        <f>IFERROR(VLOOKUP(N$4,Flu!$R$4:$Z$17,8,FALSE),"")</f>
        <v/>
      </c>
      <c r="O266" s="132" t="str">
        <f>IFERROR(VLOOKUP(O$4,Flu!$R$4:$Z$17,8,FALSE),"")</f>
        <v/>
      </c>
      <c r="P266" s="132" t="str">
        <f>IFERROR(VLOOKUP(P$4,Flu!$R$4:$Z$17,8,FALSE),"")</f>
        <v/>
      </c>
      <c r="Q266" s="132" t="str">
        <f>IFERROR(VLOOKUP(Q$4,Flu!$R$4:$Z$17,8,FALSE),"")</f>
        <v/>
      </c>
      <c r="AA266" s="138"/>
      <c r="AB266" s="138"/>
      <c r="AC266" s="138"/>
      <c r="AD266" s="138"/>
    </row>
    <row r="267" spans="2:30" ht="14.5" customHeight="1" x14ac:dyDescent="0.35">
      <c r="B267" s="136"/>
      <c r="C267" s="1" t="s">
        <v>25</v>
      </c>
      <c r="D267" s="132">
        <f>IFERROR(VLOOKUP(D$4,Flu!$R$4:$Z$17,5,FALSE),"")</f>
        <v>371.42857142857144</v>
      </c>
      <c r="E267" s="132">
        <f>IFERROR(VLOOKUP(E$4,Flu!$R$4:$Z$17,5,FALSE),"")</f>
        <v>589.28571428571433</v>
      </c>
      <c r="F267" s="132">
        <f>IFERROR(VLOOKUP(F$4,Flu!$R$4:$Z$17,5,FALSE),"")</f>
        <v>779.42857142857144</v>
      </c>
      <c r="G267" s="132">
        <f>IFERROR(VLOOKUP(G$4,Flu!$R$4:$Z$17,5,FALSE),"")</f>
        <v>1000.7142857142857</v>
      </c>
      <c r="H267" s="132">
        <f>IFERROR(VLOOKUP(H$4,Flu!$R$4:$Z$17,5,FALSE),"")</f>
        <v>1050</v>
      </c>
      <c r="I267" s="132">
        <f>IFERROR(VLOOKUP(I$4,Flu!$R$4:$Z$17,5,FALSE),"")</f>
        <v>1185.4285714285713</v>
      </c>
      <c r="J267" s="132">
        <f>IFERROR(VLOOKUP(J$4,Flu!$R$4:$Z$17,5,FALSE),"")</f>
        <v>998.14285714285711</v>
      </c>
      <c r="K267" s="132">
        <f>IFERROR(VLOOKUP(K$4,Flu!$R$4:$Z$17,5,FALSE),"")</f>
        <v>794</v>
      </c>
      <c r="L267" s="132" t="str">
        <f>IFERROR(VLOOKUP(L$4,Flu!$R$4:$Z$17,5,FALSE),"")</f>
        <v/>
      </c>
      <c r="M267" s="132" t="str">
        <f>IFERROR(VLOOKUP(M$4,Flu!$R$4:$Z$17,5,FALSE),"")</f>
        <v/>
      </c>
      <c r="N267" s="132" t="str">
        <f>IFERROR(VLOOKUP(N$4,Flu!$R$4:$Z$17,5,FALSE),"")</f>
        <v/>
      </c>
      <c r="O267" s="132" t="str">
        <f>IFERROR(VLOOKUP(O$4,Flu!$R$4:$Z$17,5,FALSE),"")</f>
        <v/>
      </c>
      <c r="P267" s="132" t="str">
        <f>IFERROR(VLOOKUP(P$4,Flu!$R$4:$Z$17,5,FALSE),"")</f>
        <v/>
      </c>
      <c r="Q267" s="132" t="str">
        <f>IFERROR(VLOOKUP(Q$4,Flu!$R$4:$Z$17,5,FALSE),"")</f>
        <v/>
      </c>
      <c r="AA267" s="138"/>
      <c r="AB267" s="138"/>
      <c r="AC267" s="138"/>
      <c r="AD267" s="138"/>
    </row>
    <row r="268" spans="2:30" x14ac:dyDescent="0.35">
      <c r="B268" s="136"/>
      <c r="C268" s="1" t="s">
        <v>37</v>
      </c>
      <c r="D268" s="132">
        <f>IFERROR(VLOOKUP(D$4,Flu!$R$4:$Z$17,9,FALSE),"")</f>
        <v>114</v>
      </c>
      <c r="E268" s="132">
        <f>IFERROR(VLOOKUP(E$4,Flu!$R$4:$Z$17,9,FALSE),"")</f>
        <v>185</v>
      </c>
      <c r="F268" s="132">
        <f>IFERROR(VLOOKUP(F$4,Flu!$R$4:$Z$17,9,FALSE),"")</f>
        <v>264.85714285714283</v>
      </c>
      <c r="G268" s="132">
        <f>IFERROR(VLOOKUP(G$4,Flu!$R$4:$Z$17,9,FALSE),"")</f>
        <v>402.42857142857144</v>
      </c>
      <c r="H268" s="132">
        <f>IFERROR(VLOOKUP(H$4,Flu!$R$4:$Z$17,9,FALSE),"")</f>
        <v>523.42857142857144</v>
      </c>
      <c r="I268" s="132">
        <f>IFERROR(VLOOKUP(I$4,Flu!$R$4:$Z$17,9,FALSE),"")</f>
        <v>656.28571428571433</v>
      </c>
      <c r="J268" s="132">
        <f>IFERROR(VLOOKUP(J$4,Flu!$R$4:$Z$17,9,FALSE),"")</f>
        <v>619.14285714285711</v>
      </c>
      <c r="K268" s="132">
        <f>IFERROR(VLOOKUP(K$4,Flu!$R$4:$Z$17,9,FALSE),"")</f>
        <v>525.28571428571433</v>
      </c>
      <c r="L268" s="132" t="str">
        <f>IFERROR(VLOOKUP(L$4,Flu!$R$4:$Z$17,9,FALSE),"")</f>
        <v/>
      </c>
      <c r="M268" s="132" t="str">
        <f>IFERROR(VLOOKUP(M$4,Flu!$R$4:$Z$17,9,FALSE),"")</f>
        <v/>
      </c>
      <c r="N268" s="132" t="str">
        <f>IFERROR(VLOOKUP(N$4,Flu!$R$4:$Z$17,9,FALSE),"")</f>
        <v/>
      </c>
      <c r="O268" s="132" t="str">
        <f>IFERROR(VLOOKUP(O$4,Flu!$R$4:$Z$17,9,FALSE),"")</f>
        <v/>
      </c>
      <c r="P268" s="132" t="str">
        <f>IFERROR(VLOOKUP(P$4,Flu!$R$4:$Z$17,9,FALSE),"")</f>
        <v/>
      </c>
      <c r="Q268" s="132" t="str">
        <f>IFERROR(VLOOKUP(Q$4,Flu!$R$4:$Z$17,9,FALSE),"")</f>
        <v/>
      </c>
      <c r="AA268" s="138"/>
      <c r="AB268" s="138"/>
      <c r="AC268" s="138"/>
      <c r="AD268" s="138"/>
    </row>
    <row r="269" spans="2:30" x14ac:dyDescent="0.35">
      <c r="B269" s="136"/>
      <c r="C269" s="1" t="s">
        <v>27</v>
      </c>
      <c r="D269" s="132">
        <f>IFERROR(VLOOKUP(D$4,Flu!$R$4:$Z$17,6,FALSE),"")</f>
        <v>94</v>
      </c>
      <c r="E269" s="132">
        <f>IFERROR(VLOOKUP(E$4,Flu!$R$4:$Z$17,6,FALSE),"")</f>
        <v>167.28571428571428</v>
      </c>
      <c r="F269" s="132">
        <f>IFERROR(VLOOKUP(F$4,Flu!$R$4:$Z$17,6,FALSE),"")</f>
        <v>244</v>
      </c>
      <c r="G269" s="132">
        <f>IFERROR(VLOOKUP(G$4,Flu!$R$4:$Z$17,6,FALSE),"")</f>
        <v>435.57142857142856</v>
      </c>
      <c r="H269" s="132">
        <f>IFERROR(VLOOKUP(H$4,Flu!$R$4:$Z$17,6,FALSE),"")</f>
        <v>534.57142857142856</v>
      </c>
      <c r="I269" s="132">
        <f>IFERROR(VLOOKUP(I$4,Flu!$R$4:$Z$17,6,FALSE),"")</f>
        <v>700.42857142857144</v>
      </c>
      <c r="J269" s="132">
        <f>IFERROR(VLOOKUP(J$4,Flu!$R$4:$Z$17,6,FALSE),"")</f>
        <v>585.57142857142856</v>
      </c>
      <c r="K269" s="132">
        <f>IFERROR(VLOOKUP(K$4,Flu!$R$4:$Z$17,6,FALSE),"")</f>
        <v>397.42857142857144</v>
      </c>
      <c r="L269" s="132" t="str">
        <f>IFERROR(VLOOKUP(L$4,Flu!$R$4:$Z$17,6,FALSE),"")</f>
        <v/>
      </c>
      <c r="M269" s="132" t="str">
        <f>IFERROR(VLOOKUP(M$4,Flu!$R$4:$Z$17,6,FALSE),"")</f>
        <v/>
      </c>
      <c r="N269" s="132" t="str">
        <f>IFERROR(VLOOKUP(N$4,Flu!$R$4:$Z$17,6,FALSE),"")</f>
        <v/>
      </c>
      <c r="O269" s="132" t="str">
        <f>IFERROR(VLOOKUP(O$4,Flu!$R$4:$Z$17,6,FALSE),"")</f>
        <v/>
      </c>
      <c r="P269" s="132" t="str">
        <f>IFERROR(VLOOKUP(P$4,Flu!$R$4:$Z$17,6,FALSE),"")</f>
        <v/>
      </c>
      <c r="Q269" s="132" t="str">
        <f>IFERROR(VLOOKUP(Q$4,Flu!$R$4:$Z$17,6,FALSE),"")</f>
        <v/>
      </c>
      <c r="AA269" s="117"/>
      <c r="AB269" s="117"/>
      <c r="AC269" s="117"/>
      <c r="AD269" s="117"/>
    </row>
    <row r="270" spans="2:30" x14ac:dyDescent="0.35">
      <c r="B270" s="136"/>
      <c r="C270" s="1" t="s">
        <v>62</v>
      </c>
      <c r="D270" s="132">
        <f>IFERROR(VLOOKUP(D$4,Flu!$R$4:$Z$17,7,FALSE),"")</f>
        <v>38.142857142857146</v>
      </c>
      <c r="E270" s="132">
        <f>IFERROR(VLOOKUP(E$4,Flu!$R$4:$Z$17,7,FALSE),"")</f>
        <v>71.428571428571431</v>
      </c>
      <c r="F270" s="132">
        <f>IFERROR(VLOOKUP(F$4,Flu!$R$4:$Z$17,7,FALSE),"")</f>
        <v>139.57142857142858</v>
      </c>
      <c r="G270" s="132">
        <f>IFERROR(VLOOKUP(G$4,Flu!$R$4:$Z$17,7,FALSE),"")</f>
        <v>248.14285714285714</v>
      </c>
      <c r="H270" s="132">
        <f>IFERROR(VLOOKUP(H$4,Flu!$R$4:$Z$17,7,FALSE),"")</f>
        <v>294.42857142857144</v>
      </c>
      <c r="I270" s="132">
        <f>IFERROR(VLOOKUP(I$4,Flu!$R$4:$Z$17,7,FALSE),"")</f>
        <v>420.57142857142856</v>
      </c>
      <c r="J270" s="132">
        <f>IFERROR(VLOOKUP(J$4,Flu!$R$4:$Z$17,7,FALSE),"")</f>
        <v>440.28571428571428</v>
      </c>
      <c r="K270" s="132">
        <f>IFERROR(VLOOKUP(K$4,Flu!$R$4:$Z$17,7,FALSE),"")</f>
        <v>371.57142857142856</v>
      </c>
      <c r="L270" s="132" t="str">
        <f>IFERROR(VLOOKUP(L$4,Flu!$R$4:$Z$17,7,FALSE),"")</f>
        <v/>
      </c>
      <c r="M270" s="132" t="str">
        <f>IFERROR(VLOOKUP(M$4,Flu!$R$4:$Z$17,7,FALSE),"")</f>
        <v/>
      </c>
      <c r="N270" s="132" t="str">
        <f>IFERROR(VLOOKUP(N$4,Flu!$R$4:$Z$17,7,FALSE),"")</f>
        <v/>
      </c>
      <c r="O270" s="132" t="str">
        <f>IFERROR(VLOOKUP(O$4,Flu!$R$4:$Z$17,7,FALSE),"")</f>
        <v/>
      </c>
      <c r="P270" s="132" t="str">
        <f>IFERROR(VLOOKUP(P$4,Flu!$R$4:$Z$17,7,FALSE),"")</f>
        <v/>
      </c>
      <c r="Q270" s="132" t="str">
        <f>IFERROR(VLOOKUP(Q$4,Flu!$R$4:$Z$17,7,FALSE),"")</f>
        <v/>
      </c>
      <c r="AA270" s="117"/>
      <c r="AB270" s="117"/>
      <c r="AC270" s="117"/>
      <c r="AD270" s="117"/>
    </row>
    <row r="271" spans="2:30" x14ac:dyDescent="0.35">
      <c r="B271" s="136"/>
    </row>
    <row r="272" spans="2:30" x14ac:dyDescent="0.35">
      <c r="B272" s="136"/>
      <c r="C272" s="9" t="s">
        <v>93</v>
      </c>
      <c r="D272" s="93">
        <v>59.714285714285715</v>
      </c>
      <c r="E272" s="93">
        <v>86.571428571428569</v>
      </c>
      <c r="F272" s="93">
        <v>148.85714285714286</v>
      </c>
      <c r="G272" s="93">
        <v>267.14285714285717</v>
      </c>
      <c r="H272" s="93">
        <v>335.71428571428572</v>
      </c>
      <c r="I272" s="93">
        <v>348.57142857142856</v>
      </c>
      <c r="J272" s="93">
        <v>220.71428571428572</v>
      </c>
      <c r="K272" s="93">
        <v>141.28571428571428</v>
      </c>
      <c r="L272" s="93">
        <v>87.285714285714292</v>
      </c>
      <c r="M272" s="93">
        <v>66.285714285714292</v>
      </c>
      <c r="N272" s="93">
        <v>50.285714285714285</v>
      </c>
      <c r="O272" s="93">
        <v>35</v>
      </c>
      <c r="P272" s="93">
        <v>31.285714285714285</v>
      </c>
      <c r="Q272" s="93">
        <v>31.857142857142858</v>
      </c>
    </row>
    <row r="273" spans="2:30" x14ac:dyDescent="0.35">
      <c r="B273" s="136"/>
      <c r="C273" s="1" t="s">
        <v>18</v>
      </c>
      <c r="D273" s="11">
        <v>9</v>
      </c>
      <c r="E273" s="11">
        <v>17.714285714285715</v>
      </c>
      <c r="F273" s="11">
        <v>29.714285714285715</v>
      </c>
      <c r="G273" s="11">
        <v>48.142857142857146</v>
      </c>
      <c r="H273" s="11">
        <v>80.571428571428569</v>
      </c>
      <c r="I273" s="11">
        <v>107.14285714285714</v>
      </c>
      <c r="J273" s="11">
        <v>80.714285714285708</v>
      </c>
      <c r="K273" s="11">
        <v>65.285714285714292</v>
      </c>
      <c r="L273" s="11">
        <v>84.142857142857139</v>
      </c>
      <c r="M273" s="11">
        <v>106.42857142857143</v>
      </c>
      <c r="N273" s="11">
        <v>98</v>
      </c>
      <c r="O273" s="11">
        <v>111.71428571428571</v>
      </c>
      <c r="P273" s="123">
        <v>97</v>
      </c>
      <c r="Q273" s="68">
        <v>77</v>
      </c>
    </row>
    <row r="274" spans="2:30" ht="9.65" customHeight="1" x14ac:dyDescent="0.35">
      <c r="B274" s="136"/>
      <c r="C274" s="1"/>
    </row>
    <row r="275" spans="2:30" ht="14.5" customHeight="1" x14ac:dyDescent="0.35">
      <c r="B275" s="136"/>
      <c r="C275" s="13" t="s">
        <v>20</v>
      </c>
      <c r="D275" s="47">
        <f>IFERROR(VLOOKUP(D$4,Flu!$AO$4:$AW$17,2,FALSE),"")</f>
        <v>38.571428571428569</v>
      </c>
      <c r="E275" s="47">
        <f>IFERROR(VLOOKUP(E$4,Flu!$AO$4:$AW$17,2,FALSE),"")</f>
        <v>65.714285714285708</v>
      </c>
      <c r="F275" s="47">
        <f>IFERROR(VLOOKUP(F$4,Flu!$AO$4:$AW$17,2,FALSE),"")</f>
        <v>125</v>
      </c>
      <c r="G275" s="47">
        <f>IFERROR(VLOOKUP(G$4,Flu!$AO$4:$AW$17,2,FALSE),"")</f>
        <v>183.57142857142858</v>
      </c>
      <c r="H275" s="47">
        <f>IFERROR(VLOOKUP(H$4,Flu!$AO$4:$AW$17,2,FALSE),"")</f>
        <v>211.28571428571428</v>
      </c>
      <c r="I275" s="47">
        <f>IFERROR(VLOOKUP(I$4,Flu!$AO$4:$AW$17,2,FALSE),"")</f>
        <v>256.28571428571428</v>
      </c>
      <c r="J275" s="47">
        <f>IFERROR(VLOOKUP(J$4,Flu!$AO$4:$AW$17,2,FALSE),"")</f>
        <v>236.28571428571428</v>
      </c>
      <c r="K275" s="47">
        <f>IFERROR(VLOOKUP(K$4,Flu!$AO$4:$AW$17,2,FALSE),"")</f>
        <v>175.85714285714286</v>
      </c>
      <c r="L275" s="47" t="str">
        <f>IFERROR(VLOOKUP(L$4,Flu!$AO$4:$AW$17,2,FALSE),"")</f>
        <v/>
      </c>
      <c r="M275" s="47" t="str">
        <f>IFERROR(VLOOKUP(M$4,Flu!$AO$4:$AW$17,2,FALSE),"")</f>
        <v/>
      </c>
      <c r="N275" s="47" t="str">
        <f>IFERROR(VLOOKUP(N$4,Flu!$AO$4:$AW$17,2,FALSE),"")</f>
        <v/>
      </c>
      <c r="O275" s="47" t="str">
        <f>IFERROR(VLOOKUP(O$4,Flu!$AO$4:$AW$17,2,FALSE),"")</f>
        <v/>
      </c>
      <c r="P275" s="47" t="str">
        <f>IFERROR(VLOOKUP(P$4,Flu!$AO$4:$AW$17,2,FALSE),"")</f>
        <v/>
      </c>
      <c r="Q275" s="47" t="str">
        <f>IFERROR(VLOOKUP(Q$4,Flu!$AO$4:$AW$17,2,FALSE),"")</f>
        <v/>
      </c>
    </row>
    <row r="276" spans="2:30" x14ac:dyDescent="0.35">
      <c r="B276" s="136"/>
      <c r="C276" s="1" t="s">
        <v>21</v>
      </c>
      <c r="D276" s="132">
        <f>IFERROR(VLOOKUP(D$4,Flu!$AO$4:$AW$17,3,FALSE),"")</f>
        <v>4.4285714285714288</v>
      </c>
      <c r="E276" s="132">
        <f>IFERROR(VLOOKUP(E$4,Flu!$AO$4:$AW$17,3,FALSE),"")</f>
        <v>12</v>
      </c>
      <c r="F276" s="132">
        <f>IFERROR(VLOOKUP(F$4,Flu!$AO$4:$AW$17,3,FALSE),"")</f>
        <v>17</v>
      </c>
      <c r="G276" s="132">
        <f>IFERROR(VLOOKUP(G$4,Flu!$AO$4:$AW$17,3,FALSE),"")</f>
        <v>26.142857142857142</v>
      </c>
      <c r="H276" s="132">
        <f>IFERROR(VLOOKUP(H$4,Flu!$AO$4:$AW$17,3,FALSE),"")</f>
        <v>31.857142857142858</v>
      </c>
      <c r="I276" s="132">
        <f>IFERROR(VLOOKUP(I$4,Flu!$AO$4:$AW$17,3,FALSE),"")</f>
        <v>40.428571428571431</v>
      </c>
      <c r="J276" s="132">
        <f>IFERROR(VLOOKUP(J$4,Flu!$AO$4:$AW$17,3,FALSE),"")</f>
        <v>51.285714285714285</v>
      </c>
      <c r="K276" s="132">
        <f>IFERROR(VLOOKUP(K$4,Flu!$AO$4:$AW$17,3,FALSE),"")</f>
        <v>33.714285714285715</v>
      </c>
      <c r="L276" s="132" t="str">
        <f>IFERROR(VLOOKUP(L$4,Flu!$AO$4:$AW$17,3,FALSE),"")</f>
        <v/>
      </c>
      <c r="M276" s="132" t="str">
        <f>IFERROR(VLOOKUP(M$4,Flu!$AO$4:$AW$17,3,FALSE),"")</f>
        <v/>
      </c>
      <c r="N276" s="132" t="str">
        <f>IFERROR(VLOOKUP(N$4,Flu!$AO$4:$AW$17,3,FALSE),"")</f>
        <v/>
      </c>
      <c r="O276" s="132" t="str">
        <f>IFERROR(VLOOKUP(O$4,Flu!$AO$4:$AW$17,3,FALSE),"")</f>
        <v/>
      </c>
      <c r="P276" s="132" t="str">
        <f>IFERROR(VLOOKUP(P$4,Flu!$AO$4:$AW$17,3,FALSE),"")</f>
        <v/>
      </c>
      <c r="Q276" s="132" t="str">
        <f>IFERROR(VLOOKUP(Q$4,Flu!$AO$4:$AW$17,3,FALSE),"")</f>
        <v/>
      </c>
    </row>
    <row r="277" spans="2:30" x14ac:dyDescent="0.35">
      <c r="B277" s="136"/>
      <c r="C277" s="1" t="s">
        <v>22</v>
      </c>
      <c r="D277" s="132">
        <f>IFERROR(VLOOKUP(D$4,Flu!$AO$4:$AW$17,4,FALSE),"")</f>
        <v>9.8571428571428577</v>
      </c>
      <c r="E277" s="132">
        <f>IFERROR(VLOOKUP(E$4,Flu!$AO$4:$AW$17,4,FALSE),"")</f>
        <v>12.285714285714286</v>
      </c>
      <c r="F277" s="132">
        <f>IFERROR(VLOOKUP(F$4,Flu!$AO$4:$AW$17,4,FALSE),"")</f>
        <v>37</v>
      </c>
      <c r="G277" s="132">
        <f>IFERROR(VLOOKUP(G$4,Flu!$AO$4:$AW$17,4,FALSE),"")</f>
        <v>46.428571428571431</v>
      </c>
      <c r="H277" s="132">
        <f>IFERROR(VLOOKUP(H$4,Flu!$AO$4:$AW$17,4,FALSE),"")</f>
        <v>54.714285714285715</v>
      </c>
      <c r="I277" s="132">
        <f>IFERROR(VLOOKUP(I$4,Flu!$AO$4:$AW$17,4,FALSE),"")</f>
        <v>45.285714285714285</v>
      </c>
      <c r="J277" s="132">
        <f>IFERROR(VLOOKUP(J$4,Flu!$AO$4:$AW$17,4,FALSE),"")</f>
        <v>34</v>
      </c>
      <c r="K277" s="132">
        <f>IFERROR(VLOOKUP(K$4,Flu!$AO$4:$AW$17,4,FALSE),"")</f>
        <v>28.857142857142858</v>
      </c>
      <c r="L277" s="132" t="str">
        <f>IFERROR(VLOOKUP(L$4,Flu!$AO$4:$AW$17,4,FALSE),"")</f>
        <v/>
      </c>
      <c r="M277" s="132" t="str">
        <f>IFERROR(VLOOKUP(M$4,Flu!$AO$4:$AW$17,4,FALSE),"")</f>
        <v/>
      </c>
      <c r="N277" s="132" t="str">
        <f>IFERROR(VLOOKUP(N$4,Flu!$AO$4:$AW$17,4,FALSE),"")</f>
        <v/>
      </c>
      <c r="O277" s="132" t="str">
        <f>IFERROR(VLOOKUP(O$4,Flu!$AO$4:$AW$17,4,FALSE),"")</f>
        <v/>
      </c>
      <c r="P277" s="132" t="str">
        <f>IFERROR(VLOOKUP(P$4,Flu!$AO$4:$AW$17,4,FALSE),"")</f>
        <v/>
      </c>
      <c r="Q277" s="132" t="str">
        <f>IFERROR(VLOOKUP(Q$4,Flu!$AO$4:$AW$17,4,FALSE),"")</f>
        <v/>
      </c>
    </row>
    <row r="278" spans="2:30" x14ac:dyDescent="0.35">
      <c r="B278" s="136"/>
      <c r="C278" s="1" t="s">
        <v>24</v>
      </c>
      <c r="D278" s="132">
        <f>IFERROR(VLOOKUP(D$4,Flu!$AO$4:$AW$17,8,FALSE),"")</f>
        <v>2.4285714285714284</v>
      </c>
      <c r="E278" s="132">
        <f>IFERROR(VLOOKUP(E$4,Flu!$AO$4:$AW$17,8,FALSE),"")</f>
        <v>1.8571428571428572</v>
      </c>
      <c r="F278" s="132">
        <f>IFERROR(VLOOKUP(F$4,Flu!$AO$4:$AW$17,8,FALSE),"")</f>
        <v>4.1428571428571432</v>
      </c>
      <c r="G278" s="132">
        <f>IFERROR(VLOOKUP(G$4,Flu!$AO$4:$AW$17,8,FALSE),"")</f>
        <v>13.142857142857142</v>
      </c>
      <c r="H278" s="132">
        <f>IFERROR(VLOOKUP(H$4,Flu!$AO$4:$AW$17,8,FALSE),"")</f>
        <v>17.142857142857142</v>
      </c>
      <c r="I278" s="132">
        <f>IFERROR(VLOOKUP(I$4,Flu!$AO$4:$AW$17,8,FALSE),"")</f>
        <v>23</v>
      </c>
      <c r="J278" s="132">
        <f>IFERROR(VLOOKUP(J$4,Flu!$AO$4:$AW$17,8,FALSE),"")</f>
        <v>22.428571428571427</v>
      </c>
      <c r="K278" s="132">
        <f>IFERROR(VLOOKUP(K$4,Flu!$AO$4:$AW$17,8,FALSE),"")</f>
        <v>15.428571428571429</v>
      </c>
      <c r="L278" s="132" t="str">
        <f>IFERROR(VLOOKUP(L$4,Flu!$AO$4:$AW$17,8,FALSE),"")</f>
        <v/>
      </c>
      <c r="M278" s="132" t="str">
        <f>IFERROR(VLOOKUP(M$4,Flu!$AO$4:$AW$17,8,FALSE),"")</f>
        <v/>
      </c>
      <c r="N278" s="132" t="str">
        <f>IFERROR(VLOOKUP(N$4,Flu!$AO$4:$AW$17,8,FALSE),"")</f>
        <v/>
      </c>
      <c r="O278" s="132" t="str">
        <f>IFERROR(VLOOKUP(O$4,Flu!$AO$4:$AW$17,8,FALSE),"")</f>
        <v/>
      </c>
      <c r="P278" s="132" t="str">
        <f>IFERROR(VLOOKUP(P$4,Flu!$AO$4:$AW$17,8,FALSE),"")</f>
        <v/>
      </c>
      <c r="Q278" s="132" t="str">
        <f>IFERROR(VLOOKUP(Q$4,Flu!$AO$4:$AW$17,8,FALSE),"")</f>
        <v/>
      </c>
    </row>
    <row r="279" spans="2:30" x14ac:dyDescent="0.35">
      <c r="B279" s="136"/>
      <c r="C279" s="1" t="s">
        <v>25</v>
      </c>
      <c r="D279" s="132">
        <f>IFERROR(VLOOKUP(D$4,Flu!$AO$4:$AW$17,5,FALSE),"")</f>
        <v>12</v>
      </c>
      <c r="E279" s="132">
        <f>IFERROR(VLOOKUP(E$4,Flu!$AO$4:$AW$17,5,FALSE),"")</f>
        <v>18.714285714285715</v>
      </c>
      <c r="F279" s="132">
        <f>IFERROR(VLOOKUP(F$4,Flu!$AO$4:$AW$17,5,FALSE),"")</f>
        <v>32.857142857142854</v>
      </c>
      <c r="G279" s="132">
        <f>IFERROR(VLOOKUP(G$4,Flu!$AO$4:$AW$17,5,FALSE),"")</f>
        <v>44.857142857142854</v>
      </c>
      <c r="H279" s="132">
        <f>IFERROR(VLOOKUP(H$4,Flu!$AO$4:$AW$17,5,FALSE),"")</f>
        <v>41.571428571428569</v>
      </c>
      <c r="I279" s="132">
        <f>IFERROR(VLOOKUP(I$4,Flu!$AO$4:$AW$17,5,FALSE),"")</f>
        <v>49.714285714285715</v>
      </c>
      <c r="J279" s="132">
        <f>IFERROR(VLOOKUP(J$4,Flu!$AO$4:$AW$17,5,FALSE),"")</f>
        <v>44.714285714285715</v>
      </c>
      <c r="K279" s="132">
        <f>IFERROR(VLOOKUP(K$4,Flu!$AO$4:$AW$17,5,FALSE),"")</f>
        <v>28.285714285714285</v>
      </c>
      <c r="L279" s="132" t="str">
        <f>IFERROR(VLOOKUP(L$4,Flu!$AO$4:$AW$17,5,FALSE),"")</f>
        <v/>
      </c>
      <c r="M279" s="132" t="str">
        <f>IFERROR(VLOOKUP(M$4,Flu!$AO$4:$AW$17,5,FALSE),"")</f>
        <v/>
      </c>
      <c r="N279" s="132" t="str">
        <f>IFERROR(VLOOKUP(N$4,Flu!$AO$4:$AW$17,5,FALSE),"")</f>
        <v/>
      </c>
      <c r="O279" s="132" t="str">
        <f>IFERROR(VLOOKUP(O$4,Flu!$AO$4:$AW$17,5,FALSE),"")</f>
        <v/>
      </c>
      <c r="P279" s="132" t="str">
        <f>IFERROR(VLOOKUP(P$4,Flu!$AO$4:$AW$17,5,FALSE),"")</f>
        <v/>
      </c>
      <c r="Q279" s="132" t="str">
        <f>IFERROR(VLOOKUP(Q$4,Flu!$AO$4:$AW$17,5,FALSE),"")</f>
        <v/>
      </c>
    </row>
    <row r="280" spans="2:30" x14ac:dyDescent="0.35">
      <c r="B280" s="136"/>
      <c r="C280" s="1" t="s">
        <v>37</v>
      </c>
      <c r="D280" s="132">
        <f>IFERROR(VLOOKUP(D$4,Flu!$AO$4:$AW$17,9,FALSE),"")</f>
        <v>3.8571428571428572</v>
      </c>
      <c r="E280" s="132">
        <f>IFERROR(VLOOKUP(E$4,Flu!$AO$4:$AW$17,9,FALSE),"")</f>
        <v>6.7142857142857144</v>
      </c>
      <c r="F280" s="132">
        <f>IFERROR(VLOOKUP(F$4,Flu!$AO$4:$AW$17,9,FALSE),"")</f>
        <v>9.8571428571428577</v>
      </c>
      <c r="G280" s="132">
        <f>IFERROR(VLOOKUP(G$4,Flu!$AO$4:$AW$17,9,FALSE),"")</f>
        <v>16.142857142857142</v>
      </c>
      <c r="H280" s="132">
        <f>IFERROR(VLOOKUP(H$4,Flu!$AO$4:$AW$17,9,FALSE),"")</f>
        <v>22.857142857142858</v>
      </c>
      <c r="I280" s="132">
        <f>IFERROR(VLOOKUP(I$4,Flu!$AO$4:$AW$17,9,FALSE),"")</f>
        <v>38.428571428571431</v>
      </c>
      <c r="J280" s="132">
        <f>IFERROR(VLOOKUP(J$4,Flu!$AO$4:$AW$17,9,FALSE),"")</f>
        <v>25.714285714285715</v>
      </c>
      <c r="K280" s="132">
        <f>IFERROR(VLOOKUP(K$4,Flu!$AO$4:$AW$17,9,FALSE),"")</f>
        <v>18.714285714285715</v>
      </c>
      <c r="L280" s="132" t="str">
        <f>IFERROR(VLOOKUP(L$4,Flu!$AO$4:$AW$17,9,FALSE),"")</f>
        <v/>
      </c>
      <c r="M280" s="132" t="str">
        <f>IFERROR(VLOOKUP(M$4,Flu!$AO$4:$AW$17,9,FALSE),"")</f>
        <v/>
      </c>
      <c r="N280" s="132" t="str">
        <f>IFERROR(VLOOKUP(N$4,Flu!$AO$4:$AW$17,9,FALSE),"")</f>
        <v/>
      </c>
      <c r="O280" s="132" t="str">
        <f>IFERROR(VLOOKUP(O$4,Flu!$AO$4:$AW$17,9,FALSE),"")</f>
        <v/>
      </c>
      <c r="P280" s="132" t="str">
        <f>IFERROR(VLOOKUP(P$4,Flu!$AO$4:$AW$17,9,FALSE),"")</f>
        <v/>
      </c>
      <c r="Q280" s="132" t="str">
        <f>IFERROR(VLOOKUP(Q$4,Flu!$AO$4:$AW$17,9,FALSE),"")</f>
        <v/>
      </c>
    </row>
    <row r="281" spans="2:30" x14ac:dyDescent="0.35">
      <c r="B281" s="136"/>
      <c r="C281" s="1" t="s">
        <v>27</v>
      </c>
      <c r="D281" s="132">
        <f>IFERROR(VLOOKUP(D$4,Flu!$AO$4:$AW$17,6,FALSE),"")</f>
        <v>4</v>
      </c>
      <c r="E281" s="132">
        <f>IFERROR(VLOOKUP(E$4,Flu!$AO$4:$AW$17,6,FALSE),"")</f>
        <v>5</v>
      </c>
      <c r="F281" s="132">
        <f>IFERROR(VLOOKUP(F$4,Flu!$AO$4:$AW$17,6,FALSE),"")</f>
        <v>10.142857142857142</v>
      </c>
      <c r="G281" s="132">
        <f>IFERROR(VLOOKUP(G$4,Flu!$AO$4:$AW$17,6,FALSE),"")</f>
        <v>22</v>
      </c>
      <c r="H281" s="132">
        <f>IFERROR(VLOOKUP(H$4,Flu!$AO$4:$AW$17,6,FALSE),"")</f>
        <v>25.571428571428573</v>
      </c>
      <c r="I281" s="132">
        <f>IFERROR(VLOOKUP(I$4,Flu!$AO$4:$AW$17,6,FALSE),"")</f>
        <v>32.428571428571431</v>
      </c>
      <c r="J281" s="132">
        <f>IFERROR(VLOOKUP(J$4,Flu!$AO$4:$AW$17,6,FALSE),"")</f>
        <v>31.714285714285715</v>
      </c>
      <c r="K281" s="132">
        <f>IFERROR(VLOOKUP(K$4,Flu!$AO$4:$AW$17,6,FALSE),"")</f>
        <v>28.571428571428573</v>
      </c>
      <c r="L281" s="132" t="str">
        <f>IFERROR(VLOOKUP(L$4,Flu!$AO$4:$AW$17,6,FALSE),"")</f>
        <v/>
      </c>
      <c r="M281" s="132" t="str">
        <f>IFERROR(VLOOKUP(M$4,Flu!$AO$4:$AW$17,6,FALSE),"")</f>
        <v/>
      </c>
      <c r="N281" s="132" t="str">
        <f>IFERROR(VLOOKUP(N$4,Flu!$AO$4:$AW$17,6,FALSE),"")</f>
        <v/>
      </c>
      <c r="O281" s="132" t="str">
        <f>IFERROR(VLOOKUP(O$4,Flu!$AO$4:$AW$17,6,FALSE),"")</f>
        <v/>
      </c>
      <c r="P281" s="132" t="str">
        <f>IFERROR(VLOOKUP(P$4,Flu!$AO$4:$AW$17,6,FALSE),"")</f>
        <v/>
      </c>
      <c r="Q281" s="132" t="str">
        <f>IFERROR(VLOOKUP(Q$4,Flu!$AO$4:$AW$17,6,FALSE),"")</f>
        <v/>
      </c>
    </row>
    <row r="282" spans="2:30" x14ac:dyDescent="0.35">
      <c r="B282" s="136"/>
      <c r="C282" s="1" t="s">
        <v>62</v>
      </c>
      <c r="D282" s="132">
        <f>IFERROR(VLOOKUP(D$4,Flu!$AO$4:$AW$17,7,FALSE),"")</f>
        <v>2</v>
      </c>
      <c r="E282" s="132">
        <f>IFERROR(VLOOKUP(E$4,Flu!$AO$4:$AW$17,7,FALSE),"")</f>
        <v>9.1428571428571423</v>
      </c>
      <c r="F282" s="132">
        <f>IFERROR(VLOOKUP(F$4,Flu!$AO$4:$AW$17,7,FALSE),"")</f>
        <v>14</v>
      </c>
      <c r="G282" s="132">
        <f>IFERROR(VLOOKUP(G$4,Flu!$AO$4:$AW$17,7,FALSE),"")</f>
        <v>14.857142857142858</v>
      </c>
      <c r="H282" s="132">
        <f>IFERROR(VLOOKUP(H$4,Flu!$AO$4:$AW$17,7,FALSE),"")</f>
        <v>17.571428571428573</v>
      </c>
      <c r="I282" s="132">
        <f>IFERROR(VLOOKUP(I$4,Flu!$AO$4:$AW$17,7,FALSE),"")</f>
        <v>27</v>
      </c>
      <c r="J282" s="132">
        <f>IFERROR(VLOOKUP(J$4,Flu!$AO$4:$AW$17,7,FALSE),"")</f>
        <v>26.428571428571427</v>
      </c>
      <c r="K282" s="132">
        <f>IFERROR(VLOOKUP(K$4,Flu!$AO$4:$AW$17,7,FALSE),"")</f>
        <v>22.285714285714285</v>
      </c>
      <c r="L282" s="132" t="str">
        <f>IFERROR(VLOOKUP(L$4,Flu!$AO$4:$AW$17,7,FALSE),"")</f>
        <v/>
      </c>
      <c r="M282" s="132" t="str">
        <f>IFERROR(VLOOKUP(M$4,Flu!$AO$4:$AW$17,7,FALSE),"")</f>
        <v/>
      </c>
      <c r="N282" s="132" t="str">
        <f>IFERROR(VLOOKUP(N$4,Flu!$AO$4:$AW$17,7,FALSE),"")</f>
        <v/>
      </c>
      <c r="O282" s="132" t="str">
        <f>IFERROR(VLOOKUP(O$4,Flu!$AO$4:$AW$17,7,FALSE),"")</f>
        <v/>
      </c>
      <c r="P282" s="132" t="str">
        <f>IFERROR(VLOOKUP(P$4,Flu!$AO$4:$AW$17,7,FALSE),"")</f>
        <v/>
      </c>
      <c r="Q282" s="132" t="str">
        <f>IFERROR(VLOOKUP(Q$4,Flu!$AO$4:$AW$17,7,FALSE),"")</f>
        <v/>
      </c>
    </row>
    <row r="283" spans="2:30" x14ac:dyDescent="0.35">
      <c r="B283" s="136"/>
    </row>
    <row r="286" spans="2:30" ht="14.5" customHeight="1" x14ac:dyDescent="0.35">
      <c r="B286" s="136" t="s">
        <v>94</v>
      </c>
      <c r="C286" s="9" t="s">
        <v>95</v>
      </c>
      <c r="D286" s="83">
        <v>138.42857142857142</v>
      </c>
      <c r="E286" s="83">
        <v>126.57142857142857</v>
      </c>
      <c r="F286" s="83">
        <v>110.28571428571429</v>
      </c>
      <c r="G286" s="83">
        <v>103.42857142857143</v>
      </c>
      <c r="H286" s="83">
        <v>88.142857142857139</v>
      </c>
      <c r="I286" s="83">
        <v>64.857142857142861</v>
      </c>
      <c r="J286" s="83">
        <v>47</v>
      </c>
      <c r="K286" s="83">
        <v>30.714285714285715</v>
      </c>
      <c r="L286" s="83">
        <v>30.285714285714285</v>
      </c>
      <c r="M286" s="83">
        <v>24.857142857142858</v>
      </c>
      <c r="N286" s="83">
        <v>23.142857142857142</v>
      </c>
      <c r="O286" s="83">
        <v>16.142857142857142</v>
      </c>
      <c r="P286" s="83">
        <v>8.4285714285714288</v>
      </c>
      <c r="Q286" s="83">
        <v>9.8571428571428577</v>
      </c>
      <c r="AA286" s="135" t="s">
        <v>96</v>
      </c>
      <c r="AB286" s="135"/>
      <c r="AC286" s="135"/>
      <c r="AD286" s="135"/>
    </row>
    <row r="287" spans="2:30" ht="14.5" customHeight="1" x14ac:dyDescent="0.35">
      <c r="B287" s="136"/>
      <c r="C287" s="1" t="s">
        <v>18</v>
      </c>
      <c r="D287" s="25">
        <v>162.42857142857142</v>
      </c>
      <c r="E287" s="25">
        <v>124</v>
      </c>
      <c r="F287" s="25">
        <v>108.71428571428571</v>
      </c>
      <c r="G287" s="25">
        <v>78.285714285714292</v>
      </c>
      <c r="H287" s="25">
        <v>51.714285714285715</v>
      </c>
      <c r="I287" s="25">
        <v>54.142857142857146</v>
      </c>
      <c r="J287" s="25">
        <v>29.714285714285715</v>
      </c>
      <c r="K287" s="25">
        <v>16.571428571428573</v>
      </c>
      <c r="L287" s="25">
        <v>20.857142857142858</v>
      </c>
      <c r="M287" s="25">
        <v>21.571428571428573</v>
      </c>
      <c r="N287" s="25">
        <v>18.142857142857142</v>
      </c>
      <c r="O287" s="25">
        <v>11.142857142857142</v>
      </c>
      <c r="P287" s="121">
        <v>10.285714285714286</v>
      </c>
      <c r="Q287" s="94">
        <v>9.2857142857142865</v>
      </c>
      <c r="AA287" s="135"/>
      <c r="AB287" s="135"/>
      <c r="AC287" s="135"/>
      <c r="AD287" s="135"/>
    </row>
    <row r="288" spans="2:30" ht="8.15" customHeight="1" x14ac:dyDescent="0.35">
      <c r="B288" s="136"/>
      <c r="C288" s="9"/>
      <c r="AA288" s="135"/>
      <c r="AB288" s="135"/>
      <c r="AC288" s="135"/>
      <c r="AD288" s="135"/>
    </row>
    <row r="289" spans="2:30" x14ac:dyDescent="0.35">
      <c r="B289" s="136"/>
      <c r="C289" s="13" t="s">
        <v>20</v>
      </c>
      <c r="D289" s="49">
        <f>IFERROR(VLOOKUP(D$4,RSV!$R$4:$Z$17,2,FALSE),"")</f>
        <v>148.57142857142858</v>
      </c>
      <c r="E289" s="49">
        <f>IFERROR(VLOOKUP(E$4,RSV!$R$4:$Z$17,2,FALSE),"")</f>
        <v>162.42857142857142</v>
      </c>
      <c r="F289" s="49">
        <f>IFERROR(VLOOKUP(F$4,RSV!$R$4:$Z$17,2,FALSE),"")</f>
        <v>136.42857142857142</v>
      </c>
      <c r="G289" s="49">
        <f>IFERROR(VLOOKUP(G$4,RSV!$R$4:$Z$17,2,FALSE),"")</f>
        <v>94.285714285714292</v>
      </c>
      <c r="H289" s="49">
        <f>IFERROR(VLOOKUP(H$4,RSV!$R$4:$Z$17,2,FALSE),"")</f>
        <v>84</v>
      </c>
      <c r="I289" s="49">
        <f>IFERROR(VLOOKUP(I$4,RSV!$R$4:$Z$17,2,FALSE),"")</f>
        <v>78.142857142857139</v>
      </c>
      <c r="J289" s="49">
        <f>IFERROR(VLOOKUP(J$4,RSV!$R$4:$Z$17,2,FALSE),"")</f>
        <v>58.714285714285715</v>
      </c>
      <c r="K289" s="49">
        <f>IFERROR(VLOOKUP(K$4,RSV!$R$4:$Z$17,2,FALSE),"")</f>
        <v>34.428571428571431</v>
      </c>
      <c r="L289" s="49" t="str">
        <f>IFERROR(VLOOKUP(L$4,RSV!$R$4:$Z$17,2,FALSE),"")</f>
        <v/>
      </c>
      <c r="M289" s="49" t="str">
        <f>IFERROR(VLOOKUP(M$4,RSV!$R$4:$Z$17,2,FALSE),"")</f>
        <v/>
      </c>
      <c r="N289" s="49" t="str">
        <f>IFERROR(VLOOKUP(N$4,RSV!$R$4:$Z$17,2,FALSE),"")</f>
        <v/>
      </c>
      <c r="O289" s="49" t="str">
        <f>IFERROR(VLOOKUP(O$4,RSV!$R$4:$Z$17,2,FALSE),"")</f>
        <v/>
      </c>
      <c r="P289" s="49" t="str">
        <f>IFERROR(VLOOKUP(P$4,RSV!$R$4:$Z$17,2,FALSE),"")</f>
        <v/>
      </c>
      <c r="Q289" s="49" t="str">
        <f>IFERROR(VLOOKUP(Q$4,RSV!$R$4:$Z$17,2,FALSE),"")</f>
        <v/>
      </c>
      <c r="AA289" s="135"/>
      <c r="AB289" s="135"/>
      <c r="AC289" s="135"/>
      <c r="AD289" s="135"/>
    </row>
    <row r="290" spans="2:30" x14ac:dyDescent="0.35">
      <c r="B290" s="136"/>
      <c r="C290" s="1" t="s">
        <v>21</v>
      </c>
      <c r="D290" s="132">
        <f>IFERROR(VLOOKUP(D$4,RSV!$R$4:$Z$17,3,FALSE),"")</f>
        <v>18.571428571428573</v>
      </c>
      <c r="E290" s="132">
        <f>IFERROR(VLOOKUP(E$4,RSV!$R$4:$Z$17,3,FALSE),"")</f>
        <v>22.571428571428573</v>
      </c>
      <c r="F290" s="132">
        <f>IFERROR(VLOOKUP(F$4,RSV!$R$4:$Z$17,3,FALSE),"")</f>
        <v>13.714285714285714</v>
      </c>
      <c r="G290" s="132">
        <f>IFERROR(VLOOKUP(G$4,RSV!$R$4:$Z$17,3,FALSE),"")</f>
        <v>11.571428571428571</v>
      </c>
      <c r="H290" s="132">
        <f>IFERROR(VLOOKUP(H$4,RSV!$R$4:$Z$17,3,FALSE),"")</f>
        <v>13.714285714285714</v>
      </c>
      <c r="I290" s="132">
        <f>IFERROR(VLOOKUP(I$4,RSV!$R$4:$Z$17,3,FALSE),"")</f>
        <v>4</v>
      </c>
      <c r="J290" s="132">
        <f>IFERROR(VLOOKUP(J$4,RSV!$R$4:$Z$17,3,FALSE),"")</f>
        <v>5.5714285714285712</v>
      </c>
      <c r="K290" s="132">
        <f>IFERROR(VLOOKUP(K$4,RSV!$R$4:$Z$17,3,FALSE),"")</f>
        <v>1.8571428571428572</v>
      </c>
      <c r="L290" s="132" t="str">
        <f>IFERROR(VLOOKUP(L$4,RSV!$R$4:$Z$17,3,FALSE),"")</f>
        <v/>
      </c>
      <c r="M290" s="132" t="str">
        <f>IFERROR(VLOOKUP(M$4,RSV!$R$4:$Z$17,3,FALSE),"")</f>
        <v/>
      </c>
      <c r="N290" s="132" t="str">
        <f>IFERROR(VLOOKUP(N$4,RSV!$R$4:$Z$17,3,FALSE),"")</f>
        <v/>
      </c>
      <c r="O290" s="132" t="str">
        <f>IFERROR(VLOOKUP(O$4,RSV!$R$4:$Z$17,3,FALSE),"")</f>
        <v/>
      </c>
      <c r="P290" s="132" t="str">
        <f>IFERROR(VLOOKUP(P$4,RSV!$R$4:$Z$17,3,FALSE),"")</f>
        <v/>
      </c>
      <c r="Q290" s="132" t="str">
        <f>IFERROR(VLOOKUP(Q$4,RSV!$R$4:$Z$17,3,FALSE),"")</f>
        <v/>
      </c>
      <c r="AA290" s="135"/>
      <c r="AB290" s="135"/>
      <c r="AC290" s="135"/>
      <c r="AD290" s="135"/>
    </row>
    <row r="291" spans="2:30" x14ac:dyDescent="0.35">
      <c r="B291" s="136"/>
      <c r="C291" s="1" t="s">
        <v>22</v>
      </c>
      <c r="D291" s="132">
        <f>IFERROR(VLOOKUP(D$4,RSV!$R$4:$Z$17,4,FALSE),"")</f>
        <v>32.142857142857146</v>
      </c>
      <c r="E291" s="132">
        <f>IFERROR(VLOOKUP(E$4,RSV!$R$4:$Z$17,4,FALSE),"")</f>
        <v>27.142857142857142</v>
      </c>
      <c r="F291" s="132">
        <f>IFERROR(VLOOKUP(F$4,RSV!$R$4:$Z$17,4,FALSE),"")</f>
        <v>19.142857142857142</v>
      </c>
      <c r="G291" s="132">
        <f>IFERROR(VLOOKUP(G$4,RSV!$R$4:$Z$17,4,FALSE),"")</f>
        <v>10.285714285714286</v>
      </c>
      <c r="H291" s="132">
        <f>IFERROR(VLOOKUP(H$4,RSV!$R$4:$Z$17,4,FALSE),"")</f>
        <v>10.857142857142858</v>
      </c>
      <c r="I291" s="132">
        <f>IFERROR(VLOOKUP(I$4,RSV!$R$4:$Z$17,4,FALSE),"")</f>
        <v>3</v>
      </c>
      <c r="J291" s="132">
        <f>IFERROR(VLOOKUP(J$4,RSV!$R$4:$Z$17,4,FALSE),"")</f>
        <v>5.1428571428571432</v>
      </c>
      <c r="K291" s="132">
        <f>IFERROR(VLOOKUP(K$4,RSV!$R$4:$Z$17,4,FALSE),"")</f>
        <v>2</v>
      </c>
      <c r="L291" s="132" t="str">
        <f>IFERROR(VLOOKUP(L$4,RSV!$R$4:$Z$17,4,FALSE),"")</f>
        <v/>
      </c>
      <c r="M291" s="132" t="str">
        <f>IFERROR(VLOOKUP(M$4,RSV!$R$4:$Z$17,4,FALSE),"")</f>
        <v/>
      </c>
      <c r="N291" s="132" t="str">
        <f>IFERROR(VLOOKUP(N$4,RSV!$R$4:$Z$17,4,FALSE),"")</f>
        <v/>
      </c>
      <c r="O291" s="132" t="str">
        <f>IFERROR(VLOOKUP(O$4,RSV!$R$4:$Z$17,4,FALSE),"")</f>
        <v/>
      </c>
      <c r="P291" s="132" t="str">
        <f>IFERROR(VLOOKUP(P$4,RSV!$R$4:$Z$17,4,FALSE),"")</f>
        <v/>
      </c>
      <c r="Q291" s="132" t="str">
        <f>IFERROR(VLOOKUP(Q$4,RSV!$R$4:$Z$17,4,FALSE),"")</f>
        <v/>
      </c>
      <c r="AA291" s="135"/>
      <c r="AB291" s="135"/>
      <c r="AC291" s="135"/>
      <c r="AD291" s="135"/>
    </row>
    <row r="292" spans="2:30" x14ac:dyDescent="0.35">
      <c r="B292" s="136"/>
      <c r="C292" s="1" t="s">
        <v>24</v>
      </c>
      <c r="D292" s="132">
        <f>IFERROR(VLOOKUP(D$4,RSV!$R$4:$Z$17,8,FALSE),"")</f>
        <v>13.428571428571429</v>
      </c>
      <c r="E292" s="132">
        <f>IFERROR(VLOOKUP(E$4,RSV!$R$4:$Z$17,8,FALSE),"")</f>
        <v>18.428571428571427</v>
      </c>
      <c r="F292" s="132">
        <f>IFERROR(VLOOKUP(F$4,RSV!$R$4:$Z$17,8,FALSE),"")</f>
        <v>18.714285714285715</v>
      </c>
      <c r="G292" s="132">
        <f>IFERROR(VLOOKUP(G$4,RSV!$R$4:$Z$17,8,FALSE),"")</f>
        <v>17.428571428571427</v>
      </c>
      <c r="H292" s="132">
        <f>IFERROR(VLOOKUP(H$4,RSV!$R$4:$Z$17,8,FALSE),"")</f>
        <v>6</v>
      </c>
      <c r="I292" s="132">
        <f>IFERROR(VLOOKUP(I$4,RSV!$R$4:$Z$17,8,FALSE),"")</f>
        <v>8.1428571428571423</v>
      </c>
      <c r="J292" s="132">
        <f>IFERROR(VLOOKUP(J$4,RSV!$R$4:$Z$17,8,FALSE),"")</f>
        <v>2.2857142857142856</v>
      </c>
      <c r="K292" s="132">
        <f>IFERROR(VLOOKUP(K$4,RSV!$R$4:$Z$17,8,FALSE),"")</f>
        <v>1.2857142857142858</v>
      </c>
      <c r="L292" s="132" t="str">
        <f>IFERROR(VLOOKUP(L$4,RSV!$R$4:$Z$17,8,FALSE),"")</f>
        <v/>
      </c>
      <c r="M292" s="132" t="str">
        <f>IFERROR(VLOOKUP(M$4,RSV!$R$4:$Z$17,8,FALSE),"")</f>
        <v/>
      </c>
      <c r="N292" s="132" t="str">
        <f>IFERROR(VLOOKUP(N$4,RSV!$R$4:$Z$17,8,FALSE),"")</f>
        <v/>
      </c>
      <c r="O292" s="132" t="str">
        <f>IFERROR(VLOOKUP(O$4,RSV!$R$4:$Z$17,8,FALSE),"")</f>
        <v/>
      </c>
      <c r="P292" s="132" t="str">
        <f>IFERROR(VLOOKUP(P$4,RSV!$R$4:$Z$17,8,FALSE),"")</f>
        <v/>
      </c>
      <c r="Q292" s="132" t="str">
        <f>IFERROR(VLOOKUP(Q$4,RSV!$R$4:$Z$17,8,FALSE),"")</f>
        <v/>
      </c>
      <c r="AA292" s="135"/>
      <c r="AB292" s="135"/>
      <c r="AC292" s="135"/>
      <c r="AD292" s="135"/>
    </row>
    <row r="293" spans="2:30" x14ac:dyDescent="0.35">
      <c r="B293" s="136"/>
      <c r="C293" s="1" t="s">
        <v>25</v>
      </c>
      <c r="D293" s="132">
        <f>IFERROR(VLOOKUP(D$4,RSV!$R$4:$Z$17,5,FALSE),"")</f>
        <v>43.142857142857146</v>
      </c>
      <c r="E293" s="132">
        <f>IFERROR(VLOOKUP(E$4,RSV!$R$4:$Z$17,5,FALSE),"")</f>
        <v>50.857142857142854</v>
      </c>
      <c r="F293" s="132">
        <f>IFERROR(VLOOKUP(F$4,RSV!$R$4:$Z$17,5,FALSE),"")</f>
        <v>43.571428571428569</v>
      </c>
      <c r="G293" s="132">
        <f>IFERROR(VLOOKUP(G$4,RSV!$R$4:$Z$17,5,FALSE),"")</f>
        <v>30</v>
      </c>
      <c r="H293" s="132">
        <f>IFERROR(VLOOKUP(H$4,RSV!$R$4:$Z$17,5,FALSE),"")</f>
        <v>18.285714285714285</v>
      </c>
      <c r="I293" s="132">
        <f>IFERROR(VLOOKUP(I$4,RSV!$R$4:$Z$17,5,FALSE),"")</f>
        <v>15.285714285714286</v>
      </c>
      <c r="J293" s="132">
        <f>IFERROR(VLOOKUP(J$4,RSV!$R$4:$Z$17,5,FALSE),"")</f>
        <v>10.857142857142858</v>
      </c>
      <c r="K293" s="132">
        <f>IFERROR(VLOOKUP(K$4,RSV!$R$4:$Z$17,5,FALSE),"")</f>
        <v>5.8571428571428568</v>
      </c>
      <c r="L293" s="132" t="str">
        <f>IFERROR(VLOOKUP(L$4,RSV!$R$4:$Z$17,5,FALSE),"")</f>
        <v/>
      </c>
      <c r="M293" s="132" t="str">
        <f>IFERROR(VLOOKUP(M$4,RSV!$R$4:$Z$17,5,FALSE),"")</f>
        <v/>
      </c>
      <c r="N293" s="132" t="str">
        <f>IFERROR(VLOOKUP(N$4,RSV!$R$4:$Z$17,5,FALSE),"")</f>
        <v/>
      </c>
      <c r="O293" s="132" t="str">
        <f>IFERROR(VLOOKUP(O$4,RSV!$R$4:$Z$17,5,FALSE),"")</f>
        <v/>
      </c>
      <c r="P293" s="132" t="str">
        <f>IFERROR(VLOOKUP(P$4,RSV!$R$4:$Z$17,5,FALSE),"")</f>
        <v/>
      </c>
      <c r="Q293" s="132" t="str">
        <f>IFERROR(VLOOKUP(Q$4,RSV!$R$4:$Z$17,5,FALSE),"")</f>
        <v/>
      </c>
      <c r="AA293" s="135"/>
      <c r="AB293" s="135"/>
      <c r="AC293" s="135"/>
      <c r="AD293" s="135"/>
    </row>
    <row r="294" spans="2:30" x14ac:dyDescent="0.35">
      <c r="B294" s="136"/>
      <c r="C294" s="1" t="s">
        <v>37</v>
      </c>
      <c r="D294" s="132">
        <f>IFERROR(VLOOKUP(D$4,RSV!$R$4:$Z$17,9,FALSE),"")</f>
        <v>4.8571428571428568</v>
      </c>
      <c r="E294" s="132">
        <f>IFERROR(VLOOKUP(E$4,RSV!$R$4:$Z$17,9,FALSE),"")</f>
        <v>5.4285714285714288</v>
      </c>
      <c r="F294" s="132">
        <f>IFERROR(VLOOKUP(F$4,RSV!$R$4:$Z$17,9,FALSE),"")</f>
        <v>3.1428571428571428</v>
      </c>
      <c r="G294" s="132">
        <f>IFERROR(VLOOKUP(G$4,RSV!$R$4:$Z$17,9,FALSE),"")</f>
        <v>4</v>
      </c>
      <c r="H294" s="132">
        <f>IFERROR(VLOOKUP(H$4,RSV!$R$4:$Z$17,9,FALSE),"")</f>
        <v>1.2857142857142858</v>
      </c>
      <c r="I294" s="132">
        <f>IFERROR(VLOOKUP(I$4,RSV!$R$4:$Z$17,9,FALSE),"")</f>
        <v>2</v>
      </c>
      <c r="J294" s="132">
        <f>IFERROR(VLOOKUP(J$4,RSV!$R$4:$Z$17,9,FALSE),"")</f>
        <v>0.5714285714285714</v>
      </c>
      <c r="K294" s="132">
        <f>IFERROR(VLOOKUP(K$4,RSV!$R$4:$Z$17,9,FALSE),"")</f>
        <v>0</v>
      </c>
      <c r="L294" s="132" t="str">
        <f>IFERROR(VLOOKUP(L$4,RSV!$R$4:$Z$17,9,FALSE),"")</f>
        <v/>
      </c>
      <c r="M294" s="132" t="str">
        <f>IFERROR(VLOOKUP(M$4,RSV!$R$4:$Z$17,9,FALSE),"")</f>
        <v/>
      </c>
      <c r="N294" s="132" t="str">
        <f>IFERROR(VLOOKUP(N$4,RSV!$R$4:$Z$17,9,FALSE),"")</f>
        <v/>
      </c>
      <c r="O294" s="132" t="str">
        <f>IFERROR(VLOOKUP(O$4,RSV!$R$4:$Z$17,9,FALSE),"")</f>
        <v/>
      </c>
      <c r="P294" s="132" t="str">
        <f>IFERROR(VLOOKUP(P$4,RSV!$R$4:$Z$17,9,FALSE),"")</f>
        <v/>
      </c>
      <c r="Q294" s="132" t="str">
        <f>IFERROR(VLOOKUP(Q$4,RSV!$R$4:$Z$17,9,FALSE),"")</f>
        <v/>
      </c>
      <c r="AA294" s="135"/>
      <c r="AB294" s="135"/>
      <c r="AC294" s="135"/>
      <c r="AD294" s="135"/>
    </row>
    <row r="295" spans="2:30" x14ac:dyDescent="0.35">
      <c r="B295" s="136"/>
      <c r="C295" s="1" t="s">
        <v>27</v>
      </c>
      <c r="D295" s="132">
        <f>IFERROR(VLOOKUP(D$4,RSV!$R$4:$Z$17,6,FALSE),"")</f>
        <v>20.142857142857142</v>
      </c>
      <c r="E295" s="132">
        <f>IFERROR(VLOOKUP(E$4,RSV!$R$4:$Z$17,6,FALSE),"")</f>
        <v>21.571428571428573</v>
      </c>
      <c r="F295" s="132">
        <f>IFERROR(VLOOKUP(F$4,RSV!$R$4:$Z$17,6,FALSE),"")</f>
        <v>30.571428571428573</v>
      </c>
      <c r="G295" s="132">
        <f>IFERROR(VLOOKUP(G$4,RSV!$R$4:$Z$17,6,FALSE),"")</f>
        <v>15.285714285714286</v>
      </c>
      <c r="H295" s="132">
        <f>IFERROR(VLOOKUP(H$4,RSV!$R$4:$Z$17,6,FALSE),"")</f>
        <v>24.571428571428573</v>
      </c>
      <c r="I295" s="132">
        <f>IFERROR(VLOOKUP(I$4,RSV!$R$4:$Z$17,6,FALSE),"")</f>
        <v>36.714285714285715</v>
      </c>
      <c r="J295" s="132">
        <f>IFERROR(VLOOKUP(J$4,RSV!$R$4:$Z$17,6,FALSE),"")</f>
        <v>28.857142857142858</v>
      </c>
      <c r="K295" s="132">
        <f>IFERROR(VLOOKUP(K$4,RSV!$R$4:$Z$17,6,FALSE),"")</f>
        <v>19</v>
      </c>
      <c r="L295" s="132" t="str">
        <f>IFERROR(VLOOKUP(L$4,RSV!$R$4:$Z$17,6,FALSE),"")</f>
        <v/>
      </c>
      <c r="M295" s="132" t="str">
        <f>IFERROR(VLOOKUP(M$4,RSV!$R$4:$Z$17,6,FALSE),"")</f>
        <v/>
      </c>
      <c r="N295" s="132" t="str">
        <f>IFERROR(VLOOKUP(N$4,RSV!$R$4:$Z$17,6,FALSE),"")</f>
        <v/>
      </c>
      <c r="O295" s="132" t="str">
        <f>IFERROR(VLOOKUP(O$4,RSV!$R$4:$Z$17,6,FALSE),"")</f>
        <v/>
      </c>
      <c r="P295" s="132" t="str">
        <f>IFERROR(VLOOKUP(P$4,RSV!$R$4:$Z$17,6,FALSE),"")</f>
        <v/>
      </c>
      <c r="Q295" s="132" t="str">
        <f>IFERROR(VLOOKUP(Q$4,RSV!$R$4:$Z$17,6,FALSE),"")</f>
        <v/>
      </c>
      <c r="AA295" s="135"/>
      <c r="AB295" s="135"/>
      <c r="AC295" s="135"/>
      <c r="AD295" s="135"/>
    </row>
    <row r="296" spans="2:30" x14ac:dyDescent="0.35">
      <c r="B296" s="136"/>
      <c r="C296" s="1" t="s">
        <v>62</v>
      </c>
      <c r="D296" s="132">
        <f>IFERROR(VLOOKUP(D$4,RSV!$R$4:$Z$17,7,FALSE),"")</f>
        <v>16.285714285714285</v>
      </c>
      <c r="E296" s="132">
        <f>IFERROR(VLOOKUP(E$4,RSV!$R$4:$Z$17,7,FALSE),"")</f>
        <v>16.428571428571427</v>
      </c>
      <c r="F296" s="132">
        <f>IFERROR(VLOOKUP(F$4,RSV!$R$4:$Z$17,7,FALSE),"")</f>
        <v>7.5714285714285712</v>
      </c>
      <c r="G296" s="132">
        <f>IFERROR(VLOOKUP(G$4,RSV!$R$4:$Z$17,7,FALSE),"")</f>
        <v>5.7142857142857144</v>
      </c>
      <c r="H296" s="132">
        <f>IFERROR(VLOOKUP(H$4,RSV!$R$4:$Z$17,7,FALSE),"")</f>
        <v>9.2857142857142865</v>
      </c>
      <c r="I296" s="132">
        <f>IFERROR(VLOOKUP(I$4,RSV!$R$4:$Z$17,7,FALSE),"")</f>
        <v>9</v>
      </c>
      <c r="J296" s="132">
        <f>IFERROR(VLOOKUP(J$4,RSV!$R$4:$Z$17,7,FALSE),"")</f>
        <v>5.4285714285714288</v>
      </c>
      <c r="K296" s="132">
        <f>IFERROR(VLOOKUP(K$4,RSV!$R$4:$Z$17,7,FALSE),"")</f>
        <v>4.4285714285714288</v>
      </c>
      <c r="L296" s="132" t="str">
        <f>IFERROR(VLOOKUP(L$4,RSV!$R$4:$Z$17,7,FALSE),"")</f>
        <v/>
      </c>
      <c r="M296" s="132" t="str">
        <f>IFERROR(VLOOKUP(M$4,RSV!$R$4:$Z$17,7,FALSE),"")</f>
        <v/>
      </c>
      <c r="N296" s="132" t="str">
        <f>IFERROR(VLOOKUP(N$4,RSV!$R$4:$Z$17,7,FALSE),"")</f>
        <v/>
      </c>
      <c r="O296" s="132" t="str">
        <f>IFERROR(VLOOKUP(O$4,RSV!$R$4:$Z$17,7,FALSE),"")</f>
        <v/>
      </c>
      <c r="P296" s="132" t="str">
        <f>IFERROR(VLOOKUP(P$4,RSV!$R$4:$Z$17,7,FALSE),"")</f>
        <v/>
      </c>
      <c r="Q296" s="132" t="str">
        <f>IFERROR(VLOOKUP(Q$4,RSV!$R$4:$Z$17,7,FALSE),"")</f>
        <v/>
      </c>
      <c r="AA296" s="138" t="s">
        <v>97</v>
      </c>
      <c r="AB296" s="138"/>
      <c r="AC296" s="138"/>
      <c r="AD296" s="138"/>
    </row>
    <row r="297" spans="2:30" x14ac:dyDescent="0.35">
      <c r="B297" s="136"/>
      <c r="C297" s="1"/>
      <c r="D297" s="112"/>
      <c r="E297" s="112"/>
      <c r="F297" s="112"/>
      <c r="G297" s="112"/>
      <c r="H297" s="112"/>
      <c r="I297" s="112"/>
      <c r="J297" s="112"/>
      <c r="K297" s="112"/>
      <c r="L297" s="112"/>
      <c r="M297" s="112"/>
      <c r="N297" s="112"/>
      <c r="O297" s="112"/>
      <c r="P297" s="112"/>
      <c r="Q297" s="112"/>
      <c r="R297" s="60"/>
      <c r="AA297" s="138"/>
      <c r="AB297" s="138"/>
      <c r="AC297" s="138"/>
      <c r="AD297" s="138"/>
    </row>
    <row r="298" spans="2:30" x14ac:dyDescent="0.35">
      <c r="B298" s="136"/>
      <c r="C298" s="9" t="s">
        <v>98</v>
      </c>
      <c r="D298" s="83">
        <v>6.5714285714285712</v>
      </c>
      <c r="E298" s="83">
        <v>4.7142857142857144</v>
      </c>
      <c r="F298" s="83">
        <v>9.2857142857142865</v>
      </c>
      <c r="G298" s="83">
        <v>5.2857142857142856</v>
      </c>
      <c r="H298" s="83">
        <v>4.4285714285714288</v>
      </c>
      <c r="I298" s="83">
        <v>2.2857142857142856</v>
      </c>
      <c r="J298" s="83">
        <v>1.8571428571428572</v>
      </c>
      <c r="K298" s="83">
        <v>0.7142857142857143</v>
      </c>
      <c r="L298" s="83">
        <v>0</v>
      </c>
      <c r="M298" s="83">
        <v>0.7142857142857143</v>
      </c>
      <c r="N298" s="83">
        <v>1</v>
      </c>
      <c r="O298" s="83">
        <v>0.2857142857142857</v>
      </c>
      <c r="P298" s="83">
        <v>0</v>
      </c>
      <c r="Q298" s="83">
        <v>1.1428571428571428</v>
      </c>
      <c r="R298" s="60"/>
      <c r="AA298" s="138"/>
      <c r="AB298" s="138"/>
      <c r="AC298" s="138"/>
      <c r="AD298" s="138"/>
    </row>
    <row r="299" spans="2:30" x14ac:dyDescent="0.35">
      <c r="B299" s="136"/>
      <c r="C299" s="1" t="s">
        <v>18</v>
      </c>
      <c r="D299" s="25">
        <v>16</v>
      </c>
      <c r="E299" s="25">
        <v>16.571428571428573</v>
      </c>
      <c r="F299" s="25">
        <v>15.142857142857142</v>
      </c>
      <c r="G299" s="25">
        <v>4.8571428571428568</v>
      </c>
      <c r="H299" s="25">
        <v>2</v>
      </c>
      <c r="I299" s="25">
        <v>5.2857142857142856</v>
      </c>
      <c r="J299" s="25">
        <v>2.7142857142857144</v>
      </c>
      <c r="K299" s="25">
        <v>1.1428571428571428</v>
      </c>
      <c r="L299" s="25">
        <v>1</v>
      </c>
      <c r="M299" s="25">
        <v>2.5714285714285716</v>
      </c>
      <c r="N299" s="25">
        <v>2.5714285714285716</v>
      </c>
      <c r="O299" s="25">
        <v>2.2857142857142856</v>
      </c>
      <c r="P299" s="121">
        <v>2.1428571428571428</v>
      </c>
      <c r="Q299" s="94">
        <v>1.8571428571428572</v>
      </c>
      <c r="R299" s="60"/>
      <c r="AA299" s="138"/>
      <c r="AB299" s="138"/>
      <c r="AC299" s="138"/>
      <c r="AD299" s="138"/>
    </row>
    <row r="300" spans="2:30" ht="8.5" customHeight="1" x14ac:dyDescent="0.35">
      <c r="B300" s="136"/>
      <c r="C300" s="9"/>
      <c r="R300" s="60"/>
      <c r="AA300" s="138"/>
      <c r="AB300" s="138"/>
      <c r="AC300" s="138"/>
      <c r="AD300" s="138"/>
    </row>
    <row r="301" spans="2:30" ht="14.5" customHeight="1" x14ac:dyDescent="0.35">
      <c r="B301" s="136"/>
      <c r="C301" s="13" t="s">
        <v>20</v>
      </c>
      <c r="D301" s="49">
        <f>IFERROR(VLOOKUP(D$4,RSV!$AO$4:$AW$17,2,FALSE),"")</f>
        <v>6.8571428571428568</v>
      </c>
      <c r="E301" s="49">
        <f>IFERROR(VLOOKUP(E$4,RSV!$AO$4:$AW$17,2,FALSE),"")</f>
        <v>10.428571428571429</v>
      </c>
      <c r="F301" s="49">
        <f>IFERROR(VLOOKUP(F$4,RSV!$AO$4:$AW$17,2,FALSE),"")</f>
        <v>9.1428571428571423</v>
      </c>
      <c r="G301" s="49">
        <f>IFERROR(VLOOKUP(G$4,RSV!$AO$4:$AW$17,2,FALSE),"")</f>
        <v>6.8571428571428568</v>
      </c>
      <c r="H301" s="49">
        <f>IFERROR(VLOOKUP(H$4,RSV!$AO$4:$AW$17,2,FALSE),"")</f>
        <v>10.285714285714286</v>
      </c>
      <c r="I301" s="49">
        <f>IFERROR(VLOOKUP(I$4,RSV!$AO$4:$AW$17,2,FALSE),"")</f>
        <v>6.4285714285714288</v>
      </c>
      <c r="J301" s="49">
        <f>IFERROR(VLOOKUP(J$4,RSV!$AO$4:$AW$17,2,FALSE),"")</f>
        <v>7.4285714285714288</v>
      </c>
      <c r="K301" s="49">
        <f>IFERROR(VLOOKUP(K$4,RSV!$AO$4:$AW$17,2,FALSE),"")</f>
        <v>5</v>
      </c>
      <c r="L301" s="49" t="str">
        <f>IFERROR(VLOOKUP(L$4,RSV!$AO$4:$AW$17,2,FALSE),"")</f>
        <v/>
      </c>
      <c r="M301" s="49" t="str">
        <f>IFERROR(VLOOKUP(M$4,RSV!$AO$4:$AW$17,2,FALSE),"")</f>
        <v/>
      </c>
      <c r="N301" s="49" t="str">
        <f>IFERROR(VLOOKUP(N$4,RSV!$AO$4:$AW$17,2,FALSE),"")</f>
        <v/>
      </c>
      <c r="O301" s="49" t="str">
        <f>IFERROR(VLOOKUP(O$4,RSV!$AO$4:$AW$17,2,FALSE),"")</f>
        <v/>
      </c>
      <c r="P301" s="49" t="str">
        <f>IFERROR(VLOOKUP(P$4,RSV!$AO$4:$AW$17,2,FALSE),"")</f>
        <v/>
      </c>
      <c r="Q301" s="49" t="str">
        <f>IFERROR(VLOOKUP(Q$4,RSV!$AO$4:$AW$17,2,FALSE),"")</f>
        <v/>
      </c>
      <c r="R301" s="60"/>
    </row>
    <row r="302" spans="2:30" x14ac:dyDescent="0.35">
      <c r="B302" s="136"/>
      <c r="C302" s="1" t="s">
        <v>21</v>
      </c>
      <c r="D302" s="132">
        <f>IFERROR(VLOOKUP(D$4,RSV!$AO$4:$AW$17,3,FALSE),"")</f>
        <v>1.1428571428571428</v>
      </c>
      <c r="E302" s="132">
        <f>IFERROR(VLOOKUP(E$4,RSV!$AO$4:$AW$17,3,FALSE),"")</f>
        <v>1.8571428571428572</v>
      </c>
      <c r="F302" s="132">
        <f>IFERROR(VLOOKUP(F$4,RSV!$AO$4:$AW$17,3,FALSE),"")</f>
        <v>0.5714285714285714</v>
      </c>
      <c r="G302" s="132">
        <f>IFERROR(VLOOKUP(G$4,RSV!$AO$4:$AW$17,3,FALSE),"")</f>
        <v>0.42857142857142855</v>
      </c>
      <c r="H302" s="132">
        <f>IFERROR(VLOOKUP(H$4,RSV!$AO$4:$AW$17,3,FALSE),"")</f>
        <v>0.2857142857142857</v>
      </c>
      <c r="I302" s="132">
        <f>IFERROR(VLOOKUP(I$4,RSV!$AO$4:$AW$17,3,FALSE),"")</f>
        <v>0</v>
      </c>
      <c r="J302" s="132">
        <f>IFERROR(VLOOKUP(J$4,RSV!$AO$4:$AW$17,3,FALSE),"")</f>
        <v>0</v>
      </c>
      <c r="K302" s="132">
        <f>IFERROR(VLOOKUP(K$4,RSV!$AO$4:$AW$17,3,FALSE),"")</f>
        <v>0</v>
      </c>
      <c r="L302" s="132" t="str">
        <f>IFERROR(VLOOKUP(L$4,RSV!$AO$4:$AW$17,3,FALSE),"")</f>
        <v/>
      </c>
      <c r="M302" s="132" t="str">
        <f>IFERROR(VLOOKUP(M$4,RSV!$AO$4:$AW$17,3,FALSE),"")</f>
        <v/>
      </c>
      <c r="N302" s="132" t="str">
        <f>IFERROR(VLOOKUP(N$4,RSV!$AO$4:$AW$17,3,FALSE),"")</f>
        <v/>
      </c>
      <c r="O302" s="132" t="str">
        <f>IFERROR(VLOOKUP(O$4,RSV!$AO$4:$AW$17,3,FALSE),"")</f>
        <v/>
      </c>
      <c r="P302" s="132" t="str">
        <f>IFERROR(VLOOKUP(P$4,RSV!$AO$4:$AW$17,3,FALSE),"")</f>
        <v/>
      </c>
      <c r="Q302" s="132" t="str">
        <f>IFERROR(VLOOKUP(Q$4,RSV!$AO$4:$AW$17,3,FALSE),"")</f>
        <v/>
      </c>
      <c r="R302" s="60"/>
    </row>
    <row r="303" spans="2:30" x14ac:dyDescent="0.35">
      <c r="B303" s="136"/>
      <c r="C303" s="1" t="s">
        <v>22</v>
      </c>
      <c r="D303" s="132">
        <f>IFERROR(VLOOKUP(D$4,RSV!$AO$4:$AW$17,4,FALSE),"")</f>
        <v>0.7142857142857143</v>
      </c>
      <c r="E303" s="132">
        <f>IFERROR(VLOOKUP(E$4,RSV!$AO$4:$AW$17,4,FALSE),"")</f>
        <v>1.2857142857142858</v>
      </c>
      <c r="F303" s="132">
        <f>IFERROR(VLOOKUP(F$4,RSV!$AO$4:$AW$17,4,FALSE),"")</f>
        <v>1.2857142857142858</v>
      </c>
      <c r="G303" s="132">
        <f>IFERROR(VLOOKUP(G$4,RSV!$AO$4:$AW$17,4,FALSE),"")</f>
        <v>0</v>
      </c>
      <c r="H303" s="132">
        <f>IFERROR(VLOOKUP(H$4,RSV!$AO$4:$AW$17,4,FALSE),"")</f>
        <v>1.7142857142857142</v>
      </c>
      <c r="I303" s="132">
        <f>IFERROR(VLOOKUP(I$4,RSV!$AO$4:$AW$17,4,FALSE),"")</f>
        <v>0</v>
      </c>
      <c r="J303" s="132">
        <f>IFERROR(VLOOKUP(J$4,RSV!$AO$4:$AW$17,4,FALSE),"")</f>
        <v>0</v>
      </c>
      <c r="K303" s="132">
        <f>IFERROR(VLOOKUP(K$4,RSV!$AO$4:$AW$17,4,FALSE),"")</f>
        <v>0</v>
      </c>
      <c r="L303" s="132" t="str">
        <f>IFERROR(VLOOKUP(L$4,RSV!$AO$4:$AW$17,4,FALSE),"")</f>
        <v/>
      </c>
      <c r="M303" s="132" t="str">
        <f>IFERROR(VLOOKUP(M$4,RSV!$AO$4:$AW$17,4,FALSE),"")</f>
        <v/>
      </c>
      <c r="N303" s="132" t="str">
        <f>IFERROR(VLOOKUP(N$4,RSV!$AO$4:$AW$17,4,FALSE),"")</f>
        <v/>
      </c>
      <c r="O303" s="132" t="str">
        <f>IFERROR(VLOOKUP(O$4,RSV!$AO$4:$AW$17,4,FALSE),"")</f>
        <v/>
      </c>
      <c r="P303" s="132" t="str">
        <f>IFERROR(VLOOKUP(P$4,RSV!$AO$4:$AW$17,4,FALSE),"")</f>
        <v/>
      </c>
      <c r="Q303" s="132" t="str">
        <f>IFERROR(VLOOKUP(Q$4,RSV!$AO$4:$AW$17,4,FALSE),"")</f>
        <v/>
      </c>
      <c r="R303" s="60"/>
    </row>
    <row r="304" spans="2:30" x14ac:dyDescent="0.35">
      <c r="B304" s="136"/>
      <c r="C304" s="1" t="s">
        <v>24</v>
      </c>
      <c r="D304" s="132">
        <f>IFERROR(VLOOKUP(D$4,RSV!$AO$4:$AW$17,8,FALSE),"")</f>
        <v>0.42857142857142855</v>
      </c>
      <c r="E304" s="132">
        <f>IFERROR(VLOOKUP(E$4,RSV!$AO$4:$AW$17,8,FALSE),"")</f>
        <v>1.5714285714285714</v>
      </c>
      <c r="F304" s="132">
        <f>IFERROR(VLOOKUP(F$4,RSV!$AO$4:$AW$17,8,FALSE),"")</f>
        <v>0.7142857142857143</v>
      </c>
      <c r="G304" s="132">
        <f>IFERROR(VLOOKUP(G$4,RSV!$AO$4:$AW$17,8,FALSE),"")</f>
        <v>1.5714285714285714</v>
      </c>
      <c r="H304" s="132">
        <f>IFERROR(VLOOKUP(H$4,RSV!$AO$4:$AW$17,8,FALSE),"")</f>
        <v>1</v>
      </c>
      <c r="I304" s="132">
        <f>IFERROR(VLOOKUP(I$4,RSV!$AO$4:$AW$17,8,FALSE),"")</f>
        <v>0.5714285714285714</v>
      </c>
      <c r="J304" s="132">
        <f>IFERROR(VLOOKUP(J$4,RSV!$AO$4:$AW$17,8,FALSE),"")</f>
        <v>0.5714285714285714</v>
      </c>
      <c r="K304" s="132">
        <f>IFERROR(VLOOKUP(K$4,RSV!$AO$4:$AW$17,8,FALSE),"")</f>
        <v>0</v>
      </c>
      <c r="L304" s="132" t="str">
        <f>IFERROR(VLOOKUP(L$4,RSV!$AO$4:$AW$17,8,FALSE),"")</f>
        <v/>
      </c>
      <c r="M304" s="132" t="str">
        <f>IFERROR(VLOOKUP(M$4,RSV!$AO$4:$AW$17,8,FALSE),"")</f>
        <v/>
      </c>
      <c r="N304" s="132" t="str">
        <f>IFERROR(VLOOKUP(N$4,RSV!$AO$4:$AW$17,8,FALSE),"")</f>
        <v/>
      </c>
      <c r="O304" s="132" t="str">
        <f>IFERROR(VLOOKUP(O$4,RSV!$AO$4:$AW$17,8,FALSE),"")</f>
        <v/>
      </c>
      <c r="P304" s="132" t="str">
        <f>IFERROR(VLOOKUP(P$4,RSV!$AO$4:$AW$17,8,FALSE),"")</f>
        <v/>
      </c>
      <c r="Q304" s="132" t="str">
        <f>IFERROR(VLOOKUP(Q$4,RSV!$AO$4:$AW$17,8,FALSE),"")</f>
        <v/>
      </c>
      <c r="R304" s="60"/>
    </row>
    <row r="305" spans="2:30" x14ac:dyDescent="0.35">
      <c r="B305" s="136"/>
      <c r="C305" s="1" t="s">
        <v>25</v>
      </c>
      <c r="D305" s="132">
        <f>IFERROR(VLOOKUP(D$4,RSV!$AO$4:$AW$17,5,FALSE),"")</f>
        <v>1.1428571428571428</v>
      </c>
      <c r="E305" s="132">
        <f>IFERROR(VLOOKUP(E$4,RSV!$AO$4:$AW$17,5,FALSE),"")</f>
        <v>1.5714285714285714</v>
      </c>
      <c r="F305" s="132">
        <f>IFERROR(VLOOKUP(F$4,RSV!$AO$4:$AW$17,5,FALSE),"")</f>
        <v>2.8571428571428572</v>
      </c>
      <c r="G305" s="132">
        <f>IFERROR(VLOOKUP(G$4,RSV!$AO$4:$AW$17,5,FALSE),"")</f>
        <v>0.42857142857142855</v>
      </c>
      <c r="H305" s="132">
        <f>IFERROR(VLOOKUP(H$4,RSV!$AO$4:$AW$17,5,FALSE),"")</f>
        <v>1.4285714285714286</v>
      </c>
      <c r="I305" s="132">
        <f>IFERROR(VLOOKUP(I$4,RSV!$AO$4:$AW$17,5,FALSE),"")</f>
        <v>0.8571428571428571</v>
      </c>
      <c r="J305" s="132">
        <f>IFERROR(VLOOKUP(J$4,RSV!$AO$4:$AW$17,5,FALSE),"")</f>
        <v>2</v>
      </c>
      <c r="K305" s="132">
        <f>IFERROR(VLOOKUP(K$4,RSV!$AO$4:$AW$17,5,FALSE),"")</f>
        <v>0.8571428571428571</v>
      </c>
      <c r="L305" s="132" t="str">
        <f>IFERROR(VLOOKUP(L$4,RSV!$AO$4:$AW$17,5,FALSE),"")</f>
        <v/>
      </c>
      <c r="M305" s="132" t="str">
        <f>IFERROR(VLOOKUP(M$4,RSV!$AO$4:$AW$17,5,FALSE),"")</f>
        <v/>
      </c>
      <c r="N305" s="132" t="str">
        <f>IFERROR(VLOOKUP(N$4,RSV!$AO$4:$AW$17,5,FALSE),"")</f>
        <v/>
      </c>
      <c r="O305" s="132" t="str">
        <f>IFERROR(VLOOKUP(O$4,RSV!$AO$4:$AW$17,5,FALSE),"")</f>
        <v/>
      </c>
      <c r="P305" s="132" t="str">
        <f>IFERROR(VLOOKUP(P$4,RSV!$AO$4:$AW$17,5,FALSE),"")</f>
        <v/>
      </c>
      <c r="Q305" s="132" t="str">
        <f>IFERROR(VLOOKUP(Q$4,RSV!$AO$4:$AW$17,5,FALSE),"")</f>
        <v/>
      </c>
      <c r="R305" s="60"/>
    </row>
    <row r="306" spans="2:30" x14ac:dyDescent="0.35">
      <c r="B306" s="136"/>
      <c r="C306" s="1" t="s">
        <v>37</v>
      </c>
      <c r="D306" s="132">
        <f>IFERROR(VLOOKUP(D$4,RSV!$AO$4:$AW$17,9,FALSE),"")</f>
        <v>0</v>
      </c>
      <c r="E306" s="132">
        <f>IFERROR(VLOOKUP(E$4,RSV!$AO$4:$AW$17,9,FALSE),"")</f>
        <v>0</v>
      </c>
      <c r="F306" s="132">
        <f>IFERROR(VLOOKUP(F$4,RSV!$AO$4:$AW$17,9,FALSE),"")</f>
        <v>0</v>
      </c>
      <c r="G306" s="132">
        <f>IFERROR(VLOOKUP(G$4,RSV!$AO$4:$AW$17,9,FALSE),"")</f>
        <v>0</v>
      </c>
      <c r="H306" s="132">
        <f>IFERROR(VLOOKUP(H$4,RSV!$AO$4:$AW$17,9,FALSE),"")</f>
        <v>0</v>
      </c>
      <c r="I306" s="132">
        <f>IFERROR(VLOOKUP(I$4,RSV!$AO$4:$AW$17,9,FALSE),"")</f>
        <v>0</v>
      </c>
      <c r="J306" s="132">
        <f>IFERROR(VLOOKUP(J$4,RSV!$AO$4:$AW$17,9,FALSE),"")</f>
        <v>0</v>
      </c>
      <c r="K306" s="132">
        <f>IFERROR(VLOOKUP(K$4,RSV!$AO$4:$AW$17,9,FALSE),"")</f>
        <v>0</v>
      </c>
      <c r="L306" s="132" t="str">
        <f>IFERROR(VLOOKUP(L$4,RSV!$AO$4:$AW$17,9,FALSE),"")</f>
        <v/>
      </c>
      <c r="M306" s="132" t="str">
        <f>IFERROR(VLOOKUP(M$4,RSV!$AO$4:$AW$17,9,FALSE),"")</f>
        <v/>
      </c>
      <c r="N306" s="132" t="str">
        <f>IFERROR(VLOOKUP(N$4,RSV!$AO$4:$AW$17,9,FALSE),"")</f>
        <v/>
      </c>
      <c r="O306" s="132" t="str">
        <f>IFERROR(VLOOKUP(O$4,RSV!$AO$4:$AW$17,9,FALSE),"")</f>
        <v/>
      </c>
      <c r="P306" s="132" t="str">
        <f>IFERROR(VLOOKUP(P$4,RSV!$AO$4:$AW$17,9,FALSE),"")</f>
        <v/>
      </c>
      <c r="Q306" s="132" t="str">
        <f>IFERROR(VLOOKUP(Q$4,RSV!$AO$4:$AW$17,9,FALSE),"")</f>
        <v/>
      </c>
      <c r="R306" s="60"/>
    </row>
    <row r="307" spans="2:30" x14ac:dyDescent="0.35">
      <c r="B307" s="136"/>
      <c r="C307" s="1" t="s">
        <v>27</v>
      </c>
      <c r="D307" s="132">
        <f>IFERROR(VLOOKUP(D$4,RSV!$AO$4:$AW$17,6,FALSE),"")</f>
        <v>3.1428571428571428</v>
      </c>
      <c r="E307" s="132">
        <f>IFERROR(VLOOKUP(E$4,RSV!$AO$4:$AW$17,6,FALSE),"")</f>
        <v>4.1428571428571432</v>
      </c>
      <c r="F307" s="132">
        <f>IFERROR(VLOOKUP(F$4,RSV!$AO$4:$AW$17,6,FALSE),"")</f>
        <v>3.7142857142857144</v>
      </c>
      <c r="G307" s="132">
        <f>IFERROR(VLOOKUP(G$4,RSV!$AO$4:$AW$17,6,FALSE),"")</f>
        <v>4.4285714285714288</v>
      </c>
      <c r="H307" s="132">
        <f>IFERROR(VLOOKUP(H$4,RSV!$AO$4:$AW$17,6,FALSE),"")</f>
        <v>5.8571428571428568</v>
      </c>
      <c r="I307" s="132">
        <f>IFERROR(VLOOKUP(I$4,RSV!$AO$4:$AW$17,6,FALSE),"")</f>
        <v>5</v>
      </c>
      <c r="J307" s="132">
        <f>IFERROR(VLOOKUP(J$4,RSV!$AO$4:$AW$17,6,FALSE),"")</f>
        <v>4.8571428571428568</v>
      </c>
      <c r="K307" s="132">
        <f>IFERROR(VLOOKUP(K$4,RSV!$AO$4:$AW$17,6,FALSE),"")</f>
        <v>4.1428571428571432</v>
      </c>
      <c r="L307" s="132" t="str">
        <f>IFERROR(VLOOKUP(L$4,RSV!$AO$4:$AW$17,6,FALSE),"")</f>
        <v/>
      </c>
      <c r="M307" s="132" t="str">
        <f>IFERROR(VLOOKUP(M$4,RSV!$AO$4:$AW$17,6,FALSE),"")</f>
        <v/>
      </c>
      <c r="N307" s="132" t="str">
        <f>IFERROR(VLOOKUP(N$4,RSV!$AO$4:$AW$17,6,FALSE),"")</f>
        <v/>
      </c>
      <c r="O307" s="132" t="str">
        <f>IFERROR(VLOOKUP(O$4,RSV!$AO$4:$AW$17,6,FALSE),"")</f>
        <v/>
      </c>
      <c r="P307" s="132" t="str">
        <f>IFERROR(VLOOKUP(P$4,RSV!$AO$4:$AW$17,6,FALSE),"")</f>
        <v/>
      </c>
      <c r="Q307" s="132" t="str">
        <f>IFERROR(VLOOKUP(Q$4,RSV!$AO$4:$AW$17,6,FALSE),"")</f>
        <v/>
      </c>
      <c r="R307" s="60"/>
    </row>
    <row r="308" spans="2:30" x14ac:dyDescent="0.35">
      <c r="B308" s="136"/>
      <c r="C308" s="1" t="s">
        <v>62</v>
      </c>
      <c r="D308" s="132">
        <f>IFERROR(VLOOKUP(D$4,RSV!$AO$4:$AW$17,7,FALSE),"")</f>
        <v>0.2857142857142857</v>
      </c>
      <c r="E308" s="132">
        <f>IFERROR(VLOOKUP(E$4,RSV!$AO$4:$AW$17,7,FALSE),"")</f>
        <v>0</v>
      </c>
      <c r="F308" s="132">
        <f>IFERROR(VLOOKUP(F$4,RSV!$AO$4:$AW$17,7,FALSE),"")</f>
        <v>0</v>
      </c>
      <c r="G308" s="132">
        <f>IFERROR(VLOOKUP(G$4,RSV!$AO$4:$AW$17,7,FALSE),"")</f>
        <v>0</v>
      </c>
      <c r="H308" s="132">
        <f>IFERROR(VLOOKUP(H$4,RSV!$AO$4:$AW$17,7,FALSE),"")</f>
        <v>0</v>
      </c>
      <c r="I308" s="132">
        <f>IFERROR(VLOOKUP(I$4,RSV!$AO$4:$AW$17,7,FALSE),"")</f>
        <v>0</v>
      </c>
      <c r="J308" s="132">
        <f>IFERROR(VLOOKUP(J$4,RSV!$AO$4:$AW$17,7,FALSE),"")</f>
        <v>0</v>
      </c>
      <c r="K308" s="132">
        <f>IFERROR(VLOOKUP(K$4,RSV!$AO$4:$AW$17,7,FALSE),"")</f>
        <v>0</v>
      </c>
      <c r="L308" s="132" t="str">
        <f>IFERROR(VLOOKUP(L$4,RSV!$AO$4:$AW$17,7,FALSE),"")</f>
        <v/>
      </c>
      <c r="M308" s="132" t="str">
        <f>IFERROR(VLOOKUP(M$4,RSV!$AO$4:$AW$17,7,FALSE),"")</f>
        <v/>
      </c>
      <c r="N308" s="132" t="str">
        <f>IFERROR(VLOOKUP(N$4,RSV!$AO$4:$AW$17,7,FALSE),"")</f>
        <v/>
      </c>
      <c r="O308" s="132" t="str">
        <f>IFERROR(VLOOKUP(O$4,RSV!$AO$4:$AW$17,7,FALSE),"")</f>
        <v/>
      </c>
      <c r="P308" s="132" t="str">
        <f>IFERROR(VLOOKUP(P$4,RSV!$AO$4:$AW$17,7,FALSE),"")</f>
        <v/>
      </c>
      <c r="Q308" s="132" t="str">
        <f>IFERROR(VLOOKUP(Q$4,RSV!$AO$4:$AW$17,7,FALSE),"")</f>
        <v/>
      </c>
      <c r="R308" s="60"/>
    </row>
    <row r="309" spans="2:30" ht="16" customHeight="1" x14ac:dyDescent="0.35">
      <c r="B309" s="136"/>
    </row>
    <row r="312" spans="2:30" ht="14.5" hidden="1" customHeight="1" x14ac:dyDescent="0.35">
      <c r="B312" s="151" t="s">
        <v>99</v>
      </c>
    </row>
    <row r="313" spans="2:30" hidden="1" x14ac:dyDescent="0.35">
      <c r="B313" s="151"/>
      <c r="E313" s="2"/>
      <c r="P313" s="2"/>
      <c r="Q313" s="2"/>
      <c r="AA313" s="137" t="s">
        <v>100</v>
      </c>
      <c r="AB313" s="137"/>
      <c r="AC313" s="137"/>
      <c r="AD313" s="137"/>
    </row>
    <row r="314" spans="2:30" hidden="1" x14ac:dyDescent="0.35">
      <c r="B314" s="151"/>
      <c r="AA314" s="137"/>
      <c r="AB314" s="137"/>
      <c r="AC314" s="137"/>
      <c r="AD314" s="137"/>
    </row>
    <row r="315" spans="2:30" hidden="1" x14ac:dyDescent="0.35">
      <c r="B315" s="151"/>
      <c r="C315" s="9" t="s">
        <v>101</v>
      </c>
      <c r="AA315" s="137"/>
      <c r="AB315" s="137"/>
      <c r="AC315" s="137"/>
      <c r="AD315" s="137"/>
    </row>
    <row r="316" spans="2:30" hidden="1" x14ac:dyDescent="0.35">
      <c r="B316" s="151"/>
      <c r="AA316" s="137"/>
      <c r="AB316" s="137"/>
      <c r="AC316" s="137"/>
      <c r="AD316" s="137"/>
    </row>
    <row r="317" spans="2:30" ht="14.5" hidden="1" customHeight="1" x14ac:dyDescent="0.35">
      <c r="B317" s="151"/>
      <c r="C317" s="13" t="s">
        <v>102</v>
      </c>
      <c r="D317" s="51">
        <f>IFERROR(VLOOKUP(D$4,'Covid patients in hospital'!$M$3:$U$17,2,FALSE),"")</f>
        <v>4968.5714285714284</v>
      </c>
      <c r="E317" s="51">
        <f>IFERROR(VLOOKUP(E$4,'Covid patients in hospital'!$M$3:$U$17,2,FALSE),"")</f>
        <v>5649.7142857142853</v>
      </c>
      <c r="F317" s="51">
        <f>IFERROR(VLOOKUP(F$4,'Covid patients in hospital'!$M$3:$U$17,2,FALSE),"")</f>
        <v>6917.8571428571431</v>
      </c>
      <c r="G317" s="51">
        <f>IFERROR(VLOOKUP(G$4,'Covid patients in hospital'!$M$3:$U$17,2,FALSE),"")</f>
        <v>8711.1428571428569</v>
      </c>
      <c r="H317" s="51">
        <f>IFERROR(VLOOKUP(H$4,'Covid patients in hospital'!$M$3:$U$17,2,FALSE),"")</f>
        <v>9389.8571428571431</v>
      </c>
      <c r="I317" s="51">
        <f>IFERROR(VLOOKUP(I$4,'Covid patients in hospital'!$M$3:$U$17,2,FALSE),"")</f>
        <v>8962.8571428571431</v>
      </c>
      <c r="J317" s="51">
        <f>IFERROR(VLOOKUP(J$4,'Covid patients in hospital'!$M$3:$U$17,2,FALSE),"")</f>
        <v>7481.8571428571431</v>
      </c>
      <c r="K317" s="51">
        <f>IFERROR(VLOOKUP(K$4,'Covid patients in hospital'!$M$3:$U$17,2,FALSE),"")</f>
        <v>6128.5714285714284</v>
      </c>
      <c r="L317" s="51">
        <f>IFERROR(VLOOKUP(L$4,'Covid patients in hospital'!$M$3:$U$17,2,FALSE),"")</f>
        <v>5723.2857142857147</v>
      </c>
      <c r="M317" s="51">
        <f>IFERROR(VLOOKUP(M$4,'Covid patients in hospital'!$M$3:$U$17,2,FALSE),"")</f>
        <v>6149.8571428571431</v>
      </c>
      <c r="N317" s="51">
        <f>IFERROR(VLOOKUP(N$4,'Covid patients in hospital'!$M$3:$U$17,2,FALSE),"")</f>
        <v>6475.2857142857147</v>
      </c>
      <c r="O317" s="51">
        <f>IFERROR(VLOOKUP(O$4,'Covid patients in hospital'!$M$3:$U$17,2,FALSE),"")</f>
        <v>7284.2857142857147</v>
      </c>
      <c r="P317" s="51">
        <f>IFERROR(VLOOKUP(P$4,'Covid patients in hospital'!$M$3:$U$17,2,FALSE),"")</f>
        <v>7801.5714285714284</v>
      </c>
      <c r="Q317" s="119"/>
      <c r="AA317" s="154" t="s">
        <v>103</v>
      </c>
      <c r="AB317" s="154"/>
      <c r="AC317" s="154"/>
      <c r="AD317" s="154"/>
    </row>
    <row r="318" spans="2:30" hidden="1" x14ac:dyDescent="0.35">
      <c r="B318" s="151"/>
      <c r="C318" s="1" t="s">
        <v>21</v>
      </c>
      <c r="D318" s="108">
        <f>IFERROR(VLOOKUP(D$4,'Covid patients in hospital'!$M$3:$U$17,4,FALSE),"")</f>
        <v>847</v>
      </c>
      <c r="E318" s="108">
        <f>IFERROR(VLOOKUP(E$4,'Covid patients in hospital'!$M$3:$U$17,4,FALSE),"")</f>
        <v>934.71428571428567</v>
      </c>
      <c r="F318" s="108">
        <f>IFERROR(VLOOKUP(F$4,'Covid patients in hospital'!$M$3:$U$17,4,FALSE),"")</f>
        <v>1070.5714285714287</v>
      </c>
      <c r="G318" s="108">
        <f>IFERROR(VLOOKUP(G$4,'Covid patients in hospital'!$M$3:$U$17,4,FALSE),"")</f>
        <v>1285.2857142857142</v>
      </c>
      <c r="H318" s="108">
        <f>IFERROR(VLOOKUP(H$4,'Covid patients in hospital'!$M$3:$U$17,4,FALSE),"")</f>
        <v>1454.7142857142858</v>
      </c>
      <c r="I318" s="108">
        <f>IFERROR(VLOOKUP(I$4,'Covid patients in hospital'!$M$3:$U$17,4,FALSE),"")</f>
        <v>1428.5714285714287</v>
      </c>
      <c r="J318" s="108">
        <f>IFERROR(VLOOKUP(J$4,'Covid patients in hospital'!$M$3:$U$17,4,FALSE),"")</f>
        <v>1272.4285714285713</v>
      </c>
      <c r="K318" s="108">
        <f>IFERROR(VLOOKUP(K$4,'Covid patients in hospital'!$M$3:$U$17,4,FALSE),"")</f>
        <v>1056.5714285714287</v>
      </c>
      <c r="L318" s="108">
        <f>IFERROR(VLOOKUP(L$4,'Covid patients in hospital'!$M$3:$U$17,4,FALSE),"")</f>
        <v>946.14285714285711</v>
      </c>
      <c r="M318" s="108">
        <f>IFERROR(VLOOKUP(M$4,'Covid patients in hospital'!$M$3:$U$17,4,FALSE),"")</f>
        <v>958.57142857142856</v>
      </c>
      <c r="N318" s="108">
        <f>IFERROR(VLOOKUP(N$4,'Covid patients in hospital'!$M$3:$U$17,4,FALSE),"")</f>
        <v>1006</v>
      </c>
      <c r="O318" s="108">
        <f>IFERROR(VLOOKUP(O$4,'Covid patients in hospital'!$M$3:$U$17,4,FALSE),"")</f>
        <v>1106.8571428571429</v>
      </c>
      <c r="P318" s="108">
        <f>IFERROR(VLOOKUP(P$4,'Covid patients in hospital'!$M$3:$U$17,4,FALSE),"")</f>
        <v>1246</v>
      </c>
      <c r="Q318" s="120"/>
      <c r="AA318" s="154"/>
      <c r="AB318" s="154"/>
      <c r="AC318" s="154"/>
      <c r="AD318" s="154"/>
    </row>
    <row r="319" spans="2:30" hidden="1" x14ac:dyDescent="0.35">
      <c r="B319" s="151"/>
      <c r="C319" s="1" t="s">
        <v>22</v>
      </c>
      <c r="D319" s="108">
        <f>IFERROR(VLOOKUP(D$4,'Covid patients in hospital'!$M$3:$U$17,5,FALSE),"")</f>
        <v>964.14285714285711</v>
      </c>
      <c r="E319" s="108">
        <f>IFERROR(VLOOKUP(E$4,'Covid patients in hospital'!$M$3:$U$17,5,FALSE),"")</f>
        <v>1038.4285714285713</v>
      </c>
      <c r="F319" s="108">
        <f>IFERROR(VLOOKUP(F$4,'Covid patients in hospital'!$M$3:$U$17,5,FALSE),"")</f>
        <v>1275.8571428571429</v>
      </c>
      <c r="G319" s="108">
        <f>IFERROR(VLOOKUP(G$4,'Covid patients in hospital'!$M$3:$U$17,5,FALSE),"")</f>
        <v>1593.4285714285713</v>
      </c>
      <c r="H319" s="108">
        <f>IFERROR(VLOOKUP(H$4,'Covid patients in hospital'!$M$3:$U$17,5,FALSE),"")</f>
        <v>1707</v>
      </c>
      <c r="I319" s="108">
        <f>IFERROR(VLOOKUP(I$4,'Covid patients in hospital'!$M$3:$U$17,5,FALSE),"")</f>
        <v>1755</v>
      </c>
      <c r="J319" s="108">
        <f>IFERROR(VLOOKUP(J$4,'Covid patients in hospital'!$M$3:$U$17,5,FALSE),"")</f>
        <v>1448.4285714285713</v>
      </c>
      <c r="K319" s="108">
        <f>IFERROR(VLOOKUP(K$4,'Covid patients in hospital'!$M$3:$U$17,5,FALSE),"")</f>
        <v>1194.2857142857142</v>
      </c>
      <c r="L319" s="108">
        <f>IFERROR(VLOOKUP(L$4,'Covid patients in hospital'!$M$3:$U$17,5,FALSE),"")</f>
        <v>1105.5714285714287</v>
      </c>
      <c r="M319" s="108">
        <f>IFERROR(VLOOKUP(M$4,'Covid patients in hospital'!$M$3:$U$17,5,FALSE),"")</f>
        <v>1077.1428571428571</v>
      </c>
      <c r="N319" s="108">
        <f>IFERROR(VLOOKUP(N$4,'Covid patients in hospital'!$M$3:$U$17,5,FALSE),"")</f>
        <v>1146.2857142857142</v>
      </c>
      <c r="O319" s="108">
        <f>IFERROR(VLOOKUP(O$4,'Covid patients in hospital'!$M$3:$U$17,5,FALSE),"")</f>
        <v>1406.1428571428571</v>
      </c>
      <c r="P319" s="108">
        <f>IFERROR(VLOOKUP(P$4,'Covid patients in hospital'!$M$3:$U$17,5,FALSE),"")</f>
        <v>1546.1428571428571</v>
      </c>
      <c r="Q319" s="120"/>
      <c r="AA319" s="154"/>
      <c r="AB319" s="154"/>
      <c r="AC319" s="154"/>
      <c r="AD319" s="154"/>
    </row>
    <row r="320" spans="2:30" hidden="1" x14ac:dyDescent="0.35">
      <c r="B320" s="151"/>
      <c r="C320" s="1" t="s">
        <v>24</v>
      </c>
      <c r="D320" s="108">
        <f>IFERROR(VLOOKUP(D$4,'Covid patients in hospital'!$M$3:$U$17,3,FALSE),"")</f>
        <v>437.71428571428572</v>
      </c>
      <c r="E320" s="108">
        <f>IFERROR(VLOOKUP(E$4,'Covid patients in hospital'!$M$3:$U$17,3,FALSE),"")</f>
        <v>540.14285714285711</v>
      </c>
      <c r="F320" s="108">
        <f>IFERROR(VLOOKUP(F$4,'Covid patients in hospital'!$M$3:$U$17,3,FALSE),"")</f>
        <v>741.57142857142856</v>
      </c>
      <c r="G320" s="108">
        <f>IFERROR(VLOOKUP(G$4,'Covid patients in hospital'!$M$3:$U$17,3,FALSE),"")</f>
        <v>968.57142857142856</v>
      </c>
      <c r="H320" s="108">
        <f>IFERROR(VLOOKUP(H$4,'Covid patients in hospital'!$M$3:$U$17,3,FALSE),"")</f>
        <v>961.85714285714289</v>
      </c>
      <c r="I320" s="108">
        <f>IFERROR(VLOOKUP(I$4,'Covid patients in hospital'!$M$3:$U$17,3,FALSE),"")</f>
        <v>927.57142857142856</v>
      </c>
      <c r="J320" s="108">
        <f>IFERROR(VLOOKUP(J$4,'Covid patients in hospital'!$M$3:$U$17,3,FALSE),"")</f>
        <v>792</v>
      </c>
      <c r="K320" s="108">
        <f>IFERROR(VLOOKUP(K$4,'Covid patients in hospital'!$M$3:$U$17,3,FALSE),"")</f>
        <v>617.71428571428567</v>
      </c>
      <c r="L320" s="108">
        <f>IFERROR(VLOOKUP(L$4,'Covid patients in hospital'!$M$3:$U$17,3,FALSE),"")</f>
        <v>601.85714285714289</v>
      </c>
      <c r="M320" s="108">
        <f>IFERROR(VLOOKUP(M$4,'Covid patients in hospital'!$M$3:$U$17,3,FALSE),"")</f>
        <v>719.28571428571433</v>
      </c>
      <c r="N320" s="108">
        <f>IFERROR(VLOOKUP(N$4,'Covid patients in hospital'!$M$3:$U$17,3,FALSE),"")</f>
        <v>769.85714285714289</v>
      </c>
      <c r="O320" s="108">
        <f>IFERROR(VLOOKUP(O$4,'Covid patients in hospital'!$M$3:$U$17,3,FALSE),"")</f>
        <v>792.28571428571433</v>
      </c>
      <c r="P320" s="108">
        <f>IFERROR(VLOOKUP(P$4,'Covid patients in hospital'!$M$3:$U$17,3,FALSE),"")</f>
        <v>782.57142857142856</v>
      </c>
      <c r="Q320" s="120"/>
      <c r="AA320" s="154"/>
      <c r="AB320" s="154"/>
      <c r="AC320" s="154"/>
      <c r="AD320" s="154"/>
    </row>
    <row r="321" spans="2:30" hidden="1" x14ac:dyDescent="0.35">
      <c r="B321" s="151"/>
      <c r="C321" s="1" t="s">
        <v>25</v>
      </c>
      <c r="D321" s="108">
        <f>IFERROR(VLOOKUP(D$4,'Covid patients in hospital'!$M$3:$U$17,6,FALSE),"")</f>
        <v>836.28571428571433</v>
      </c>
      <c r="E321" s="108">
        <f>IFERROR(VLOOKUP(E$4,'Covid patients in hospital'!$M$3:$U$17,6,FALSE),"")</f>
        <v>905.14285714285711</v>
      </c>
      <c r="F321" s="108">
        <f>IFERROR(VLOOKUP(F$4,'Covid patients in hospital'!$M$3:$U$17,6,FALSE),"")</f>
        <v>1090</v>
      </c>
      <c r="G321" s="108">
        <f>IFERROR(VLOOKUP(G$4,'Covid patients in hospital'!$M$3:$U$17,6,FALSE),"")</f>
        <v>1350.1428571428571</v>
      </c>
      <c r="H321" s="108">
        <f>IFERROR(VLOOKUP(H$4,'Covid patients in hospital'!$M$3:$U$17,6,FALSE),"")</f>
        <v>1464.7142857142858</v>
      </c>
      <c r="I321" s="108">
        <f>IFERROR(VLOOKUP(I$4,'Covid patients in hospital'!$M$3:$U$17,6,FALSE),"")</f>
        <v>1479.8571428571429</v>
      </c>
      <c r="J321" s="108">
        <f>IFERROR(VLOOKUP(J$4,'Covid patients in hospital'!$M$3:$U$17,6,FALSE),"")</f>
        <v>1265.8571428571429</v>
      </c>
      <c r="K321" s="108">
        <f>IFERROR(VLOOKUP(K$4,'Covid patients in hospital'!$M$3:$U$17,6,FALSE),"")</f>
        <v>1062.1428571428571</v>
      </c>
      <c r="L321" s="108">
        <f>IFERROR(VLOOKUP(L$4,'Covid patients in hospital'!$M$3:$U$17,6,FALSE),"")</f>
        <v>996.57142857142856</v>
      </c>
      <c r="M321" s="108">
        <f>IFERROR(VLOOKUP(M$4,'Covid patients in hospital'!$M$3:$U$17,6,FALSE),"")</f>
        <v>1089.5714285714287</v>
      </c>
      <c r="N321" s="108">
        <f>IFERROR(VLOOKUP(N$4,'Covid patients in hospital'!$M$3:$U$17,6,FALSE),"")</f>
        <v>1103.8571428571429</v>
      </c>
      <c r="O321" s="108">
        <f>IFERROR(VLOOKUP(O$4,'Covid patients in hospital'!$M$3:$U$17,6,FALSE),"")</f>
        <v>1196.7142857142858</v>
      </c>
      <c r="P321" s="108">
        <f>IFERROR(VLOOKUP(P$4,'Covid patients in hospital'!$M$3:$U$17,6,FALSE),"")</f>
        <v>1390.4285714285713</v>
      </c>
      <c r="Q321" s="120"/>
      <c r="AA321" s="109"/>
      <c r="AB321" s="109"/>
      <c r="AC321" s="109"/>
      <c r="AD321" s="109"/>
    </row>
    <row r="322" spans="2:30" hidden="1" x14ac:dyDescent="0.35">
      <c r="B322" s="151"/>
      <c r="C322" s="1" t="s">
        <v>37</v>
      </c>
      <c r="D322" s="108">
        <f>IFERROR(VLOOKUP(D$4,'Covid patients in hospital'!$M$3:$U$17,7,FALSE),"")</f>
        <v>850.71428571428567</v>
      </c>
      <c r="E322" s="108">
        <f>IFERROR(VLOOKUP(E$4,'Covid patients in hospital'!$M$3:$U$17,7,FALSE),"")</f>
        <v>896</v>
      </c>
      <c r="F322" s="108">
        <f>IFERROR(VLOOKUP(F$4,'Covid patients in hospital'!$M$3:$U$17,7,FALSE),"")</f>
        <v>1014</v>
      </c>
      <c r="G322" s="108">
        <f>IFERROR(VLOOKUP(G$4,'Covid patients in hospital'!$M$3:$U$17,7,FALSE),"")</f>
        <v>1173.8571428571429</v>
      </c>
      <c r="H322" s="108">
        <f>IFERROR(VLOOKUP(H$4,'Covid patients in hospital'!$M$3:$U$17,7,FALSE),"")</f>
        <v>1321.8571428571429</v>
      </c>
      <c r="I322" s="108">
        <f>IFERROR(VLOOKUP(I$4,'Covid patients in hospital'!$M$3:$U$17,7,FALSE),"")</f>
        <v>1337.7142857142858</v>
      </c>
      <c r="J322" s="108">
        <f>IFERROR(VLOOKUP(J$4,'Covid patients in hospital'!$M$3:$U$17,7,FALSE),"")</f>
        <v>1197.1428571428571</v>
      </c>
      <c r="K322" s="108">
        <f>IFERROR(VLOOKUP(K$4,'Covid patients in hospital'!$M$3:$U$17,7,FALSE),"")</f>
        <v>1063.5714285714287</v>
      </c>
      <c r="L322" s="108">
        <f>IFERROR(VLOOKUP(L$4,'Covid patients in hospital'!$M$3:$U$17,7,FALSE),"")</f>
        <v>916.57142857142856</v>
      </c>
      <c r="M322" s="108">
        <f>IFERROR(VLOOKUP(M$4,'Covid patients in hospital'!$M$3:$U$17,7,FALSE),"")</f>
        <v>901.42857142857144</v>
      </c>
      <c r="N322" s="108">
        <f>IFERROR(VLOOKUP(N$4,'Covid patients in hospital'!$M$3:$U$17,7,FALSE),"")</f>
        <v>921.71428571428567</v>
      </c>
      <c r="O322" s="108">
        <f>IFERROR(VLOOKUP(O$4,'Covid patients in hospital'!$M$3:$U$17,7,FALSE),"")</f>
        <v>1049.4285714285713</v>
      </c>
      <c r="P322" s="108">
        <f>IFERROR(VLOOKUP(P$4,'Covid patients in hospital'!$M$3:$U$17,7,FALSE),"")</f>
        <v>1033.1428571428571</v>
      </c>
      <c r="Q322" s="120"/>
      <c r="AA322" s="109"/>
      <c r="AB322" s="109"/>
      <c r="AC322" s="109"/>
      <c r="AD322" s="109"/>
    </row>
    <row r="323" spans="2:30" hidden="1" x14ac:dyDescent="0.35">
      <c r="B323" s="151"/>
      <c r="C323" s="1" t="s">
        <v>87</v>
      </c>
      <c r="D323" s="108">
        <f>IFERROR(VLOOKUP(D$4,'Covid patients in hospital'!$M$3:$U$17,8,FALSE),"")</f>
        <v>684.57142857142856</v>
      </c>
      <c r="E323" s="108">
        <f>IFERROR(VLOOKUP(E$4,'Covid patients in hospital'!$M$3:$U$17,8,FALSE),"")</f>
        <v>817.57142857142856</v>
      </c>
      <c r="F323" s="108">
        <f>IFERROR(VLOOKUP(F$4,'Covid patients in hospital'!$M$3:$U$17,8,FALSE),"")</f>
        <v>995.85714285714289</v>
      </c>
      <c r="G323" s="108">
        <f>IFERROR(VLOOKUP(G$4,'Covid patients in hospital'!$M$3:$U$17,8,FALSE),"")</f>
        <v>1356.7142857142858</v>
      </c>
      <c r="H323" s="108">
        <f>IFERROR(VLOOKUP(H$4,'Covid patients in hospital'!$M$3:$U$17,8,FALSE),"")</f>
        <v>1547.4285714285713</v>
      </c>
      <c r="I323" s="108">
        <f>IFERROR(VLOOKUP(I$4,'Covid patients in hospital'!$M$3:$U$17,8,FALSE),"")</f>
        <v>1320.1428571428571</v>
      </c>
      <c r="J323" s="108">
        <f>IFERROR(VLOOKUP(J$4,'Covid patients in hospital'!$M$3:$U$17,8,FALSE),"")</f>
        <v>1004.5714285714286</v>
      </c>
      <c r="K323" s="108">
        <f>IFERROR(VLOOKUP(K$4,'Covid patients in hospital'!$M$3:$U$17,8,FALSE),"")</f>
        <v>766.14285714285711</v>
      </c>
      <c r="L323" s="108">
        <f>IFERROR(VLOOKUP(L$4,'Covid patients in hospital'!$M$3:$U$17,8,FALSE),"")</f>
        <v>741.85714285714289</v>
      </c>
      <c r="M323" s="108">
        <f>IFERROR(VLOOKUP(M$4,'Covid patients in hospital'!$M$3:$U$17,8,FALSE),"")</f>
        <v>884.71428571428567</v>
      </c>
      <c r="N323" s="108">
        <f>IFERROR(VLOOKUP(N$4,'Covid patients in hospital'!$M$3:$U$17,8,FALSE),"")</f>
        <v>941.42857142857144</v>
      </c>
      <c r="O323" s="108">
        <f>IFERROR(VLOOKUP(O$4,'Covid patients in hospital'!$M$3:$U$17,8,FALSE),"")</f>
        <v>1125.7142857142858</v>
      </c>
      <c r="P323" s="108">
        <f>IFERROR(VLOOKUP(P$4,'Covid patients in hospital'!$M$3:$U$17,8,FALSE),"")</f>
        <v>1242</v>
      </c>
      <c r="Q323" s="120"/>
      <c r="AA323" s="109"/>
      <c r="AB323" s="109"/>
      <c r="AC323" s="109"/>
      <c r="AD323" s="109"/>
    </row>
    <row r="324" spans="2:30" hidden="1" x14ac:dyDescent="0.35">
      <c r="B324" s="151"/>
      <c r="C324" s="1" t="s">
        <v>62</v>
      </c>
      <c r="D324" s="108">
        <f>IFERROR(VLOOKUP(D$4,'Covid patients in hospital'!$M$3:$U$17,9,FALSE),"")</f>
        <v>348.14285714285717</v>
      </c>
      <c r="E324" s="108">
        <f>IFERROR(VLOOKUP(E$4,'Covid patients in hospital'!$M$3:$U$17,9,FALSE),"")</f>
        <v>517.71428571428567</v>
      </c>
      <c r="F324" s="108">
        <f>IFERROR(VLOOKUP(F$4,'Covid patients in hospital'!$M$3:$U$17,9,FALSE),"")</f>
        <v>730</v>
      </c>
      <c r="G324" s="108">
        <f>IFERROR(VLOOKUP(G$4,'Covid patients in hospital'!$M$3:$U$17,9,FALSE),"")</f>
        <v>983.14285714285711</v>
      </c>
      <c r="H324" s="108">
        <f>IFERROR(VLOOKUP(H$4,'Covid patients in hospital'!$M$3:$U$17,9,FALSE),"")</f>
        <v>932.28571428571433</v>
      </c>
      <c r="I324" s="108">
        <f>IFERROR(VLOOKUP(I$4,'Covid patients in hospital'!$M$3:$U$17,9,FALSE),"")</f>
        <v>714</v>
      </c>
      <c r="J324" s="108">
        <f>IFERROR(VLOOKUP(J$4,'Covid patients in hospital'!$M$3:$U$17,9,FALSE),"")</f>
        <v>501.42857142857144</v>
      </c>
      <c r="K324" s="108">
        <f>IFERROR(VLOOKUP(K$4,'Covid patients in hospital'!$M$3:$U$17,9,FALSE),"")</f>
        <v>368.14285714285717</v>
      </c>
      <c r="L324" s="108">
        <f>IFERROR(VLOOKUP(L$4,'Covid patients in hospital'!$M$3:$U$17,9,FALSE),"")</f>
        <v>414.71428571428572</v>
      </c>
      <c r="M324" s="108">
        <f>IFERROR(VLOOKUP(M$4,'Covid patients in hospital'!$M$3:$U$17,9,FALSE),"")</f>
        <v>519.14285714285711</v>
      </c>
      <c r="N324" s="108">
        <f>IFERROR(VLOOKUP(N$4,'Covid patients in hospital'!$M$3:$U$17,9,FALSE),"")</f>
        <v>586.14285714285711</v>
      </c>
      <c r="O324" s="108">
        <f>IFERROR(VLOOKUP(O$4,'Covid patients in hospital'!$M$3:$U$17,9,FALSE),"")</f>
        <v>607.14285714285711</v>
      </c>
      <c r="P324" s="108">
        <f>IFERROR(VLOOKUP(P$4,'Covid patients in hospital'!$M$3:$U$17,9,FALSE),"")</f>
        <v>561.28571428571433</v>
      </c>
      <c r="Q324" s="120"/>
      <c r="AA324" s="109"/>
      <c r="AB324" s="109"/>
      <c r="AC324" s="109"/>
      <c r="AD324" s="109"/>
    </row>
    <row r="325" spans="2:30" hidden="1" x14ac:dyDescent="0.35">
      <c r="B325" s="151"/>
      <c r="AA325" s="109"/>
      <c r="AB325" s="109"/>
      <c r="AC325" s="109"/>
      <c r="AD325" s="109"/>
    </row>
    <row r="326" spans="2:30" hidden="1" x14ac:dyDescent="0.35">
      <c r="B326" s="151"/>
      <c r="AA326" s="109"/>
      <c r="AB326" s="109"/>
      <c r="AC326" s="109"/>
      <c r="AD326" s="109"/>
    </row>
    <row r="327" spans="2:30" hidden="1" x14ac:dyDescent="0.35">
      <c r="B327" s="151"/>
      <c r="AA327" s="109"/>
      <c r="AB327" s="109"/>
      <c r="AC327" s="109"/>
      <c r="AD327" s="109"/>
    </row>
    <row r="328" spans="2:30" hidden="1" x14ac:dyDescent="0.35">
      <c r="B328" s="151"/>
      <c r="AA328" s="109"/>
      <c r="AB328" s="109"/>
      <c r="AC328" s="109"/>
      <c r="AD328" s="109"/>
    </row>
    <row r="329" spans="2:30" hidden="1" x14ac:dyDescent="0.35">
      <c r="B329" s="151"/>
      <c r="AA329" s="109"/>
      <c r="AB329" s="109"/>
      <c r="AC329" s="109"/>
      <c r="AD329" s="109"/>
    </row>
    <row r="330" spans="2:30" hidden="1" x14ac:dyDescent="0.35">
      <c r="B330" s="151"/>
      <c r="AA330" s="109"/>
      <c r="AB330" s="109"/>
      <c r="AC330" s="109"/>
      <c r="AD330" s="109"/>
    </row>
    <row r="331" spans="2:30" hidden="1" x14ac:dyDescent="0.35">
      <c r="AA331" s="109"/>
      <c r="AB331" s="109"/>
      <c r="AC331" s="109"/>
      <c r="AD331" s="109"/>
    </row>
    <row r="332" spans="2:30" ht="41.15" customHeight="1" x14ac:dyDescent="0.35">
      <c r="B332" s="136" t="s">
        <v>104</v>
      </c>
      <c r="C332" s="114" t="s">
        <v>105</v>
      </c>
      <c r="D332" s="130">
        <v>0.59142314990512335</v>
      </c>
      <c r="E332" s="130">
        <v>0.59281211237707954</v>
      </c>
      <c r="F332" s="130">
        <v>0.60150314619288703</v>
      </c>
      <c r="G332" s="130">
        <v>0.56343475527273423</v>
      </c>
      <c r="H332" s="130">
        <v>0.63092490430083314</v>
      </c>
      <c r="I332" s="130">
        <v>0.62244343319428641</v>
      </c>
      <c r="J332" s="130">
        <v>0.59294016825791496</v>
      </c>
      <c r="K332" s="130">
        <v>0.59026094307487653</v>
      </c>
      <c r="L332" s="130">
        <v>0.59458375856538848</v>
      </c>
      <c r="M332" s="130">
        <v>0.58789098885249835</v>
      </c>
      <c r="N332" s="130">
        <v>0.58303200088857066</v>
      </c>
      <c r="O332" s="130">
        <v>0.58918945498577069</v>
      </c>
      <c r="P332" s="130">
        <v>0.58448464879074025</v>
      </c>
      <c r="Q332" s="130">
        <v>0.58119487019080385</v>
      </c>
      <c r="AA332" s="109"/>
      <c r="AB332" s="109"/>
      <c r="AC332" s="109"/>
      <c r="AD332" s="109"/>
    </row>
    <row r="333" spans="2:30" ht="14.5" customHeight="1" x14ac:dyDescent="0.35">
      <c r="B333" s="136"/>
      <c r="C333" s="1" t="s">
        <v>18</v>
      </c>
      <c r="D333" s="5">
        <v>0.54954965934990063</v>
      </c>
      <c r="E333" s="5">
        <v>0.55699298765310712</v>
      </c>
      <c r="F333" s="5">
        <v>0.55128141667388531</v>
      </c>
      <c r="G333" s="5">
        <v>0.49627816170318262</v>
      </c>
      <c r="H333" s="5">
        <v>0.58757239805768446</v>
      </c>
      <c r="I333" s="5">
        <v>0.57289620788638762</v>
      </c>
      <c r="J333" s="5">
        <v>0.57673066930894068</v>
      </c>
      <c r="K333" s="5">
        <v>0.57735003913637173</v>
      </c>
      <c r="L333" s="5">
        <v>0.56093313329214833</v>
      </c>
      <c r="M333" s="5">
        <v>0.55694352236858968</v>
      </c>
      <c r="N333" s="5">
        <v>0.56067332701046768</v>
      </c>
      <c r="O333" s="5">
        <v>0.55755627009646302</v>
      </c>
      <c r="P333" s="124">
        <v>0.54771077065099683</v>
      </c>
      <c r="Q333" s="89">
        <v>0.559507090651575</v>
      </c>
      <c r="AA333" s="137" t="s">
        <v>106</v>
      </c>
      <c r="AB333" s="137"/>
      <c r="AC333" s="137"/>
      <c r="AD333" s="137"/>
    </row>
    <row r="334" spans="2:30" ht="6.65" customHeight="1" x14ac:dyDescent="0.35">
      <c r="B334" s="136"/>
      <c r="C334" s="113"/>
      <c r="AA334" s="137"/>
      <c r="AB334" s="137"/>
      <c r="AC334" s="137"/>
      <c r="AD334" s="137"/>
    </row>
    <row r="335" spans="2:30" x14ac:dyDescent="0.35">
      <c r="B335" s="136"/>
      <c r="C335" s="13" t="s">
        <v>20</v>
      </c>
      <c r="D335" s="50">
        <f>IFERROR(VLOOKUP(D$4,'Delayed discharges'!$AX$4:$BF$17,2,FALSE),"")</f>
        <v>0.54901870843026113</v>
      </c>
      <c r="E335" s="50">
        <f>IFERROR(VLOOKUP(E$4,'Delayed discharges'!$AX$4:$BF$17,2,FALSE),"")</f>
        <v>0.55071475882114629</v>
      </c>
      <c r="F335" s="50">
        <f>IFERROR(VLOOKUP(F$4,'Delayed discharges'!$AX$4:$BF$17,2,FALSE),"")</f>
        <v>0.55669386714267499</v>
      </c>
      <c r="G335" s="50">
        <f>IFERROR(VLOOKUP(G$4,'Delayed discharges'!$AX$4:$BF$17,2,FALSE),"")</f>
        <v>0.5352576876118903</v>
      </c>
      <c r="H335" s="50">
        <f>IFERROR(VLOOKUP(H$4,'Delayed discharges'!$AX$4:$BF$17,2,FALSE),"")</f>
        <v>0.56987357176661479</v>
      </c>
      <c r="I335" s="50">
        <f>IFERROR(VLOOKUP(I$4,'Delayed discharges'!$AX$4:$BF$17,2,FALSE),"")</f>
        <v>0.5897900871904338</v>
      </c>
      <c r="J335" s="50">
        <f>IFERROR(VLOOKUP(J$4,'Delayed discharges'!$AX$4:$BF$17,2,FALSE),"")</f>
        <v>0.58080823498525547</v>
      </c>
      <c r="K335" s="50">
        <f>IFERROR(VLOOKUP(K$4,'Delayed discharges'!$AX$4:$BF$17,2,FALSE),"")</f>
        <v>0.58585198796173643</v>
      </c>
      <c r="L335" s="50" t="str">
        <f>IFERROR(VLOOKUP(L$4,'Delayed discharges'!$AX$4:$BF$17,2,FALSE),"")</f>
        <v/>
      </c>
      <c r="M335" s="50" t="str">
        <f>IFERROR(VLOOKUP(M$4,'Delayed discharges'!$AX$4:$BF$17,2,FALSE),"")</f>
        <v/>
      </c>
      <c r="N335" s="50" t="str">
        <f>IFERROR(VLOOKUP(N$4,'Delayed discharges'!$AX$4:$BF$17,2,FALSE),"")</f>
        <v/>
      </c>
      <c r="O335" s="50" t="str">
        <f>IFERROR(VLOOKUP(O$4,'Delayed discharges'!$AX$4:$BF$17,2,FALSE),"")</f>
        <v/>
      </c>
      <c r="P335" s="50" t="str">
        <f>IFERROR(VLOOKUP(P$4,'Delayed discharges'!$AX$4:$BF$17,2,FALSE),"")</f>
        <v/>
      </c>
      <c r="Q335" s="50" t="str">
        <f>IFERROR(VLOOKUP(Q$4,'Delayed discharges'!$AX$4:$BF$17,2,FALSE),"")</f>
        <v/>
      </c>
      <c r="AA335" s="137"/>
      <c r="AB335" s="137"/>
      <c r="AC335" s="137"/>
      <c r="AD335" s="137"/>
    </row>
    <row r="336" spans="2:30" x14ac:dyDescent="0.35">
      <c r="B336" s="136"/>
      <c r="C336" s="1" t="s">
        <v>21</v>
      </c>
      <c r="D336" s="133">
        <f>IFERROR(VLOOKUP(D$4,'Delayed discharges'!$AX$4:$BF$17,4,FALSE),"")</f>
        <v>0.53128054740957964</v>
      </c>
      <c r="E336" s="133">
        <f>IFERROR(VLOOKUP(E$4,'Delayed discharges'!$AX$4:$BF$17,4,FALSE),"")</f>
        <v>0.53634648868253043</v>
      </c>
      <c r="F336" s="133">
        <f>IFERROR(VLOOKUP(F$4,'Delayed discharges'!$AX$4:$BF$17,4,FALSE),"")</f>
        <v>0.5363370015721024</v>
      </c>
      <c r="G336" s="133">
        <f>IFERROR(VLOOKUP(G$4,'Delayed discharges'!$AX$4:$BF$17,4,FALSE),"")</f>
        <v>0.51007570493362098</v>
      </c>
      <c r="H336" s="133">
        <f>IFERROR(VLOOKUP(H$4,'Delayed discharges'!$AX$4:$BF$17,4,FALSE),"")</f>
        <v>0.55318219543091773</v>
      </c>
      <c r="I336" s="133">
        <f>IFERROR(VLOOKUP(I$4,'Delayed discharges'!$AX$4:$BF$17,4,FALSE),"")</f>
        <v>0.56905006272094882</v>
      </c>
      <c r="J336" s="133">
        <f>IFERROR(VLOOKUP(J$4,'Delayed discharges'!$AX$4:$BF$17,4,FALSE),"")</f>
        <v>0.56048094530629167</v>
      </c>
      <c r="K336" s="133">
        <f>IFERROR(VLOOKUP(K$4,'Delayed discharges'!$AX$4:$BF$17,4,FALSE),"")</f>
        <v>0.57299183521360575</v>
      </c>
      <c r="L336" s="133" t="str">
        <f>IFERROR(VLOOKUP(L$4,'Delayed discharges'!$AX$4:$BF$17,4,FALSE),"")</f>
        <v/>
      </c>
      <c r="M336" s="133" t="str">
        <f>IFERROR(VLOOKUP(M$4,'Delayed discharges'!$AX$4:$BF$17,4,FALSE),"")</f>
        <v/>
      </c>
      <c r="N336" s="133" t="str">
        <f>IFERROR(VLOOKUP(N$4,'Delayed discharges'!$AX$4:$BF$17,4,FALSE),"")</f>
        <v/>
      </c>
      <c r="O336" s="133" t="str">
        <f>IFERROR(VLOOKUP(O$4,'Delayed discharges'!$AX$4:$BF$17,4,FALSE),"")</f>
        <v/>
      </c>
      <c r="P336" s="133" t="str">
        <f>IFERROR(VLOOKUP(P$4,'Delayed discharges'!$AX$4:$BF$17,4,FALSE),"")</f>
        <v/>
      </c>
      <c r="Q336" s="133" t="str">
        <f>IFERROR(VLOOKUP(Q$4,'Delayed discharges'!$AX$4:$BF$17,4,FALSE),"")</f>
        <v/>
      </c>
      <c r="AA336" s="137"/>
      <c r="AB336" s="137"/>
      <c r="AC336" s="137"/>
      <c r="AD336" s="137"/>
    </row>
    <row r="337" spans="2:30" x14ac:dyDescent="0.35">
      <c r="B337" s="136"/>
      <c r="C337" s="1" t="s">
        <v>22</v>
      </c>
      <c r="D337" s="133">
        <f>IFERROR(VLOOKUP(D$4,'Delayed discharges'!$AX$4:$BF$17,5,FALSE),"")</f>
        <v>0.54208137894215003</v>
      </c>
      <c r="E337" s="133">
        <f>IFERROR(VLOOKUP(E$4,'Delayed discharges'!$AX$4:$BF$17,5,FALSE),"")</f>
        <v>0.54566959175887075</v>
      </c>
      <c r="F337" s="133">
        <f>IFERROR(VLOOKUP(F$4,'Delayed discharges'!$AX$4:$BF$17,5,FALSE),"")</f>
        <v>0.54021164021164025</v>
      </c>
      <c r="G337" s="133">
        <f>IFERROR(VLOOKUP(G$4,'Delayed discharges'!$AX$4:$BF$17,5,FALSE),"")</f>
        <v>0.51874389602584325</v>
      </c>
      <c r="H337" s="133">
        <f>IFERROR(VLOOKUP(H$4,'Delayed discharges'!$AX$4:$BF$17,5,FALSE),"")</f>
        <v>0.54151111111111117</v>
      </c>
      <c r="I337" s="133">
        <f>IFERROR(VLOOKUP(I$4,'Delayed discharges'!$AX$4:$BF$17,5,FALSE),"")</f>
        <v>0.57436344887760771</v>
      </c>
      <c r="J337" s="133">
        <f>IFERROR(VLOOKUP(J$4,'Delayed discharges'!$AX$4:$BF$17,5,FALSE),"")</f>
        <v>0.58542426587082275</v>
      </c>
      <c r="K337" s="133">
        <f>IFERROR(VLOOKUP(K$4,'Delayed discharges'!$AX$4:$BF$17,5,FALSE),"")</f>
        <v>0.56603910736352403</v>
      </c>
      <c r="L337" s="133" t="str">
        <f>IFERROR(VLOOKUP(L$4,'Delayed discharges'!$AX$4:$BF$17,5,FALSE),"")</f>
        <v/>
      </c>
      <c r="M337" s="133" t="str">
        <f>IFERROR(VLOOKUP(M$4,'Delayed discharges'!$AX$4:$BF$17,5,FALSE),"")</f>
        <v/>
      </c>
      <c r="N337" s="133" t="str">
        <f>IFERROR(VLOOKUP(N$4,'Delayed discharges'!$AX$4:$BF$17,5,FALSE),"")</f>
        <v/>
      </c>
      <c r="O337" s="133" t="str">
        <f>IFERROR(VLOOKUP(O$4,'Delayed discharges'!$AX$4:$BF$17,5,FALSE),"")</f>
        <v/>
      </c>
      <c r="P337" s="133" t="str">
        <f>IFERROR(VLOOKUP(P$4,'Delayed discharges'!$AX$4:$BF$17,5,FALSE),"")</f>
        <v/>
      </c>
      <c r="Q337" s="133" t="str">
        <f>IFERROR(VLOOKUP(Q$4,'Delayed discharges'!$AX$4:$BF$17,5,FALSE),"")</f>
        <v/>
      </c>
      <c r="AA337" s="137"/>
      <c r="AB337" s="137"/>
      <c r="AC337" s="137"/>
      <c r="AD337" s="137"/>
    </row>
    <row r="338" spans="2:30" ht="14.5" customHeight="1" x14ac:dyDescent="0.35">
      <c r="B338" s="136"/>
      <c r="C338" s="1" t="s">
        <v>24</v>
      </c>
      <c r="D338" s="133">
        <f>IFERROR(VLOOKUP(D$4,'Delayed discharges'!$AX$4:$BF$17,3,FALSE),"")</f>
        <v>0.51154474867184307</v>
      </c>
      <c r="E338" s="133">
        <f>IFERROR(VLOOKUP(E$4,'Delayed discharges'!$AX$4:$BF$17,3,FALSE),"")</f>
        <v>0.53502906976744191</v>
      </c>
      <c r="F338" s="133">
        <f>IFERROR(VLOOKUP(F$4,'Delayed discharges'!$AX$4:$BF$17,3,FALSE),"")</f>
        <v>0.5484899933117251</v>
      </c>
      <c r="G338" s="133">
        <f>IFERROR(VLOOKUP(G$4,'Delayed discharges'!$AX$4:$BF$17,3,FALSE),"")</f>
        <v>0.50888350494649703</v>
      </c>
      <c r="H338" s="133">
        <f>IFERROR(VLOOKUP(H$4,'Delayed discharges'!$AX$4:$BF$17,3,FALSE),"")</f>
        <v>0.55438316667689103</v>
      </c>
      <c r="I338" s="133">
        <f>IFERROR(VLOOKUP(I$4,'Delayed discharges'!$AX$4:$BF$17,3,FALSE),"")</f>
        <v>0.58837031369548576</v>
      </c>
      <c r="J338" s="133">
        <f>IFERROR(VLOOKUP(J$4,'Delayed discharges'!$AX$4:$BF$17,3,FALSE),"")</f>
        <v>0.55898179776332413</v>
      </c>
      <c r="K338" s="133">
        <f>IFERROR(VLOOKUP(K$4,'Delayed discharges'!$AX$4:$BF$17,3,FALSE),"")</f>
        <v>0.5801349953195053</v>
      </c>
      <c r="L338" s="133" t="str">
        <f>IFERROR(VLOOKUP(L$4,'Delayed discharges'!$AX$4:$BF$17,3,FALSE),"")</f>
        <v/>
      </c>
      <c r="M338" s="133" t="str">
        <f>IFERROR(VLOOKUP(M$4,'Delayed discharges'!$AX$4:$BF$17,3,FALSE),"")</f>
        <v/>
      </c>
      <c r="N338" s="133" t="str">
        <f>IFERROR(VLOOKUP(N$4,'Delayed discharges'!$AX$4:$BF$17,3,FALSE),"")</f>
        <v/>
      </c>
      <c r="O338" s="133" t="str">
        <f>IFERROR(VLOOKUP(O$4,'Delayed discharges'!$AX$4:$BF$17,3,FALSE),"")</f>
        <v/>
      </c>
      <c r="P338" s="133" t="str">
        <f>IFERROR(VLOOKUP(P$4,'Delayed discharges'!$AX$4:$BF$17,3,FALSE),"")</f>
        <v/>
      </c>
      <c r="Q338" s="133" t="str">
        <f>IFERROR(VLOOKUP(Q$4,'Delayed discharges'!$AX$4:$BF$17,3,FALSE),"")</f>
        <v/>
      </c>
      <c r="AA338" s="137"/>
      <c r="AB338" s="137"/>
      <c r="AC338" s="137"/>
      <c r="AD338" s="137"/>
    </row>
    <row r="339" spans="2:30" x14ac:dyDescent="0.35">
      <c r="B339" s="136"/>
      <c r="C339" s="1" t="s">
        <v>25</v>
      </c>
      <c r="D339" s="133">
        <f>IFERROR(VLOOKUP(D$4,'Delayed discharges'!$AX$4:$BF$17,6,FALSE),"")</f>
        <v>0.6048885521751266</v>
      </c>
      <c r="E339" s="133">
        <f>IFERROR(VLOOKUP(E$4,'Delayed discharges'!$AX$4:$BF$17,6,FALSE),"")</f>
        <v>0.60305248790172472</v>
      </c>
      <c r="F339" s="133">
        <f>IFERROR(VLOOKUP(F$4,'Delayed discharges'!$AX$4:$BF$17,6,FALSE),"")</f>
        <v>0.60041857844321023</v>
      </c>
      <c r="G339" s="133">
        <f>IFERROR(VLOOKUP(G$4,'Delayed discharges'!$AX$4:$BF$17,6,FALSE),"")</f>
        <v>0.58068777773329594</v>
      </c>
      <c r="H339" s="133">
        <f>IFERROR(VLOOKUP(H$4,'Delayed discharges'!$AX$4:$BF$17,6,FALSE),"")</f>
        <v>0.6235908715974704</v>
      </c>
      <c r="I339" s="133">
        <f>IFERROR(VLOOKUP(I$4,'Delayed discharges'!$AX$4:$BF$17,6,FALSE),"")</f>
        <v>0.63886898992878516</v>
      </c>
      <c r="J339" s="133">
        <f>IFERROR(VLOOKUP(J$4,'Delayed discharges'!$AX$4:$BF$17,6,FALSE),"")</f>
        <v>0.61488835664065511</v>
      </c>
      <c r="K339" s="133">
        <f>IFERROR(VLOOKUP(K$4,'Delayed discharges'!$AX$4:$BF$17,6,FALSE),"")</f>
        <v>0.61751927668401907</v>
      </c>
      <c r="L339" s="133" t="str">
        <f>IFERROR(VLOOKUP(L$4,'Delayed discharges'!$AX$4:$BF$17,6,FALSE),"")</f>
        <v/>
      </c>
      <c r="M339" s="133" t="str">
        <f>IFERROR(VLOOKUP(M$4,'Delayed discharges'!$AX$4:$BF$17,6,FALSE),"")</f>
        <v/>
      </c>
      <c r="N339" s="133" t="str">
        <f>IFERROR(VLOOKUP(N$4,'Delayed discharges'!$AX$4:$BF$17,6,FALSE),"")</f>
        <v/>
      </c>
      <c r="O339" s="133" t="str">
        <f>IFERROR(VLOOKUP(O$4,'Delayed discharges'!$AX$4:$BF$17,6,FALSE),"")</f>
        <v/>
      </c>
      <c r="P339" s="133" t="str">
        <f>IFERROR(VLOOKUP(P$4,'Delayed discharges'!$AX$4:$BF$17,6,FALSE),"")</f>
        <v/>
      </c>
      <c r="Q339" s="133" t="str">
        <f>IFERROR(VLOOKUP(Q$4,'Delayed discharges'!$AX$4:$BF$17,6,FALSE),"")</f>
        <v/>
      </c>
      <c r="AA339" s="138" t="s">
        <v>107</v>
      </c>
      <c r="AB339" s="138"/>
      <c r="AC339" s="138"/>
      <c r="AD339" s="138"/>
    </row>
    <row r="340" spans="2:30" x14ac:dyDescent="0.35">
      <c r="B340" s="136"/>
      <c r="C340" s="1" t="s">
        <v>37</v>
      </c>
      <c r="D340" s="133">
        <f>IFERROR(VLOOKUP(D$4,'Delayed discharges'!$AX$4:$BF$17,7,FALSE),"")</f>
        <v>0.58621227887617067</v>
      </c>
      <c r="E340" s="133">
        <f>IFERROR(VLOOKUP(E$4,'Delayed discharges'!$AX$4:$BF$17,7,FALSE),"")</f>
        <v>0.58328721638074155</v>
      </c>
      <c r="F340" s="133">
        <f>IFERROR(VLOOKUP(F$4,'Delayed discharges'!$AX$4:$BF$17,7,FALSE),"")</f>
        <v>0.57272588909745825</v>
      </c>
      <c r="G340" s="133">
        <f>IFERROR(VLOOKUP(G$4,'Delayed discharges'!$AX$4:$BF$17,7,FALSE),"")</f>
        <v>0.5578300921187308</v>
      </c>
      <c r="H340" s="133">
        <f>IFERROR(VLOOKUP(H$4,'Delayed discharges'!$AX$4:$BF$17,7,FALSE),"")</f>
        <v>0.5880444577951337</v>
      </c>
      <c r="I340" s="133">
        <f>IFERROR(VLOOKUP(I$4,'Delayed discharges'!$AX$4:$BF$17,7,FALSE),"")</f>
        <v>0.60774729317775678</v>
      </c>
      <c r="J340" s="133">
        <f>IFERROR(VLOOKUP(J$4,'Delayed discharges'!$AX$4:$BF$17,7,FALSE),"")</f>
        <v>0.60564689763163049</v>
      </c>
      <c r="K340" s="133">
        <f>IFERROR(VLOOKUP(K$4,'Delayed discharges'!$AX$4:$BF$17,7,FALSE),"")</f>
        <v>0.61164333087693434</v>
      </c>
      <c r="L340" s="133" t="str">
        <f>IFERROR(VLOOKUP(L$4,'Delayed discharges'!$AX$4:$BF$17,7,FALSE),"")</f>
        <v/>
      </c>
      <c r="M340" s="133" t="str">
        <f>IFERROR(VLOOKUP(M$4,'Delayed discharges'!$AX$4:$BF$17,7,FALSE),"")</f>
        <v/>
      </c>
      <c r="N340" s="133" t="str">
        <f>IFERROR(VLOOKUP(N$4,'Delayed discharges'!$AX$4:$BF$17,7,FALSE),"")</f>
        <v/>
      </c>
      <c r="O340" s="133" t="str">
        <f>IFERROR(VLOOKUP(O$4,'Delayed discharges'!$AX$4:$BF$17,7,FALSE),"")</f>
        <v/>
      </c>
      <c r="P340" s="133" t="str">
        <f>IFERROR(VLOOKUP(P$4,'Delayed discharges'!$AX$4:$BF$17,7,FALSE),"")</f>
        <v/>
      </c>
      <c r="Q340" s="133" t="str">
        <f>IFERROR(VLOOKUP(Q$4,'Delayed discharges'!$AX$4:$BF$17,7,FALSE),"")</f>
        <v/>
      </c>
      <c r="AA340" s="138"/>
      <c r="AB340" s="138"/>
      <c r="AC340" s="138"/>
      <c r="AD340" s="138"/>
    </row>
    <row r="341" spans="2:30" x14ac:dyDescent="0.35">
      <c r="B341" s="136"/>
      <c r="C341" s="1" t="s">
        <v>87</v>
      </c>
      <c r="D341" s="133">
        <f>IFERROR(VLOOKUP(D$4,'Delayed discharges'!$AX$4:$BF$17,8,FALSE),"")</f>
        <v>0.375</v>
      </c>
      <c r="E341" s="133">
        <f>IFERROR(VLOOKUP(E$4,'Delayed discharges'!$AX$4:$BF$17,8,FALSE),"")</f>
        <v>0.38639781271360218</v>
      </c>
      <c r="F341" s="133">
        <f>IFERROR(VLOOKUP(F$4,'Delayed discharges'!$AX$4:$BF$17,8,FALSE),"")</f>
        <v>0.39369150268995506</v>
      </c>
      <c r="G341" s="133">
        <f>IFERROR(VLOOKUP(G$4,'Delayed discharges'!$AX$4:$BF$17,8,FALSE),"")</f>
        <v>0.38012555095498868</v>
      </c>
      <c r="H341" s="133">
        <f>IFERROR(VLOOKUP(H$4,'Delayed discharges'!$AX$4:$BF$17,8,FALSE),"")</f>
        <v>0.40359790122428585</v>
      </c>
      <c r="I341" s="133">
        <f>IFERROR(VLOOKUP(I$4,'Delayed discharges'!$AX$4:$BF$17,8,FALSE),"")</f>
        <v>0.42122708039492246</v>
      </c>
      <c r="J341" s="133">
        <f>IFERROR(VLOOKUP(J$4,'Delayed discharges'!$AX$4:$BF$17,8,FALSE),"")</f>
        <v>0.41417395306028526</v>
      </c>
      <c r="K341" s="133">
        <f>IFERROR(VLOOKUP(K$4,'Delayed discharges'!$AX$4:$BF$17,8,FALSE),"")</f>
        <v>0.432634244529576</v>
      </c>
      <c r="L341" s="133" t="str">
        <f>IFERROR(VLOOKUP(L$4,'Delayed discharges'!$AX$4:$BF$17,8,FALSE),"")</f>
        <v/>
      </c>
      <c r="M341" s="133" t="str">
        <f>IFERROR(VLOOKUP(M$4,'Delayed discharges'!$AX$4:$BF$17,8,FALSE),"")</f>
        <v/>
      </c>
      <c r="N341" s="133" t="str">
        <f>IFERROR(VLOOKUP(N$4,'Delayed discharges'!$AX$4:$BF$17,8,FALSE),"")</f>
        <v/>
      </c>
      <c r="O341" s="133" t="str">
        <f>IFERROR(VLOOKUP(O$4,'Delayed discharges'!$AX$4:$BF$17,8,FALSE),"")</f>
        <v/>
      </c>
      <c r="P341" s="133" t="str">
        <f>IFERROR(VLOOKUP(P$4,'Delayed discharges'!$AX$4:$BF$17,8,FALSE),"")</f>
        <v/>
      </c>
      <c r="Q341" s="133" t="str">
        <f>IFERROR(VLOOKUP(Q$4,'Delayed discharges'!$AX$4:$BF$17,8,FALSE),"")</f>
        <v/>
      </c>
      <c r="AA341" s="138"/>
      <c r="AB341" s="138"/>
      <c r="AC341" s="138"/>
      <c r="AD341" s="138"/>
    </row>
    <row r="342" spans="2:30" x14ac:dyDescent="0.35">
      <c r="B342" s="136"/>
      <c r="C342" s="1" t="s">
        <v>62</v>
      </c>
      <c r="D342" s="133">
        <f>IFERROR(VLOOKUP(D$4,'Delayed discharges'!$AX$4:$BF$17,9,FALSE),"")</f>
        <v>0.61963217372036339</v>
      </c>
      <c r="E342" s="133">
        <f>IFERROR(VLOOKUP(E$4,'Delayed discharges'!$AX$4:$BF$17,9,FALSE),"")</f>
        <v>0.61066726177192587</v>
      </c>
      <c r="F342" s="133">
        <f>IFERROR(VLOOKUP(F$4,'Delayed discharges'!$AX$4:$BF$17,9,FALSE),"")</f>
        <v>0.63616242102297882</v>
      </c>
      <c r="G342" s="133">
        <f>IFERROR(VLOOKUP(G$4,'Delayed discharges'!$AX$4:$BF$17,9,FALSE),"")</f>
        <v>0.63190777540408727</v>
      </c>
      <c r="H342" s="133">
        <f>IFERROR(VLOOKUP(H$4,'Delayed discharges'!$AX$4:$BF$17,9,FALSE),"")</f>
        <v>0.65552956899432002</v>
      </c>
      <c r="I342" s="133">
        <f>IFERROR(VLOOKUP(I$4,'Delayed discharges'!$AX$4:$BF$17,9,FALSE),"")</f>
        <v>0.67108917000925639</v>
      </c>
      <c r="J342" s="133">
        <f>IFERROR(VLOOKUP(J$4,'Delayed discharges'!$AX$4:$BF$17,9,FALSE),"")</f>
        <v>0.66444901415265512</v>
      </c>
      <c r="K342" s="133">
        <f>IFERROR(VLOOKUP(K$4,'Delayed discharges'!$AX$4:$BF$17,9,FALSE),"")</f>
        <v>0.6679243784256097</v>
      </c>
      <c r="L342" s="133" t="str">
        <f>IFERROR(VLOOKUP(L$4,'Delayed discharges'!$AX$4:$BF$17,9,FALSE),"")</f>
        <v/>
      </c>
      <c r="M342" s="133" t="str">
        <f>IFERROR(VLOOKUP(M$4,'Delayed discharges'!$AX$4:$BF$17,9,FALSE),"")</f>
        <v/>
      </c>
      <c r="N342" s="133" t="str">
        <f>IFERROR(VLOOKUP(N$4,'Delayed discharges'!$AX$4:$BF$17,9,FALSE),"")</f>
        <v/>
      </c>
      <c r="O342" s="133" t="str">
        <f>IFERROR(VLOOKUP(O$4,'Delayed discharges'!$AX$4:$BF$17,9,FALSE),"")</f>
        <v/>
      </c>
      <c r="P342" s="133" t="str">
        <f>IFERROR(VLOOKUP(P$4,'Delayed discharges'!$AX$4:$BF$17,9,FALSE),"")</f>
        <v/>
      </c>
      <c r="Q342" s="133" t="str">
        <f>IFERROR(VLOOKUP(Q$4,'Delayed discharges'!$AX$4:$BF$17,9,FALSE),"")</f>
        <v/>
      </c>
      <c r="AA342" s="138"/>
      <c r="AB342" s="138"/>
      <c r="AC342" s="138"/>
      <c r="AD342" s="138"/>
    </row>
    <row r="343" spans="2:30" x14ac:dyDescent="0.35">
      <c r="B343" s="136"/>
      <c r="AA343" s="138"/>
      <c r="AB343" s="138"/>
      <c r="AC343" s="138"/>
      <c r="AD343" s="138"/>
    </row>
    <row r="344" spans="2:30" ht="13.5" customHeight="1" x14ac:dyDescent="0.35">
      <c r="B344" s="136"/>
      <c r="AA344" s="138"/>
      <c r="AB344" s="138"/>
      <c r="AC344" s="138"/>
      <c r="AD344" s="138"/>
    </row>
    <row r="345" spans="2:30" ht="29.5" customHeight="1" x14ac:dyDescent="0.35">
      <c r="B345" s="136"/>
      <c r="C345" s="114" t="s">
        <v>108</v>
      </c>
      <c r="D345" s="126">
        <v>22585.714285714286</v>
      </c>
      <c r="E345" s="126">
        <v>22343.142857142859</v>
      </c>
      <c r="F345" s="126">
        <v>22771.285714285714</v>
      </c>
      <c r="G345" s="126">
        <v>22494.428571428572</v>
      </c>
      <c r="H345" s="126">
        <v>20301.714285714286</v>
      </c>
      <c r="I345" s="126">
        <v>22602.857142857141</v>
      </c>
      <c r="J345" s="126">
        <v>23671.142857142859</v>
      </c>
      <c r="K345" s="126">
        <v>22982.571428571428</v>
      </c>
      <c r="L345" s="126">
        <v>23516.571428571428</v>
      </c>
      <c r="M345" s="126">
        <v>23772.142857142859</v>
      </c>
      <c r="N345" s="126">
        <v>23151.142857142859</v>
      </c>
      <c r="O345" s="126">
        <v>23241.857142857141</v>
      </c>
      <c r="P345" s="126">
        <v>23585.857142857141</v>
      </c>
      <c r="Q345" s="126">
        <v>22835.714285714286</v>
      </c>
    </row>
    <row r="346" spans="2:30" x14ac:dyDescent="0.35">
      <c r="B346" s="136"/>
      <c r="C346" s="1" t="s">
        <v>18</v>
      </c>
      <c r="D346" s="11">
        <v>23442.571428571428</v>
      </c>
      <c r="E346" s="11">
        <v>23244.714285714286</v>
      </c>
      <c r="F346" s="11">
        <v>23088.285714285714</v>
      </c>
      <c r="G346" s="11">
        <v>23049.285714285714</v>
      </c>
      <c r="H346" s="11">
        <v>19534.857142857141</v>
      </c>
      <c r="I346" s="11">
        <v>21748.142857142859</v>
      </c>
      <c r="J346" s="11">
        <v>23644.857142857141</v>
      </c>
      <c r="K346" s="11">
        <v>25004.142857142859</v>
      </c>
      <c r="L346" s="11">
        <v>24280.714285714286</v>
      </c>
      <c r="M346" s="11">
        <v>24530.571428571428</v>
      </c>
      <c r="N346" s="11">
        <v>24551.857142857141</v>
      </c>
      <c r="O346" s="11">
        <v>24435.714285714286</v>
      </c>
      <c r="P346" s="123">
        <v>24141</v>
      </c>
      <c r="Q346" s="68">
        <v>23904.714285714286</v>
      </c>
    </row>
    <row r="347" spans="2:30" ht="9" customHeight="1" x14ac:dyDescent="0.35">
      <c r="B347" s="136"/>
      <c r="C347" s="114"/>
    </row>
    <row r="348" spans="2:30" x14ac:dyDescent="0.35">
      <c r="B348" s="136"/>
      <c r="C348" s="13" t="s">
        <v>20</v>
      </c>
      <c r="D348" s="51">
        <f>IFERROR(VLOOKUP(D$4,'Delayed discharges'!$T$5:$AB$18,2,FALSE),"")</f>
        <v>21800.714285714286</v>
      </c>
      <c r="E348" s="51">
        <f>IFERROR(VLOOKUP(E$4,'Delayed discharges'!$T$5:$AB$18,2,FALSE),"")</f>
        <v>22215.285714285714</v>
      </c>
      <c r="F348" s="51">
        <f>IFERROR(VLOOKUP(F$4,'Delayed discharges'!$T$5:$AB$18,2,FALSE),"")</f>
        <v>22408.571428571428</v>
      </c>
      <c r="G348" s="51">
        <f>IFERROR(VLOOKUP(G$4,'Delayed discharges'!$T$5:$AB$18,2,FALSE),"")</f>
        <v>22582.714285714286</v>
      </c>
      <c r="H348" s="51">
        <f>IFERROR(VLOOKUP(H$4,'Delayed discharges'!$T$5:$AB$18,2,FALSE),"")</f>
        <v>19017</v>
      </c>
      <c r="I348" s="51">
        <f>IFERROR(VLOOKUP(I$4,'Delayed discharges'!$T$5:$AB$18,2,FALSE),"")</f>
        <v>21349</v>
      </c>
      <c r="J348" s="51">
        <f>IFERROR(VLOOKUP(J$4,'Delayed discharges'!$T$5:$AB$18,2,FALSE),"")</f>
        <v>23398.428571428572</v>
      </c>
      <c r="K348" s="51">
        <f>IFERROR(VLOOKUP(K$4,'Delayed discharges'!$T$5:$AB$18,2,FALSE),"")</f>
        <v>23401.571428571428</v>
      </c>
      <c r="L348" s="51" t="str">
        <f>IFERROR(VLOOKUP(L$4,'Delayed discharges'!$T$5:$AB$18,2,FALSE),"")</f>
        <v/>
      </c>
      <c r="M348" s="51" t="str">
        <f>IFERROR(VLOOKUP(M$4,'Delayed discharges'!$T$5:$AB$18,2,FALSE),"")</f>
        <v/>
      </c>
      <c r="N348" s="51" t="str">
        <f>IFERROR(VLOOKUP(N$4,'Delayed discharges'!$T$5:$AB$18,2,FALSE),"")</f>
        <v/>
      </c>
      <c r="O348" s="51" t="str">
        <f>IFERROR(VLOOKUP(O$4,'Delayed discharges'!$T$5:$AB$18,2,FALSE),"")</f>
        <v/>
      </c>
      <c r="P348" s="51" t="str">
        <f>IFERROR(VLOOKUP(P$4,'Delayed discharges'!$T$5:$AB$18,2,FALSE),"")</f>
        <v/>
      </c>
      <c r="Q348" s="51" t="str">
        <f>IFERROR(VLOOKUP(Q$4,'Delayed discharges'!$T$5:$AB$18,2,FALSE),"")</f>
        <v/>
      </c>
      <c r="AA348" s="152" t="s">
        <v>109</v>
      </c>
      <c r="AB348" s="152"/>
      <c r="AC348" s="152"/>
      <c r="AD348" s="152"/>
    </row>
    <row r="349" spans="2:30" x14ac:dyDescent="0.35">
      <c r="B349" s="136"/>
      <c r="C349" s="1" t="s">
        <v>21</v>
      </c>
      <c r="D349" s="134">
        <f>IFERROR(VLOOKUP(D$4,'Delayed discharges'!$T$5:$AB$18,4,FALSE),"")</f>
        <v>3799.7142857142858</v>
      </c>
      <c r="E349" s="134">
        <f>IFERROR(VLOOKUP(E$4,'Delayed discharges'!$T$5:$AB$18,4,FALSE),"")</f>
        <v>3938.2857142857142</v>
      </c>
      <c r="F349" s="134">
        <f>IFERROR(VLOOKUP(F$4,'Delayed discharges'!$T$5:$AB$18,4,FALSE),"")</f>
        <v>3998.2857142857142</v>
      </c>
      <c r="G349" s="134">
        <f>IFERROR(VLOOKUP(G$4,'Delayed discharges'!$T$5:$AB$18,4,FALSE),"")</f>
        <v>3906.1428571428573</v>
      </c>
      <c r="H349" s="134">
        <f>IFERROR(VLOOKUP(H$4,'Delayed discharges'!$T$5:$AB$18,4,FALSE),"")</f>
        <v>3270.4285714285716</v>
      </c>
      <c r="I349" s="134">
        <f>IFERROR(VLOOKUP(I$4,'Delayed discharges'!$T$5:$AB$18,4,FALSE),"")</f>
        <v>3758.1428571428573</v>
      </c>
      <c r="J349" s="134">
        <f>IFERROR(VLOOKUP(J$4,'Delayed discharges'!$T$5:$AB$18,4,FALSE),"")</f>
        <v>4134.7142857142853</v>
      </c>
      <c r="K349" s="134">
        <f>IFERROR(VLOOKUP(K$4,'Delayed discharges'!$T$5:$AB$18,4,FALSE),"")</f>
        <v>4216.7142857142853</v>
      </c>
      <c r="L349" s="134" t="str">
        <f>IFERROR(VLOOKUP(L$4,'Delayed discharges'!$T$5:$AB$18,4,FALSE),"")</f>
        <v/>
      </c>
      <c r="M349" s="134" t="str">
        <f>IFERROR(VLOOKUP(M$4,'Delayed discharges'!$T$5:$AB$18,4,FALSE),"")</f>
        <v/>
      </c>
      <c r="N349" s="134" t="str">
        <f>IFERROR(VLOOKUP(N$4,'Delayed discharges'!$T$5:$AB$18,4,FALSE),"")</f>
        <v/>
      </c>
      <c r="O349" s="134" t="str">
        <f>IFERROR(VLOOKUP(O$4,'Delayed discharges'!$T$5:$AB$18,4,FALSE),"")</f>
        <v/>
      </c>
      <c r="P349" s="134" t="str">
        <f>IFERROR(VLOOKUP(P$4,'Delayed discharges'!$T$5:$AB$18,4,FALSE),"")</f>
        <v/>
      </c>
      <c r="Q349" s="134" t="str">
        <f>IFERROR(VLOOKUP(Q$4,'Delayed discharges'!$T$5:$AB$18,4,FALSE),"")</f>
        <v/>
      </c>
      <c r="AA349" s="152"/>
      <c r="AB349" s="152"/>
      <c r="AC349" s="152"/>
      <c r="AD349" s="152"/>
    </row>
    <row r="350" spans="2:30" x14ac:dyDescent="0.35">
      <c r="B350" s="136"/>
      <c r="C350" s="1" t="s">
        <v>22</v>
      </c>
      <c r="D350" s="134">
        <f>IFERROR(VLOOKUP(D$4,'Delayed discharges'!$T$5:$AB$18,5,FALSE),"")</f>
        <v>3746.1428571428573</v>
      </c>
      <c r="E350" s="134">
        <f>IFERROR(VLOOKUP(E$4,'Delayed discharges'!$T$5:$AB$18,5,FALSE),"")</f>
        <v>3744.2857142857142</v>
      </c>
      <c r="F350" s="134">
        <f>IFERROR(VLOOKUP(F$4,'Delayed discharges'!$T$5:$AB$18,5,FALSE),"")</f>
        <v>3780</v>
      </c>
      <c r="G350" s="134">
        <f>IFERROR(VLOOKUP(G$4,'Delayed discharges'!$T$5:$AB$18,5,FALSE),"")</f>
        <v>3803.1428571428573</v>
      </c>
      <c r="H350" s="134">
        <f>IFERROR(VLOOKUP(H$4,'Delayed discharges'!$T$5:$AB$18,5,FALSE),"")</f>
        <v>3214.2857142857142</v>
      </c>
      <c r="I350" s="134">
        <f>IFERROR(VLOOKUP(I$4,'Delayed discharges'!$T$5:$AB$18,5,FALSE),"")</f>
        <v>3602</v>
      </c>
      <c r="J350" s="134">
        <f>IFERROR(VLOOKUP(J$4,'Delayed discharges'!$T$5:$AB$18,5,FALSE),"")</f>
        <v>3877.2857142857142</v>
      </c>
      <c r="K350" s="134">
        <f>IFERROR(VLOOKUP(K$4,'Delayed discharges'!$T$5:$AB$18,5,FALSE),"")</f>
        <v>3930.5714285714284</v>
      </c>
      <c r="L350" s="134" t="str">
        <f>IFERROR(VLOOKUP(L$4,'Delayed discharges'!$T$5:$AB$18,5,FALSE),"")</f>
        <v/>
      </c>
      <c r="M350" s="134" t="str">
        <f>IFERROR(VLOOKUP(M$4,'Delayed discharges'!$T$5:$AB$18,5,FALSE),"")</f>
        <v/>
      </c>
      <c r="N350" s="134" t="str">
        <f>IFERROR(VLOOKUP(N$4,'Delayed discharges'!$T$5:$AB$18,5,FALSE),"")</f>
        <v/>
      </c>
      <c r="O350" s="134" t="str">
        <f>IFERROR(VLOOKUP(O$4,'Delayed discharges'!$T$5:$AB$18,5,FALSE),"")</f>
        <v/>
      </c>
      <c r="P350" s="134" t="str">
        <f>IFERROR(VLOOKUP(P$4,'Delayed discharges'!$T$5:$AB$18,5,FALSE),"")</f>
        <v/>
      </c>
      <c r="Q350" s="134" t="str">
        <f>IFERROR(VLOOKUP(Q$4,'Delayed discharges'!$T$5:$AB$18,5,FALSE),"")</f>
        <v/>
      </c>
      <c r="AA350" s="152"/>
      <c r="AB350" s="152"/>
      <c r="AC350" s="152"/>
      <c r="AD350" s="152"/>
    </row>
    <row r="351" spans="2:30" x14ac:dyDescent="0.35">
      <c r="B351" s="136"/>
      <c r="C351" s="1" t="s">
        <v>24</v>
      </c>
      <c r="D351" s="134">
        <f>IFERROR(VLOOKUP(D$4,'Delayed discharges'!$T$5:$AB$18,3,FALSE),"")</f>
        <v>2796.5714285714284</v>
      </c>
      <c r="E351" s="134">
        <f>IFERROR(VLOOKUP(E$4,'Delayed discharges'!$T$5:$AB$18,3,FALSE),"")</f>
        <v>2948.5714285714284</v>
      </c>
      <c r="F351" s="134">
        <f>IFERROR(VLOOKUP(F$4,'Delayed discharges'!$T$5:$AB$18,3,FALSE),"")</f>
        <v>2776.7142857142858</v>
      </c>
      <c r="G351" s="134">
        <f>IFERROR(VLOOKUP(G$4,'Delayed discharges'!$T$5:$AB$18,3,FALSE),"")</f>
        <v>2830.2857142857142</v>
      </c>
      <c r="H351" s="134">
        <f>IFERROR(VLOOKUP(H$4,'Delayed discharges'!$T$5:$AB$18,3,FALSE),"")</f>
        <v>2328.7142857142858</v>
      </c>
      <c r="I351" s="134">
        <f>IFERROR(VLOOKUP(I$4,'Delayed discharges'!$T$5:$AB$18,3,FALSE),"")</f>
        <v>2614</v>
      </c>
      <c r="J351" s="134">
        <f>IFERROR(VLOOKUP(J$4,'Delayed discharges'!$T$5:$AB$18,3,FALSE),"")</f>
        <v>3053</v>
      </c>
      <c r="K351" s="134">
        <f>IFERROR(VLOOKUP(K$4,'Delayed discharges'!$T$5:$AB$18,3,FALSE),"")</f>
        <v>2899.5714285714284</v>
      </c>
      <c r="L351" s="134" t="str">
        <f>IFERROR(VLOOKUP(L$4,'Delayed discharges'!$T$5:$AB$18,3,FALSE),"")</f>
        <v/>
      </c>
      <c r="M351" s="134" t="str">
        <f>IFERROR(VLOOKUP(M$4,'Delayed discharges'!$T$5:$AB$18,3,FALSE),"")</f>
        <v/>
      </c>
      <c r="N351" s="134" t="str">
        <f>IFERROR(VLOOKUP(N$4,'Delayed discharges'!$T$5:$AB$18,3,FALSE),"")</f>
        <v/>
      </c>
      <c r="O351" s="134" t="str">
        <f>IFERROR(VLOOKUP(O$4,'Delayed discharges'!$T$5:$AB$18,3,FALSE),"")</f>
        <v/>
      </c>
      <c r="P351" s="134" t="str">
        <f>IFERROR(VLOOKUP(P$4,'Delayed discharges'!$T$5:$AB$18,3,FALSE),"")</f>
        <v/>
      </c>
      <c r="Q351" s="134" t="str">
        <f>IFERROR(VLOOKUP(Q$4,'Delayed discharges'!$T$5:$AB$18,3,FALSE),"")</f>
        <v/>
      </c>
      <c r="AA351" s="152"/>
      <c r="AB351" s="152"/>
      <c r="AC351" s="152"/>
      <c r="AD351" s="152"/>
    </row>
    <row r="352" spans="2:30" x14ac:dyDescent="0.35">
      <c r="B352" s="136"/>
      <c r="C352" s="1" t="s">
        <v>25</v>
      </c>
      <c r="D352" s="134">
        <f>IFERROR(VLOOKUP(D$4,'Delayed discharges'!$T$5:$AB$18,6,FALSE),"")</f>
        <v>3582.7142857142858</v>
      </c>
      <c r="E352" s="134">
        <f>IFERROR(VLOOKUP(E$4,'Delayed discharges'!$T$5:$AB$18,6,FALSE),"")</f>
        <v>3453.8571428571427</v>
      </c>
      <c r="F352" s="134">
        <f>IFERROR(VLOOKUP(F$4,'Delayed discharges'!$T$5:$AB$18,6,FALSE),"")</f>
        <v>3549.4285714285716</v>
      </c>
      <c r="G352" s="134">
        <f>IFERROR(VLOOKUP(G$4,'Delayed discharges'!$T$5:$AB$18,6,FALSE),"")</f>
        <v>3568.4285714285716</v>
      </c>
      <c r="H352" s="134">
        <f>IFERROR(VLOOKUP(H$4,'Delayed discharges'!$T$5:$AB$18,6,FALSE),"")</f>
        <v>3117.4285714285716</v>
      </c>
      <c r="I352" s="134">
        <f>IFERROR(VLOOKUP(I$4,'Delayed discharges'!$T$5:$AB$18,6,FALSE),"")</f>
        <v>3390.1428571428573</v>
      </c>
      <c r="J352" s="134">
        <f>IFERROR(VLOOKUP(J$4,'Delayed discharges'!$T$5:$AB$18,6,FALSE),"")</f>
        <v>3698</v>
      </c>
      <c r="K352" s="134">
        <f>IFERROR(VLOOKUP(K$4,'Delayed discharges'!$T$5:$AB$18,6,FALSE),"")</f>
        <v>3649.8571428571427</v>
      </c>
      <c r="L352" s="134" t="str">
        <f>IFERROR(VLOOKUP(L$4,'Delayed discharges'!$T$5:$AB$18,6,FALSE),"")</f>
        <v/>
      </c>
      <c r="M352" s="134" t="str">
        <f>IFERROR(VLOOKUP(M$4,'Delayed discharges'!$T$5:$AB$18,6,FALSE),"")</f>
        <v/>
      </c>
      <c r="N352" s="134" t="str">
        <f>IFERROR(VLOOKUP(N$4,'Delayed discharges'!$T$5:$AB$18,6,FALSE),"")</f>
        <v/>
      </c>
      <c r="O352" s="134" t="str">
        <f>IFERROR(VLOOKUP(O$4,'Delayed discharges'!$T$5:$AB$18,6,FALSE),"")</f>
        <v/>
      </c>
      <c r="P352" s="134" t="str">
        <f>IFERROR(VLOOKUP(P$4,'Delayed discharges'!$T$5:$AB$18,6,FALSE),"")</f>
        <v/>
      </c>
      <c r="Q352" s="134" t="str">
        <f>IFERROR(VLOOKUP(Q$4,'Delayed discharges'!$T$5:$AB$18,6,FALSE),"")</f>
        <v/>
      </c>
      <c r="AA352" s="153" t="s">
        <v>110</v>
      </c>
      <c r="AB352" s="153"/>
      <c r="AC352" s="153"/>
      <c r="AD352" s="153"/>
    </row>
    <row r="353" spans="2:30" x14ac:dyDescent="0.35">
      <c r="B353" s="136"/>
      <c r="C353" s="1" t="s">
        <v>37</v>
      </c>
      <c r="D353" s="134">
        <f>IFERROR(VLOOKUP(D$4,'Delayed discharges'!$T$5:$AB$18,7,FALSE),"")</f>
        <v>2745.7142857142858</v>
      </c>
      <c r="E353" s="134">
        <f>IFERROR(VLOOKUP(E$4,'Delayed discharges'!$T$5:$AB$18,7,FALSE),"")</f>
        <v>2839.5714285714284</v>
      </c>
      <c r="F353" s="134">
        <f>IFERROR(VLOOKUP(F$4,'Delayed discharges'!$T$5:$AB$18,7,FALSE),"")</f>
        <v>2815.8571428571427</v>
      </c>
      <c r="G353" s="134">
        <f>IFERROR(VLOOKUP(G$4,'Delayed discharges'!$T$5:$AB$18,7,FALSE),"")</f>
        <v>2791.4285714285716</v>
      </c>
      <c r="H353" s="134">
        <f>IFERROR(VLOOKUP(H$4,'Delayed discharges'!$T$5:$AB$18,7,FALSE),"")</f>
        <v>2377.8571428571427</v>
      </c>
      <c r="I353" s="134">
        <f>IFERROR(VLOOKUP(I$4,'Delayed discharges'!$T$5:$AB$18,7,FALSE),"")</f>
        <v>2718</v>
      </c>
      <c r="J353" s="134">
        <f>IFERROR(VLOOKUP(J$4,'Delayed discharges'!$T$5:$AB$18,7,FALSE),"")</f>
        <v>2919.4285714285716</v>
      </c>
      <c r="K353" s="134">
        <f>IFERROR(VLOOKUP(K$4,'Delayed discharges'!$T$5:$AB$18,7,FALSE),"")</f>
        <v>2907.8571428571427</v>
      </c>
      <c r="L353" s="134" t="str">
        <f>IFERROR(VLOOKUP(L$4,'Delayed discharges'!$T$5:$AB$18,7,FALSE),"")</f>
        <v/>
      </c>
      <c r="M353" s="134" t="str">
        <f>IFERROR(VLOOKUP(M$4,'Delayed discharges'!$T$5:$AB$18,7,FALSE),"")</f>
        <v/>
      </c>
      <c r="N353" s="134" t="str">
        <f>IFERROR(VLOOKUP(N$4,'Delayed discharges'!$T$5:$AB$18,7,FALSE),"")</f>
        <v/>
      </c>
      <c r="O353" s="134" t="str">
        <f>IFERROR(VLOOKUP(O$4,'Delayed discharges'!$T$5:$AB$18,7,FALSE),"")</f>
        <v/>
      </c>
      <c r="P353" s="134" t="str">
        <f>IFERROR(VLOOKUP(P$4,'Delayed discharges'!$T$5:$AB$18,7,FALSE),"")</f>
        <v/>
      </c>
      <c r="Q353" s="134" t="str">
        <f>IFERROR(VLOOKUP(Q$4,'Delayed discharges'!$T$5:$AB$18,7,FALSE),"")</f>
        <v/>
      </c>
      <c r="AA353" s="153"/>
      <c r="AB353" s="153"/>
      <c r="AC353" s="153"/>
      <c r="AD353" s="153"/>
    </row>
    <row r="354" spans="2:30" x14ac:dyDescent="0.35">
      <c r="B354" s="136"/>
      <c r="C354" s="1" t="s">
        <v>87</v>
      </c>
      <c r="D354" s="134">
        <f>IFERROR(VLOOKUP(D$4,'Delayed discharges'!$T$5:$AB$18,8,FALSE),"")</f>
        <v>1906.2857142857142</v>
      </c>
      <c r="E354" s="134">
        <f>IFERROR(VLOOKUP(E$4,'Delayed discharges'!$T$5:$AB$18,8,FALSE),"")</f>
        <v>2090</v>
      </c>
      <c r="F354" s="134">
        <f>IFERROR(VLOOKUP(F$4,'Delayed discharges'!$T$5:$AB$18,8,FALSE),"")</f>
        <v>1938.4285714285713</v>
      </c>
      <c r="G354" s="134">
        <f>IFERROR(VLOOKUP(G$4,'Delayed discharges'!$T$5:$AB$18,8,FALSE),"")</f>
        <v>2139.1428571428573</v>
      </c>
      <c r="H354" s="134">
        <f>IFERROR(VLOOKUP(H$4,'Delayed discharges'!$T$5:$AB$18,8,FALSE),"")</f>
        <v>1715.2857142857142</v>
      </c>
      <c r="I354" s="134">
        <f>IFERROR(VLOOKUP(I$4,'Delayed discharges'!$T$5:$AB$18,8,FALSE),"")</f>
        <v>2025.7142857142858</v>
      </c>
      <c r="J354" s="134">
        <f>IFERROR(VLOOKUP(J$4,'Delayed discharges'!$T$5:$AB$18,8,FALSE),"")</f>
        <v>2173</v>
      </c>
      <c r="K354" s="134">
        <f>IFERROR(VLOOKUP(K$4,'Delayed discharges'!$T$5:$AB$18,8,FALSE),"")</f>
        <v>2200.1428571428573</v>
      </c>
      <c r="L354" s="134" t="str">
        <f>IFERROR(VLOOKUP(L$4,'Delayed discharges'!$T$5:$AB$18,8,FALSE),"")</f>
        <v/>
      </c>
      <c r="M354" s="134" t="str">
        <f>IFERROR(VLOOKUP(M$4,'Delayed discharges'!$T$5:$AB$18,8,FALSE),"")</f>
        <v/>
      </c>
      <c r="N354" s="134" t="str">
        <f>IFERROR(VLOOKUP(N$4,'Delayed discharges'!$T$5:$AB$18,8,FALSE),"")</f>
        <v/>
      </c>
      <c r="O354" s="134" t="str">
        <f>IFERROR(VLOOKUP(O$4,'Delayed discharges'!$T$5:$AB$18,8,FALSE),"")</f>
        <v/>
      </c>
      <c r="P354" s="134" t="str">
        <f>IFERROR(VLOOKUP(P$4,'Delayed discharges'!$T$5:$AB$18,8,FALSE),"")</f>
        <v/>
      </c>
      <c r="Q354" s="134" t="str">
        <f>IFERROR(VLOOKUP(Q$4,'Delayed discharges'!$T$5:$AB$18,8,FALSE),"")</f>
        <v/>
      </c>
      <c r="AA354" s="153"/>
      <c r="AB354" s="153"/>
      <c r="AC354" s="153"/>
      <c r="AD354" s="153"/>
    </row>
    <row r="355" spans="2:30" x14ac:dyDescent="0.35">
      <c r="B355" s="136"/>
      <c r="C355" s="1" t="s">
        <v>62</v>
      </c>
      <c r="D355" s="134">
        <f>IFERROR(VLOOKUP(D$4,'Delayed discharges'!$T$5:$AB$18,9,FALSE),"")</f>
        <v>3223.5714285714284</v>
      </c>
      <c r="E355" s="134">
        <f>IFERROR(VLOOKUP(E$4,'Delayed discharges'!$T$5:$AB$18,9,FALSE),"")</f>
        <v>3200.7142857142858</v>
      </c>
      <c r="F355" s="134">
        <f>IFERROR(VLOOKUP(F$4,'Delayed discharges'!$T$5:$AB$18,9,FALSE),"")</f>
        <v>3549.8571428571427</v>
      </c>
      <c r="G355" s="134">
        <f>IFERROR(VLOOKUP(G$4,'Delayed discharges'!$T$5:$AB$18,9,FALSE),"")</f>
        <v>3544.1428571428573</v>
      </c>
      <c r="H355" s="134">
        <f>IFERROR(VLOOKUP(H$4,'Delayed discharges'!$T$5:$AB$18,9,FALSE),"")</f>
        <v>2993</v>
      </c>
      <c r="I355" s="134">
        <f>IFERROR(VLOOKUP(I$4,'Delayed discharges'!$T$5:$AB$18,9,FALSE),"")</f>
        <v>3241</v>
      </c>
      <c r="J355" s="134">
        <f>IFERROR(VLOOKUP(J$4,'Delayed discharges'!$T$5:$AB$18,9,FALSE),"")</f>
        <v>3543</v>
      </c>
      <c r="K355" s="134">
        <f>IFERROR(VLOOKUP(K$4,'Delayed discharges'!$T$5:$AB$18,9,FALSE),"")</f>
        <v>3596.8571428571427</v>
      </c>
      <c r="L355" s="134" t="str">
        <f>IFERROR(VLOOKUP(L$4,'Delayed discharges'!$T$5:$AB$18,9,FALSE),"")</f>
        <v/>
      </c>
      <c r="M355" s="134" t="str">
        <f>IFERROR(VLOOKUP(M$4,'Delayed discharges'!$T$5:$AB$18,9,FALSE),"")</f>
        <v/>
      </c>
      <c r="N355" s="134" t="str">
        <f>IFERROR(VLOOKUP(N$4,'Delayed discharges'!$T$5:$AB$18,9,FALSE),"")</f>
        <v/>
      </c>
      <c r="O355" s="134" t="str">
        <f>IFERROR(VLOOKUP(O$4,'Delayed discharges'!$T$5:$AB$18,9,FALSE),"")</f>
        <v/>
      </c>
      <c r="P355" s="134" t="str">
        <f>IFERROR(VLOOKUP(P$4,'Delayed discharges'!$T$5:$AB$18,9,FALSE),"")</f>
        <v/>
      </c>
      <c r="Q355" s="134" t="str">
        <f>IFERROR(VLOOKUP(Q$4,'Delayed discharges'!$T$5:$AB$18,9,FALSE),"")</f>
        <v/>
      </c>
      <c r="AA355" s="153"/>
      <c r="AB355" s="153"/>
      <c r="AC355" s="153"/>
      <c r="AD355" s="153"/>
    </row>
    <row r="356" spans="2:30" x14ac:dyDescent="0.35">
      <c r="B356" s="136"/>
    </row>
    <row r="357" spans="2:30" x14ac:dyDescent="0.35">
      <c r="B357" s="136"/>
    </row>
    <row r="358" spans="2:30" ht="31" customHeight="1" x14ac:dyDescent="0.35">
      <c r="B358" s="136"/>
      <c r="C358" s="114" t="s">
        <v>111</v>
      </c>
      <c r="D358" s="126">
        <v>13357.714285714286</v>
      </c>
      <c r="E358" s="126">
        <v>13245.285714285714</v>
      </c>
      <c r="F358" s="126">
        <v>13697</v>
      </c>
      <c r="G358" s="126">
        <v>12674.142857142857</v>
      </c>
      <c r="H358" s="126">
        <v>12808.857142857143</v>
      </c>
      <c r="I358" s="126">
        <v>14069</v>
      </c>
      <c r="J358" s="126">
        <v>14035.571428571429</v>
      </c>
      <c r="K358" s="126">
        <v>13565.714285714286</v>
      </c>
      <c r="L358" s="126">
        <v>13982.571428571429</v>
      </c>
      <c r="M358" s="126">
        <v>13975.428571428571</v>
      </c>
      <c r="N358" s="126">
        <v>13497.857142857143</v>
      </c>
      <c r="O358" s="126">
        <v>13693.857142857143</v>
      </c>
      <c r="P358" s="126">
        <v>13785.571428571429</v>
      </c>
      <c r="Q358" s="126">
        <v>13272</v>
      </c>
    </row>
    <row r="359" spans="2:30" x14ac:dyDescent="0.35">
      <c r="B359" s="136"/>
      <c r="C359" s="1" t="s">
        <v>18</v>
      </c>
      <c r="D359" s="11">
        <v>12882.857142857143</v>
      </c>
      <c r="E359" s="11">
        <v>12947.142857142857</v>
      </c>
      <c r="F359" s="11">
        <v>12728.142857142857</v>
      </c>
      <c r="G359" s="11">
        <v>11438.857142857143</v>
      </c>
      <c r="H359" s="11">
        <v>11478.142857142857</v>
      </c>
      <c r="I359" s="11">
        <v>12459.428571428571</v>
      </c>
      <c r="J359" s="11">
        <v>13636.714285714286</v>
      </c>
      <c r="K359" s="11">
        <v>14436.142857142857</v>
      </c>
      <c r="L359" s="11">
        <v>13619.857142857143</v>
      </c>
      <c r="M359" s="11">
        <v>13662.142857142857</v>
      </c>
      <c r="N359" s="11">
        <v>13765.571428571429</v>
      </c>
      <c r="O359" s="11">
        <v>13624.285714285714</v>
      </c>
      <c r="P359" s="123">
        <v>13222.285714285714</v>
      </c>
      <c r="Q359" s="68">
        <v>13374.857142857143</v>
      </c>
    </row>
    <row r="360" spans="2:30" x14ac:dyDescent="0.35">
      <c r="B360" s="136"/>
      <c r="C360" s="114"/>
    </row>
    <row r="361" spans="2:30" ht="14.5" customHeight="1" x14ac:dyDescent="0.35">
      <c r="B361" s="136"/>
      <c r="C361" s="13" t="s">
        <v>20</v>
      </c>
      <c r="D361" s="51">
        <f>IFERROR(VLOOKUP(D$4,'Delayed discharges'!$BW$5:$CE$18,2,FALSE),"")</f>
        <v>11969</v>
      </c>
      <c r="E361" s="51">
        <f>IFERROR(VLOOKUP(E$4,'Delayed discharges'!$BW$5:$CE$18,2,FALSE),"")</f>
        <v>12234.285714285714</v>
      </c>
      <c r="F361" s="51">
        <f>IFERROR(VLOOKUP(F$4,'Delayed discharges'!$BW$5:$CE$18,2,FALSE),"")</f>
        <v>12474.714285714286</v>
      </c>
      <c r="G361" s="51">
        <f>IFERROR(VLOOKUP(G$4,'Delayed discharges'!$BW$5:$CE$18,2,FALSE),"")</f>
        <v>12087.571428571429</v>
      </c>
      <c r="H361" s="51">
        <f>IFERROR(VLOOKUP(H$4,'Delayed discharges'!$BW$5:$CE$18,2,FALSE),"")</f>
        <v>10837.285714285714</v>
      </c>
      <c r="I361" s="51">
        <f>IFERROR(VLOOKUP(I$4,'Delayed discharges'!$BW$5:$CE$18,2,FALSE),"")</f>
        <v>12591.428571428571</v>
      </c>
      <c r="J361" s="51">
        <f>IFERROR(VLOOKUP(J$4,'Delayed discharges'!$BW$5:$CE$18,2,FALSE),"")</f>
        <v>13590</v>
      </c>
      <c r="K361" s="51">
        <f>IFERROR(VLOOKUP(K$4,'Delayed discharges'!$BW$5:$CE$18,2,FALSE),"")</f>
        <v>13709.857142857143</v>
      </c>
      <c r="L361" s="51" t="str">
        <f>IFERROR(VLOOKUP(L$4,'Delayed discharges'!$BW$5:$CE$18,2,FALSE),"")</f>
        <v/>
      </c>
      <c r="M361" s="51" t="str">
        <f>IFERROR(VLOOKUP(M$4,'Delayed discharges'!$BW$5:$CE$18,2,FALSE),"")</f>
        <v/>
      </c>
      <c r="N361" s="51" t="str">
        <f>IFERROR(VLOOKUP(N$4,'Delayed discharges'!$BW$5:$CE$18,2,FALSE),"")</f>
        <v/>
      </c>
      <c r="O361" s="51" t="str">
        <f>IFERROR(VLOOKUP(O$4,'Delayed discharges'!$BW$5:$CE$18,2,FALSE),"")</f>
        <v/>
      </c>
      <c r="P361" s="51" t="str">
        <f>IFERROR(VLOOKUP(P$4,'Delayed discharges'!$BW$5:$CE$18,2,FALSE),"")</f>
        <v/>
      </c>
      <c r="Q361" s="51" t="str">
        <f>IFERROR(VLOOKUP(Q$4,'Delayed discharges'!$BW$5:$CE$18,2,FALSE),"")</f>
        <v/>
      </c>
      <c r="AA361" s="152" t="s">
        <v>112</v>
      </c>
      <c r="AB361" s="152"/>
      <c r="AC361" s="152"/>
      <c r="AD361" s="152"/>
    </row>
    <row r="362" spans="2:30" x14ac:dyDescent="0.35">
      <c r="B362" s="136"/>
      <c r="C362" s="1" t="s">
        <v>21</v>
      </c>
      <c r="D362" s="134">
        <f>IFERROR(VLOOKUP(D$4,'Delayed discharges'!$BW$5:$CE$18,4,FALSE),"")</f>
        <v>2018.7142857142858</v>
      </c>
      <c r="E362" s="134">
        <f>IFERROR(VLOOKUP(E$4,'Delayed discharges'!$BW$5:$CE$18,4,FALSE),"")</f>
        <v>2112.2857142857142</v>
      </c>
      <c r="F362" s="134">
        <f>IFERROR(VLOOKUP(F$4,'Delayed discharges'!$BW$5:$CE$18,4,FALSE),"")</f>
        <v>2144.4285714285716</v>
      </c>
      <c r="G362" s="134">
        <f>IFERROR(VLOOKUP(G$4,'Delayed discharges'!$BW$5:$CE$18,4,FALSE),"")</f>
        <v>1992.4285714285713</v>
      </c>
      <c r="H362" s="134">
        <f>IFERROR(VLOOKUP(H$4,'Delayed discharges'!$BW$5:$CE$18,4,FALSE),"")</f>
        <v>1809.1428571428571</v>
      </c>
      <c r="I362" s="134">
        <f>IFERROR(VLOOKUP(I$4,'Delayed discharges'!$BW$5:$CE$18,4,FALSE),"")</f>
        <v>2138.5714285714284</v>
      </c>
      <c r="J362" s="134">
        <f>IFERROR(VLOOKUP(J$4,'Delayed discharges'!$BW$5:$CE$18,4,FALSE),"")</f>
        <v>2317.4285714285716</v>
      </c>
      <c r="K362" s="134">
        <f>IFERROR(VLOOKUP(K$4,'Delayed discharges'!$BW$5:$CE$18,4,FALSE),"")</f>
        <v>2416.1428571428573</v>
      </c>
      <c r="L362" s="134" t="str">
        <f>IFERROR(VLOOKUP(L$4,'Delayed discharges'!$BW$5:$CE$18,4,FALSE),"")</f>
        <v/>
      </c>
      <c r="M362" s="134" t="str">
        <f>IFERROR(VLOOKUP(M$4,'Delayed discharges'!$BW$5:$CE$18,4,FALSE),"")</f>
        <v/>
      </c>
      <c r="N362" s="134" t="str">
        <f>IFERROR(VLOOKUP(N$4,'Delayed discharges'!$BW$5:$CE$18,4,FALSE),"")</f>
        <v/>
      </c>
      <c r="O362" s="134" t="str">
        <f>IFERROR(VLOOKUP(O$4,'Delayed discharges'!$BW$5:$CE$18,4,FALSE),"")</f>
        <v/>
      </c>
      <c r="P362" s="134" t="str">
        <f>IFERROR(VLOOKUP(P$4,'Delayed discharges'!$BW$5:$CE$18,4,FALSE),"")</f>
        <v/>
      </c>
      <c r="Q362" s="134" t="str">
        <f>IFERROR(VLOOKUP(Q$4,'Delayed discharges'!$BW$5:$CE$18,4,FALSE),"")</f>
        <v/>
      </c>
      <c r="AA362" s="152"/>
      <c r="AB362" s="152"/>
      <c r="AC362" s="152"/>
      <c r="AD362" s="152"/>
    </row>
    <row r="363" spans="2:30" ht="20.5" customHeight="1" x14ac:dyDescent="0.35">
      <c r="B363" s="136"/>
      <c r="C363" s="1" t="s">
        <v>22</v>
      </c>
      <c r="D363" s="134">
        <f>IFERROR(VLOOKUP(D$4,'Delayed discharges'!$BW$5:$CE$18,5,FALSE),"")</f>
        <v>2030.7142857142858</v>
      </c>
      <c r="E363" s="134">
        <f>IFERROR(VLOOKUP(E$4,'Delayed discharges'!$BW$5:$CE$18,5,FALSE),"")</f>
        <v>2043.1428571428571</v>
      </c>
      <c r="F363" s="134">
        <f>IFERROR(VLOOKUP(F$4,'Delayed discharges'!$BW$5:$CE$18,5,FALSE),"")</f>
        <v>2042</v>
      </c>
      <c r="G363" s="134">
        <f>IFERROR(VLOOKUP(G$4,'Delayed discharges'!$BW$5:$CE$18,5,FALSE),"")</f>
        <v>1972.8571428571429</v>
      </c>
      <c r="H363" s="134">
        <f>IFERROR(VLOOKUP(H$4,'Delayed discharges'!$BW$5:$CE$18,5,FALSE),"")</f>
        <v>1740.5714285714287</v>
      </c>
      <c r="I363" s="134">
        <f>IFERROR(VLOOKUP(I$4,'Delayed discharges'!$BW$5:$CE$18,5,FALSE),"")</f>
        <v>2068.8571428571427</v>
      </c>
      <c r="J363" s="134">
        <f>IFERROR(VLOOKUP(J$4,'Delayed discharges'!$BW$5:$CE$18,5,FALSE),"")</f>
        <v>2269.8571428571427</v>
      </c>
      <c r="K363" s="134">
        <f>IFERROR(VLOOKUP(K$4,'Delayed discharges'!$BW$5:$CE$18,5,FALSE),"")</f>
        <v>2224.8571428571427</v>
      </c>
      <c r="L363" s="134" t="str">
        <f>IFERROR(VLOOKUP(L$4,'Delayed discharges'!$BW$5:$CE$18,5,FALSE),"")</f>
        <v/>
      </c>
      <c r="M363" s="134" t="str">
        <f>IFERROR(VLOOKUP(M$4,'Delayed discharges'!$BW$5:$CE$18,5,FALSE),"")</f>
        <v/>
      </c>
      <c r="N363" s="134" t="str">
        <f>IFERROR(VLOOKUP(N$4,'Delayed discharges'!$BW$5:$CE$18,5,FALSE),"")</f>
        <v/>
      </c>
      <c r="O363" s="134" t="str">
        <f>IFERROR(VLOOKUP(O$4,'Delayed discharges'!$BW$5:$CE$18,5,FALSE),"")</f>
        <v/>
      </c>
      <c r="P363" s="134" t="str">
        <f>IFERROR(VLOOKUP(P$4,'Delayed discharges'!$BW$5:$CE$18,5,FALSE),"")</f>
        <v/>
      </c>
      <c r="Q363" s="134" t="str">
        <f>IFERROR(VLOOKUP(Q$4,'Delayed discharges'!$BW$5:$CE$18,5,FALSE),"")</f>
        <v/>
      </c>
      <c r="AA363" s="152"/>
      <c r="AB363" s="152"/>
      <c r="AC363" s="152"/>
      <c r="AD363" s="152"/>
    </row>
    <row r="364" spans="2:30" ht="16.5" customHeight="1" x14ac:dyDescent="0.35">
      <c r="B364" s="136"/>
      <c r="C364" s="1" t="s">
        <v>24</v>
      </c>
      <c r="D364" s="134">
        <f>IFERROR(VLOOKUP(D$4,'Delayed discharges'!$BW$5:$CE$18,3,FALSE),"")</f>
        <v>1430.5714285714287</v>
      </c>
      <c r="E364" s="134">
        <f>IFERROR(VLOOKUP(E$4,'Delayed discharges'!$BW$5:$CE$18,3,FALSE),"")</f>
        <v>1577.5714285714287</v>
      </c>
      <c r="F364" s="134">
        <f>IFERROR(VLOOKUP(F$4,'Delayed discharges'!$BW$5:$CE$18,3,FALSE),"")</f>
        <v>1523</v>
      </c>
      <c r="G364" s="134">
        <f>IFERROR(VLOOKUP(G$4,'Delayed discharges'!$BW$5:$CE$18,3,FALSE),"")</f>
        <v>1440.2857142857142</v>
      </c>
      <c r="H364" s="134">
        <f>IFERROR(VLOOKUP(H$4,'Delayed discharges'!$BW$5:$CE$18,3,FALSE),"")</f>
        <v>1291</v>
      </c>
      <c r="I364" s="134">
        <f>IFERROR(VLOOKUP(I$4,'Delayed discharges'!$BW$5:$CE$18,3,FALSE),"")</f>
        <v>1538</v>
      </c>
      <c r="J364" s="134">
        <f>IFERROR(VLOOKUP(J$4,'Delayed discharges'!$BW$5:$CE$18,3,FALSE),"")</f>
        <v>1706.5714285714287</v>
      </c>
      <c r="K364" s="134">
        <f>IFERROR(VLOOKUP(K$4,'Delayed discharges'!$BW$5:$CE$18,3,FALSE),"")</f>
        <v>1682.1428571428571</v>
      </c>
      <c r="L364" s="134" t="str">
        <f>IFERROR(VLOOKUP(L$4,'Delayed discharges'!$BW$5:$CE$18,3,FALSE),"")</f>
        <v/>
      </c>
      <c r="M364" s="134" t="str">
        <f>IFERROR(VLOOKUP(M$4,'Delayed discharges'!$BW$5:$CE$18,3,FALSE),"")</f>
        <v/>
      </c>
      <c r="N364" s="134" t="str">
        <f>IFERROR(VLOOKUP(N$4,'Delayed discharges'!$BW$5:$CE$18,3,FALSE),"")</f>
        <v/>
      </c>
      <c r="O364" s="134" t="str">
        <f>IFERROR(VLOOKUP(O$4,'Delayed discharges'!$BW$5:$CE$18,3,FALSE),"")</f>
        <v/>
      </c>
      <c r="P364" s="134" t="str">
        <f>IFERROR(VLOOKUP(P$4,'Delayed discharges'!$BW$5:$CE$18,3,FALSE),"")</f>
        <v/>
      </c>
      <c r="Q364" s="134" t="str">
        <f>IFERROR(VLOOKUP(Q$4,'Delayed discharges'!$BW$5:$CE$18,3,FALSE),"")</f>
        <v/>
      </c>
      <c r="AA364" s="152"/>
      <c r="AB364" s="152"/>
      <c r="AC364" s="152"/>
      <c r="AD364" s="152"/>
    </row>
    <row r="365" spans="2:30" ht="14.5" customHeight="1" x14ac:dyDescent="0.35">
      <c r="B365" s="136"/>
      <c r="C365" s="1" t="s">
        <v>25</v>
      </c>
      <c r="D365" s="134">
        <f>IFERROR(VLOOKUP(D$4,'Delayed discharges'!$BW$5:$CE$18,6,FALSE),"")</f>
        <v>2167.1428571428573</v>
      </c>
      <c r="E365" s="134">
        <f>IFERROR(VLOOKUP(E$4,'Delayed discharges'!$BW$5:$CE$18,6,FALSE),"")</f>
        <v>2082.8571428571427</v>
      </c>
      <c r="F365" s="134">
        <f>IFERROR(VLOOKUP(F$4,'Delayed discharges'!$BW$5:$CE$18,6,FALSE),"")</f>
        <v>2131.1428571428573</v>
      </c>
      <c r="G365" s="134">
        <f>IFERROR(VLOOKUP(G$4,'Delayed discharges'!$BW$5:$CE$18,6,FALSE),"")</f>
        <v>2072.1428571428573</v>
      </c>
      <c r="H365" s="134">
        <f>IFERROR(VLOOKUP(H$4,'Delayed discharges'!$BW$5:$CE$18,6,FALSE),"")</f>
        <v>1944</v>
      </c>
      <c r="I365" s="134">
        <f>IFERROR(VLOOKUP(I$4,'Delayed discharges'!$BW$5:$CE$18,6,FALSE),"")</f>
        <v>2165.8571428571427</v>
      </c>
      <c r="J365" s="134">
        <f>IFERROR(VLOOKUP(J$4,'Delayed discharges'!$BW$5:$CE$18,6,FALSE),"")</f>
        <v>2273.8571428571427</v>
      </c>
      <c r="K365" s="134">
        <f>IFERROR(VLOOKUP(K$4,'Delayed discharges'!$BW$5:$CE$18,6,FALSE),"")</f>
        <v>2253.8571428571427</v>
      </c>
      <c r="L365" s="134" t="str">
        <f>IFERROR(VLOOKUP(L$4,'Delayed discharges'!$BW$5:$CE$18,6,FALSE),"")</f>
        <v/>
      </c>
      <c r="M365" s="134" t="str">
        <f>IFERROR(VLOOKUP(M$4,'Delayed discharges'!$BW$5:$CE$18,6,FALSE),"")</f>
        <v/>
      </c>
      <c r="N365" s="134" t="str">
        <f>IFERROR(VLOOKUP(N$4,'Delayed discharges'!$BW$5:$CE$18,6,FALSE),"")</f>
        <v/>
      </c>
      <c r="O365" s="134" t="str">
        <f>IFERROR(VLOOKUP(O$4,'Delayed discharges'!$BW$5:$CE$18,6,FALSE),"")</f>
        <v/>
      </c>
      <c r="P365" s="134" t="str">
        <f>IFERROR(VLOOKUP(P$4,'Delayed discharges'!$BW$5:$CE$18,6,FALSE),"")</f>
        <v/>
      </c>
      <c r="Q365" s="134" t="str">
        <f>IFERROR(VLOOKUP(Q$4,'Delayed discharges'!$BW$5:$CE$18,6,FALSE),"")</f>
        <v/>
      </c>
      <c r="AA365" s="153" t="s">
        <v>113</v>
      </c>
      <c r="AB365" s="153"/>
      <c r="AC365" s="153"/>
      <c r="AD365" s="153"/>
    </row>
    <row r="366" spans="2:30" x14ac:dyDescent="0.35">
      <c r="B366" s="136"/>
      <c r="C366" s="1" t="s">
        <v>37</v>
      </c>
      <c r="D366" s="134">
        <f>IFERROR(VLOOKUP(D$4,'Delayed discharges'!$BW$5:$CE$18,7,FALSE),"")</f>
        <v>1609.5714285714287</v>
      </c>
      <c r="E366" s="134">
        <f>IFERROR(VLOOKUP(E$4,'Delayed discharges'!$BW$5:$CE$18,7,FALSE),"")</f>
        <v>1656.2857142857142</v>
      </c>
      <c r="F366" s="134">
        <f>IFERROR(VLOOKUP(F$4,'Delayed discharges'!$BW$5:$CE$18,7,FALSE),"")</f>
        <v>1612.7142857142858</v>
      </c>
      <c r="G366" s="134">
        <f>IFERROR(VLOOKUP(G$4,'Delayed discharges'!$BW$5:$CE$18,7,FALSE),"")</f>
        <v>1557.1428571428571</v>
      </c>
      <c r="H366" s="134">
        <f>IFERROR(VLOOKUP(H$4,'Delayed discharges'!$BW$5:$CE$18,7,FALSE),"")</f>
        <v>1398.2857142857142</v>
      </c>
      <c r="I366" s="134">
        <f>IFERROR(VLOOKUP(I$4,'Delayed discharges'!$BW$5:$CE$18,7,FALSE),"")</f>
        <v>1651.8571428571429</v>
      </c>
      <c r="J366" s="134">
        <f>IFERROR(VLOOKUP(J$4,'Delayed discharges'!$BW$5:$CE$18,7,FALSE),"")</f>
        <v>1768.1428571428571</v>
      </c>
      <c r="K366" s="134">
        <f>IFERROR(VLOOKUP(K$4,'Delayed discharges'!$BW$5:$CE$18,7,FALSE),"")</f>
        <v>1778.5714285714287</v>
      </c>
      <c r="L366" s="134" t="str">
        <f>IFERROR(VLOOKUP(L$4,'Delayed discharges'!$BW$5:$CE$18,7,FALSE),"")</f>
        <v/>
      </c>
      <c r="M366" s="134" t="str">
        <f>IFERROR(VLOOKUP(M$4,'Delayed discharges'!$BW$5:$CE$18,7,FALSE),"")</f>
        <v/>
      </c>
      <c r="N366" s="134" t="str">
        <f>IFERROR(VLOOKUP(N$4,'Delayed discharges'!$BW$5:$CE$18,7,FALSE),"")</f>
        <v/>
      </c>
      <c r="O366" s="134" t="str">
        <f>IFERROR(VLOOKUP(O$4,'Delayed discharges'!$BW$5:$CE$18,7,FALSE),"")</f>
        <v/>
      </c>
      <c r="P366" s="134" t="str">
        <f>IFERROR(VLOOKUP(P$4,'Delayed discharges'!$BW$5:$CE$18,7,FALSE),"")</f>
        <v/>
      </c>
      <c r="Q366" s="134" t="str">
        <f>IFERROR(VLOOKUP(Q$4,'Delayed discharges'!$BW$5:$CE$18,7,FALSE),"")</f>
        <v/>
      </c>
      <c r="AA366" s="153"/>
      <c r="AB366" s="153"/>
      <c r="AC366" s="153"/>
      <c r="AD366" s="153"/>
    </row>
    <row r="367" spans="2:30" x14ac:dyDescent="0.35">
      <c r="B367" s="136"/>
      <c r="C367" s="1" t="s">
        <v>87</v>
      </c>
      <c r="D367" s="134">
        <f>IFERROR(VLOOKUP(D$4,'Delayed discharges'!$BW$5:$CE$18,8,FALSE),"")</f>
        <v>714.85714285714289</v>
      </c>
      <c r="E367" s="134">
        <f>IFERROR(VLOOKUP(E$4,'Delayed discharges'!$BW$5:$CE$18,8,FALSE),"")</f>
        <v>807.57142857142856</v>
      </c>
      <c r="F367" s="134">
        <f>IFERROR(VLOOKUP(F$4,'Delayed discharges'!$BW$5:$CE$18,8,FALSE),"")</f>
        <v>763.14285714285711</v>
      </c>
      <c r="G367" s="134">
        <f>IFERROR(VLOOKUP(G$4,'Delayed discharges'!$BW$5:$CE$18,8,FALSE),"")</f>
        <v>813.14285714285711</v>
      </c>
      <c r="H367" s="134">
        <f>IFERROR(VLOOKUP(H$4,'Delayed discharges'!$BW$5:$CE$18,8,FALSE),"")</f>
        <v>692.28571428571433</v>
      </c>
      <c r="I367" s="134">
        <f>IFERROR(VLOOKUP(I$4,'Delayed discharges'!$BW$5:$CE$18,8,FALSE),"")</f>
        <v>853.28571428571433</v>
      </c>
      <c r="J367" s="134">
        <f>IFERROR(VLOOKUP(J$4,'Delayed discharges'!$BW$5:$CE$18,8,FALSE),"")</f>
        <v>900</v>
      </c>
      <c r="K367" s="134">
        <f>IFERROR(VLOOKUP(K$4,'Delayed discharges'!$BW$5:$CE$18,8,FALSE),"")</f>
        <v>951.85714285714289</v>
      </c>
      <c r="L367" s="134" t="str">
        <f>IFERROR(VLOOKUP(L$4,'Delayed discharges'!$BW$5:$CE$18,8,FALSE),"")</f>
        <v/>
      </c>
      <c r="M367" s="134" t="str">
        <f>IFERROR(VLOOKUP(M$4,'Delayed discharges'!$BW$5:$CE$18,8,FALSE),"")</f>
        <v/>
      </c>
      <c r="N367" s="134" t="str">
        <f>IFERROR(VLOOKUP(N$4,'Delayed discharges'!$BW$5:$CE$18,8,FALSE),"")</f>
        <v/>
      </c>
      <c r="O367" s="134" t="str">
        <f>IFERROR(VLOOKUP(O$4,'Delayed discharges'!$BW$5:$CE$18,8,FALSE),"")</f>
        <v/>
      </c>
      <c r="P367" s="134" t="str">
        <f>IFERROR(VLOOKUP(P$4,'Delayed discharges'!$BW$5:$CE$18,8,FALSE),"")</f>
        <v/>
      </c>
      <c r="Q367" s="134" t="str">
        <f>IFERROR(VLOOKUP(Q$4,'Delayed discharges'!$BW$5:$CE$18,8,FALSE),"")</f>
        <v/>
      </c>
      <c r="AA367" s="153"/>
      <c r="AB367" s="153"/>
      <c r="AC367" s="153"/>
      <c r="AD367" s="153"/>
    </row>
    <row r="368" spans="2:30" x14ac:dyDescent="0.35">
      <c r="B368" s="136"/>
      <c r="C368" s="1" t="s">
        <v>62</v>
      </c>
      <c r="D368" s="134">
        <f>IFERROR(VLOOKUP(D$4,'Delayed discharges'!$BW$5:$CE$18,9,FALSE),"")</f>
        <v>1997.4285714285713</v>
      </c>
      <c r="E368" s="134">
        <f>IFERROR(VLOOKUP(E$4,'Delayed discharges'!$BW$5:$CE$18,9,FALSE),"")</f>
        <v>1954.5714285714287</v>
      </c>
      <c r="F368" s="134">
        <f>IFERROR(VLOOKUP(F$4,'Delayed discharges'!$BW$5:$CE$18,9,FALSE),"")</f>
        <v>2258.2857142857142</v>
      </c>
      <c r="G368" s="134">
        <f>IFERROR(VLOOKUP(G$4,'Delayed discharges'!$BW$5:$CE$18,9,FALSE),"")</f>
        <v>2239.5714285714284</v>
      </c>
      <c r="H368" s="134">
        <f>IFERROR(VLOOKUP(H$4,'Delayed discharges'!$BW$5:$CE$18,9,FALSE),"")</f>
        <v>1962</v>
      </c>
      <c r="I368" s="134">
        <f>IFERROR(VLOOKUP(I$4,'Delayed discharges'!$BW$5:$CE$18,9,FALSE),"")</f>
        <v>2175</v>
      </c>
      <c r="J368" s="134">
        <f>IFERROR(VLOOKUP(J$4,'Delayed discharges'!$BW$5:$CE$18,9,FALSE),"")</f>
        <v>2354.1428571428573</v>
      </c>
      <c r="K368" s="134">
        <f>IFERROR(VLOOKUP(K$4,'Delayed discharges'!$BW$5:$CE$18,9,FALSE),"")</f>
        <v>2402.4285714285716</v>
      </c>
      <c r="L368" s="134" t="str">
        <f>IFERROR(VLOOKUP(L$4,'Delayed discharges'!$BW$5:$CE$18,9,FALSE),"")</f>
        <v/>
      </c>
      <c r="M368" s="134" t="str">
        <f>IFERROR(VLOOKUP(M$4,'Delayed discharges'!$BW$5:$CE$18,9,FALSE),"")</f>
        <v/>
      </c>
      <c r="N368" s="134" t="str">
        <f>IFERROR(VLOOKUP(N$4,'Delayed discharges'!$BW$5:$CE$18,9,FALSE),"")</f>
        <v/>
      </c>
      <c r="O368" s="134" t="str">
        <f>IFERROR(VLOOKUP(O$4,'Delayed discharges'!$BW$5:$CE$18,9,FALSE),"")</f>
        <v/>
      </c>
      <c r="P368" s="134" t="str">
        <f>IFERROR(VLOOKUP(P$4,'Delayed discharges'!$BW$5:$CE$18,9,FALSE),"")</f>
        <v/>
      </c>
      <c r="Q368" s="134" t="str">
        <f>IFERROR(VLOOKUP(Q$4,'Delayed discharges'!$BW$5:$CE$18,9,FALSE),"")</f>
        <v/>
      </c>
      <c r="AA368" s="153"/>
      <c r="AB368" s="153"/>
      <c r="AC368" s="153"/>
      <c r="AD368" s="153"/>
    </row>
    <row r="369" spans="2:30" x14ac:dyDescent="0.35">
      <c r="B369" s="136"/>
    </row>
    <row r="370" spans="2:30" ht="11.15" customHeight="1" x14ac:dyDescent="0.35"/>
    <row r="371" spans="2:30" ht="9" customHeight="1" x14ac:dyDescent="0.35"/>
    <row r="372" spans="2:30" ht="14.5" hidden="1" customHeight="1" x14ac:dyDescent="0.35">
      <c r="B372" s="150" t="s">
        <v>114</v>
      </c>
      <c r="AA372" s="152" t="s">
        <v>115</v>
      </c>
      <c r="AB372" s="152"/>
      <c r="AC372" s="152"/>
      <c r="AD372" s="152"/>
    </row>
    <row r="373" spans="2:30" hidden="1" x14ac:dyDescent="0.35">
      <c r="B373" s="150"/>
      <c r="C373" t="s">
        <v>116</v>
      </c>
      <c r="AA373" s="152"/>
      <c r="AB373" s="152"/>
      <c r="AC373" s="152"/>
      <c r="AD373" s="152"/>
    </row>
    <row r="374" spans="2:30" hidden="1" x14ac:dyDescent="0.35">
      <c r="B374" s="150"/>
      <c r="C374" s="1" t="s">
        <v>117</v>
      </c>
      <c r="D374" s="11">
        <v>4968.5714285714284</v>
      </c>
      <c r="E374" s="11">
        <v>5649.7142857142853</v>
      </c>
      <c r="F374" s="11">
        <v>6917.8571428571431</v>
      </c>
      <c r="G374" s="11">
        <v>8711.1428571428569</v>
      </c>
      <c r="H374" s="11">
        <v>9389.8571428571431</v>
      </c>
      <c r="I374" s="11">
        <v>8962.8571428571431</v>
      </c>
      <c r="J374" s="11">
        <v>7481.8571428571431</v>
      </c>
      <c r="K374" s="11">
        <v>6128.5714285714284</v>
      </c>
      <c r="L374" s="11">
        <v>5723.2857142857147</v>
      </c>
      <c r="M374" s="11">
        <v>6149.8571428571431</v>
      </c>
      <c r="N374" s="11">
        <v>6475.2857142857147</v>
      </c>
      <c r="O374" s="11">
        <v>7284.2857142857147</v>
      </c>
      <c r="P374" s="123">
        <v>7801.5714285714284</v>
      </c>
      <c r="Q374" s="68">
        <v>7502.4285714285716</v>
      </c>
      <c r="AA374" s="152"/>
      <c r="AB374" s="152"/>
      <c r="AC374" s="152"/>
      <c r="AD374" s="152"/>
    </row>
    <row r="375" spans="2:30" hidden="1" x14ac:dyDescent="0.35">
      <c r="B375" s="150"/>
      <c r="C375" s="114"/>
      <c r="AA375" s="152"/>
      <c r="AB375" s="152"/>
      <c r="AC375" s="152"/>
      <c r="AD375" s="152"/>
    </row>
    <row r="376" spans="2:30" hidden="1" x14ac:dyDescent="0.35">
      <c r="B376" s="150"/>
      <c r="C376" s="13" t="s">
        <v>18</v>
      </c>
      <c r="D376" s="51">
        <f>IFERROR(VLOOKUP(D$4,'Covid patients in hospital'!$M$3:$U$1048576,2,FALSE),"")</f>
        <v>4968.5714285714284</v>
      </c>
      <c r="E376" s="51">
        <f>IFERROR(VLOOKUP(E$4,'Covid patients in hospital'!$M$3:$U$1048576,2,FALSE),"")</f>
        <v>5649.7142857142853</v>
      </c>
      <c r="F376" s="51">
        <f>IFERROR(VLOOKUP(F$4,'Covid patients in hospital'!$M$3:$U$1048576,2,FALSE),"")</f>
        <v>6917.8571428571431</v>
      </c>
      <c r="G376" s="51">
        <f>IFERROR(VLOOKUP(G$4,'Covid patients in hospital'!$M$3:$U$1048576,2,FALSE),"")</f>
        <v>8711.1428571428569</v>
      </c>
      <c r="H376" s="51">
        <f>IFERROR(VLOOKUP(H$4,'Covid patients in hospital'!$M$3:$U$1048576,2,FALSE),"")</f>
        <v>9389.8571428571431</v>
      </c>
      <c r="I376" s="51">
        <f>IFERROR(VLOOKUP(I$4,'Covid patients in hospital'!$M$3:$U$1048576,2,FALSE),"")</f>
        <v>8962.8571428571431</v>
      </c>
      <c r="J376" s="51">
        <f>IFERROR(VLOOKUP(J$4,'Covid patients in hospital'!$M$3:$U$1048576,2,FALSE),"")</f>
        <v>7481.8571428571431</v>
      </c>
      <c r="K376" s="51">
        <f>IFERROR(VLOOKUP(K$4,'Covid patients in hospital'!$M$3:$U$1048576,2,FALSE),"")</f>
        <v>6128.5714285714284</v>
      </c>
      <c r="L376" s="51">
        <f>IFERROR(VLOOKUP(L$4,'Covid patients in hospital'!$M$3:$U$1048576,2,FALSE),"")</f>
        <v>5723.2857142857147</v>
      </c>
      <c r="M376" s="51">
        <f>IFERROR(VLOOKUP(M$4,'Covid patients in hospital'!$M$3:$U$1048576,2,FALSE),"")</f>
        <v>6149.8571428571431</v>
      </c>
      <c r="N376" s="51">
        <f>IFERROR(VLOOKUP(N$4,'Covid patients in hospital'!$M$3:$U$1048576,2,FALSE),"")</f>
        <v>6475.2857142857147</v>
      </c>
      <c r="O376" s="51">
        <f>IFERROR(VLOOKUP(O$4,'Covid patients in hospital'!$M$3:$U$1048576,2,FALSE),"")</f>
        <v>7284.2857142857147</v>
      </c>
      <c r="P376" s="51">
        <f>IFERROR(VLOOKUP(P$4,'Covid patients in hospital'!$M$3:$U$1048576,2,FALSE),"")</f>
        <v>7801.5714285714284</v>
      </c>
      <c r="Q376" s="51">
        <f>IFERROR(VLOOKUP(Q$4,'Covid patients in hospital'!$M$3:$U$1048576,2,FALSE),"")</f>
        <v>7502.4285714285716</v>
      </c>
      <c r="AA376" s="153" t="s">
        <v>118</v>
      </c>
      <c r="AB376" s="153"/>
      <c r="AC376" s="153"/>
      <c r="AD376" s="153"/>
    </row>
    <row r="377" spans="2:30" hidden="1" x14ac:dyDescent="0.35">
      <c r="B377" s="150"/>
      <c r="C377" s="1" t="s">
        <v>21</v>
      </c>
      <c r="D377" s="125">
        <f>IFERROR(VLOOKUP(D$4,'Covid patients in hospital'!$M$3:$U$1048576,4,FALSE),"")</f>
        <v>847</v>
      </c>
      <c r="E377" s="125">
        <f>IFERROR(VLOOKUP(E$4,'Covid patients in hospital'!$M$3:$U$1048576,4,FALSE),"")</f>
        <v>934.71428571428567</v>
      </c>
      <c r="F377" s="125">
        <f>IFERROR(VLOOKUP(F$4,'Covid patients in hospital'!$M$3:$U$1048576,4,FALSE),"")</f>
        <v>1070.5714285714287</v>
      </c>
      <c r="G377" s="125">
        <f>IFERROR(VLOOKUP(G$4,'Covid patients in hospital'!$M$3:$U$1048576,4,FALSE),"")</f>
        <v>1285.2857142857142</v>
      </c>
      <c r="H377" s="125">
        <f>IFERROR(VLOOKUP(H$4,'Covid patients in hospital'!$M$3:$U$1048576,4,FALSE),"")</f>
        <v>1454.7142857142858</v>
      </c>
      <c r="I377" s="125">
        <f>IFERROR(VLOOKUP(I$4,'Covid patients in hospital'!$M$3:$U$1048576,4,FALSE),"")</f>
        <v>1428.5714285714287</v>
      </c>
      <c r="J377" s="125">
        <f>IFERROR(VLOOKUP(J$4,'Covid patients in hospital'!$M$3:$U$1048576,4,FALSE),"")</f>
        <v>1272.4285714285713</v>
      </c>
      <c r="K377" s="125">
        <f>IFERROR(VLOOKUP(K$4,'Covid patients in hospital'!$M$3:$U$1048576,4,FALSE),"")</f>
        <v>1056.5714285714287</v>
      </c>
      <c r="L377" s="125">
        <f>IFERROR(VLOOKUP(L$4,'Covid patients in hospital'!$M$3:$U$1048576,4,FALSE),"")</f>
        <v>946.14285714285711</v>
      </c>
      <c r="M377" s="125">
        <f>IFERROR(VLOOKUP(M$4,'Covid patients in hospital'!$M$3:$U$1048576,4,FALSE),"")</f>
        <v>958.57142857142856</v>
      </c>
      <c r="N377" s="125">
        <f>IFERROR(VLOOKUP(N$4,'Covid patients in hospital'!$M$3:$U$1048576,4,FALSE),"")</f>
        <v>1006</v>
      </c>
      <c r="O377" s="125">
        <f>IFERROR(VLOOKUP(O$4,'Covid patients in hospital'!$M$3:$U$1048576,4,FALSE),"")</f>
        <v>1106.8571428571429</v>
      </c>
      <c r="P377" s="125">
        <f>IFERROR(VLOOKUP(P$4,'Covid patients in hospital'!$M$3:$U$1048576,4,FALSE),"")</f>
        <v>1246</v>
      </c>
      <c r="Q377" s="125">
        <f>IFERROR(VLOOKUP(Q$4,'Covid patients in hospital'!$M$3:$U$1048576,4,FALSE),"")</f>
        <v>1268.8571428571429</v>
      </c>
      <c r="AA377" s="153"/>
      <c r="AB377" s="153"/>
      <c r="AC377" s="153"/>
      <c r="AD377" s="153"/>
    </row>
    <row r="378" spans="2:30" hidden="1" x14ac:dyDescent="0.35">
      <c r="B378" s="150"/>
      <c r="C378" s="1" t="s">
        <v>22</v>
      </c>
      <c r="D378" s="125">
        <f>IFERROR(VLOOKUP(D$4,'Covid patients in hospital'!$M$3:$U$1048576,5,FALSE),"")</f>
        <v>964.14285714285711</v>
      </c>
      <c r="E378" s="125">
        <f>IFERROR(VLOOKUP(E$4,'Covid patients in hospital'!$M$3:$U$1048576,5,FALSE),"")</f>
        <v>1038.4285714285713</v>
      </c>
      <c r="F378" s="125">
        <f>IFERROR(VLOOKUP(F$4,'Covid patients in hospital'!$M$3:$U$1048576,5,FALSE),"")</f>
        <v>1275.8571428571429</v>
      </c>
      <c r="G378" s="125">
        <f>IFERROR(VLOOKUP(G$4,'Covid patients in hospital'!$M$3:$U$1048576,5,FALSE),"")</f>
        <v>1593.4285714285713</v>
      </c>
      <c r="H378" s="125">
        <f>IFERROR(VLOOKUP(H$4,'Covid patients in hospital'!$M$3:$U$1048576,5,FALSE),"")</f>
        <v>1707</v>
      </c>
      <c r="I378" s="125">
        <f>IFERROR(VLOOKUP(I$4,'Covid patients in hospital'!$M$3:$U$1048576,5,FALSE),"")</f>
        <v>1755</v>
      </c>
      <c r="J378" s="125">
        <f>IFERROR(VLOOKUP(J$4,'Covid patients in hospital'!$M$3:$U$1048576,5,FALSE),"")</f>
        <v>1448.4285714285713</v>
      </c>
      <c r="K378" s="125">
        <f>IFERROR(VLOOKUP(K$4,'Covid patients in hospital'!$M$3:$U$1048576,5,FALSE),"")</f>
        <v>1194.2857142857142</v>
      </c>
      <c r="L378" s="125">
        <f>IFERROR(VLOOKUP(L$4,'Covid patients in hospital'!$M$3:$U$1048576,5,FALSE),"")</f>
        <v>1105.5714285714287</v>
      </c>
      <c r="M378" s="125">
        <f>IFERROR(VLOOKUP(M$4,'Covid patients in hospital'!$M$3:$U$1048576,5,FALSE),"")</f>
        <v>1077.1428571428571</v>
      </c>
      <c r="N378" s="125">
        <f>IFERROR(VLOOKUP(N$4,'Covid patients in hospital'!$M$3:$U$1048576,5,FALSE),"")</f>
        <v>1146.2857142857142</v>
      </c>
      <c r="O378" s="125">
        <f>IFERROR(VLOOKUP(O$4,'Covid patients in hospital'!$M$3:$U$1048576,5,FALSE),"")</f>
        <v>1406.1428571428571</v>
      </c>
      <c r="P378" s="125">
        <f>IFERROR(VLOOKUP(P$4,'Covid patients in hospital'!$M$3:$U$1048576,5,FALSE),"")</f>
        <v>1546.1428571428571</v>
      </c>
      <c r="Q378" s="125">
        <f>IFERROR(VLOOKUP(Q$4,'Covid patients in hospital'!$M$3:$U$1048576,5,FALSE),"")</f>
        <v>1443</v>
      </c>
      <c r="AA378" s="153"/>
      <c r="AB378" s="153"/>
      <c r="AC378" s="153"/>
      <c r="AD378" s="153"/>
    </row>
    <row r="379" spans="2:30" hidden="1" x14ac:dyDescent="0.35">
      <c r="B379" s="150"/>
      <c r="C379" s="1" t="s">
        <v>24</v>
      </c>
      <c r="D379" s="125">
        <f>IFERROR(VLOOKUP(D$4,'Covid patients in hospital'!$M$3:$U$1048576,3,FALSE),"")</f>
        <v>437.71428571428572</v>
      </c>
      <c r="E379" s="125">
        <f>IFERROR(VLOOKUP(E$4,'Covid patients in hospital'!$M$3:$U$1048576,3,FALSE),"")</f>
        <v>540.14285714285711</v>
      </c>
      <c r="F379" s="125">
        <f>IFERROR(VLOOKUP(F$4,'Covid patients in hospital'!$M$3:$U$1048576,3,FALSE),"")</f>
        <v>741.57142857142856</v>
      </c>
      <c r="G379" s="125">
        <f>IFERROR(VLOOKUP(G$4,'Covid patients in hospital'!$M$3:$U$1048576,3,FALSE),"")</f>
        <v>968.57142857142856</v>
      </c>
      <c r="H379" s="125">
        <f>IFERROR(VLOOKUP(H$4,'Covid patients in hospital'!$M$3:$U$1048576,3,FALSE),"")</f>
        <v>961.85714285714289</v>
      </c>
      <c r="I379" s="125">
        <f>IFERROR(VLOOKUP(I$4,'Covid patients in hospital'!$M$3:$U$1048576,3,FALSE),"")</f>
        <v>927.57142857142856</v>
      </c>
      <c r="J379" s="125">
        <f>IFERROR(VLOOKUP(J$4,'Covid patients in hospital'!$M$3:$U$1048576,3,FALSE),"")</f>
        <v>792</v>
      </c>
      <c r="K379" s="125">
        <f>IFERROR(VLOOKUP(K$4,'Covid patients in hospital'!$M$3:$U$1048576,3,FALSE),"")</f>
        <v>617.71428571428567</v>
      </c>
      <c r="L379" s="125">
        <f>IFERROR(VLOOKUP(L$4,'Covid patients in hospital'!$M$3:$U$1048576,3,FALSE),"")</f>
        <v>601.85714285714289</v>
      </c>
      <c r="M379" s="125">
        <f>IFERROR(VLOOKUP(M$4,'Covid patients in hospital'!$M$3:$U$1048576,3,FALSE),"")</f>
        <v>719.28571428571433</v>
      </c>
      <c r="N379" s="125">
        <f>IFERROR(VLOOKUP(N$4,'Covid patients in hospital'!$M$3:$U$1048576,3,FALSE),"")</f>
        <v>769.85714285714289</v>
      </c>
      <c r="O379" s="125">
        <f>IFERROR(VLOOKUP(O$4,'Covid patients in hospital'!$M$3:$U$1048576,3,FALSE),"")</f>
        <v>792.28571428571433</v>
      </c>
      <c r="P379" s="125">
        <f>IFERROR(VLOOKUP(P$4,'Covid patients in hospital'!$M$3:$U$1048576,3,FALSE),"")</f>
        <v>782.57142857142856</v>
      </c>
      <c r="Q379" s="125">
        <f>IFERROR(VLOOKUP(Q$4,'Covid patients in hospital'!$M$3:$U$1048576,3,FALSE),"")</f>
        <v>762.57142857142856</v>
      </c>
      <c r="AA379" s="153"/>
      <c r="AB379" s="153"/>
      <c r="AC379" s="153"/>
      <c r="AD379" s="153"/>
    </row>
    <row r="380" spans="2:30" hidden="1" x14ac:dyDescent="0.35">
      <c r="B380" s="150"/>
      <c r="C380" s="1" t="s">
        <v>25</v>
      </c>
      <c r="D380" s="125">
        <f>IFERROR(VLOOKUP(D$4,'Covid patients in hospital'!$M$3:$U$1048576,6,FALSE),"")</f>
        <v>836.28571428571433</v>
      </c>
      <c r="E380" s="125">
        <f>IFERROR(VLOOKUP(E$4,'Covid patients in hospital'!$M$3:$U$1048576,6,FALSE),"")</f>
        <v>905.14285714285711</v>
      </c>
      <c r="F380" s="125">
        <f>IFERROR(VLOOKUP(F$4,'Covid patients in hospital'!$M$3:$U$1048576,6,FALSE),"")</f>
        <v>1090</v>
      </c>
      <c r="G380" s="125">
        <f>IFERROR(VLOOKUP(G$4,'Covid patients in hospital'!$M$3:$U$1048576,6,FALSE),"")</f>
        <v>1350.1428571428571</v>
      </c>
      <c r="H380" s="125">
        <f>IFERROR(VLOOKUP(H$4,'Covid patients in hospital'!$M$3:$U$1048576,6,FALSE),"")</f>
        <v>1464.7142857142858</v>
      </c>
      <c r="I380" s="125">
        <f>IFERROR(VLOOKUP(I$4,'Covid patients in hospital'!$M$3:$U$1048576,6,FALSE),"")</f>
        <v>1479.8571428571429</v>
      </c>
      <c r="J380" s="125">
        <f>IFERROR(VLOOKUP(J$4,'Covid patients in hospital'!$M$3:$U$1048576,6,FALSE),"")</f>
        <v>1265.8571428571429</v>
      </c>
      <c r="K380" s="125">
        <f>IFERROR(VLOOKUP(K$4,'Covid patients in hospital'!$M$3:$U$1048576,6,FALSE),"")</f>
        <v>1062.1428571428571</v>
      </c>
      <c r="L380" s="125">
        <f>IFERROR(VLOOKUP(L$4,'Covid patients in hospital'!$M$3:$U$1048576,6,FALSE),"")</f>
        <v>996.57142857142856</v>
      </c>
      <c r="M380" s="125">
        <f>IFERROR(VLOOKUP(M$4,'Covid patients in hospital'!$M$3:$U$1048576,6,FALSE),"")</f>
        <v>1089.5714285714287</v>
      </c>
      <c r="N380" s="125">
        <f>IFERROR(VLOOKUP(N$4,'Covid patients in hospital'!$M$3:$U$1048576,6,FALSE),"")</f>
        <v>1103.8571428571429</v>
      </c>
      <c r="O380" s="125">
        <f>IFERROR(VLOOKUP(O$4,'Covid patients in hospital'!$M$3:$U$1048576,6,FALSE),"")</f>
        <v>1196.7142857142858</v>
      </c>
      <c r="P380" s="125">
        <f>IFERROR(VLOOKUP(P$4,'Covid patients in hospital'!$M$3:$U$1048576,6,FALSE),"")</f>
        <v>1390.4285714285713</v>
      </c>
      <c r="Q380" s="125">
        <f>IFERROR(VLOOKUP(Q$4,'Covid patients in hospital'!$M$3:$U$1048576,6,FALSE),"")</f>
        <v>1409.8571428571429</v>
      </c>
    </row>
    <row r="381" spans="2:30" hidden="1" x14ac:dyDescent="0.35">
      <c r="B381" s="150"/>
      <c r="C381" s="1" t="s">
        <v>37</v>
      </c>
      <c r="D381" s="125">
        <f>IFERROR(VLOOKUP(D$4,'Covid patients in hospital'!$M$3:$U$1048576,7,FALSE),"")</f>
        <v>850.71428571428567</v>
      </c>
      <c r="E381" s="125">
        <f>IFERROR(VLOOKUP(E$4,'Covid patients in hospital'!$M$3:$U$1048576,7,FALSE),"")</f>
        <v>896</v>
      </c>
      <c r="F381" s="125">
        <f>IFERROR(VLOOKUP(F$4,'Covid patients in hospital'!$M$3:$U$1048576,7,FALSE),"")</f>
        <v>1014</v>
      </c>
      <c r="G381" s="125">
        <f>IFERROR(VLOOKUP(G$4,'Covid patients in hospital'!$M$3:$U$1048576,7,FALSE),"")</f>
        <v>1173.8571428571429</v>
      </c>
      <c r="H381" s="125">
        <f>IFERROR(VLOOKUP(H$4,'Covid patients in hospital'!$M$3:$U$1048576,7,FALSE),"")</f>
        <v>1321.8571428571429</v>
      </c>
      <c r="I381" s="125">
        <f>IFERROR(VLOOKUP(I$4,'Covid patients in hospital'!$M$3:$U$1048576,7,FALSE),"")</f>
        <v>1337.7142857142858</v>
      </c>
      <c r="J381" s="125">
        <f>IFERROR(VLOOKUP(J$4,'Covid patients in hospital'!$M$3:$U$1048576,7,FALSE),"")</f>
        <v>1197.1428571428571</v>
      </c>
      <c r="K381" s="125">
        <f>IFERROR(VLOOKUP(K$4,'Covid patients in hospital'!$M$3:$U$1048576,7,FALSE),"")</f>
        <v>1063.5714285714287</v>
      </c>
      <c r="L381" s="125">
        <f>IFERROR(VLOOKUP(L$4,'Covid patients in hospital'!$M$3:$U$1048576,7,FALSE),"")</f>
        <v>916.57142857142856</v>
      </c>
      <c r="M381" s="125">
        <f>IFERROR(VLOOKUP(M$4,'Covid patients in hospital'!$M$3:$U$1048576,7,FALSE),"")</f>
        <v>901.42857142857144</v>
      </c>
      <c r="N381" s="125">
        <f>IFERROR(VLOOKUP(N$4,'Covid patients in hospital'!$M$3:$U$1048576,7,FALSE),"")</f>
        <v>921.71428571428567</v>
      </c>
      <c r="O381" s="125">
        <f>IFERROR(VLOOKUP(O$4,'Covid patients in hospital'!$M$3:$U$1048576,7,FALSE),"")</f>
        <v>1049.4285714285713</v>
      </c>
      <c r="P381" s="125">
        <f>IFERROR(VLOOKUP(P$4,'Covid patients in hospital'!$M$3:$U$1048576,7,FALSE),"")</f>
        <v>1033.1428571428571</v>
      </c>
      <c r="Q381" s="125">
        <f>IFERROR(VLOOKUP(Q$4,'Covid patients in hospital'!$M$3:$U$1048576,7,FALSE),"")</f>
        <v>908.85714285714289</v>
      </c>
    </row>
    <row r="382" spans="2:30" hidden="1" x14ac:dyDescent="0.35">
      <c r="B382" s="150"/>
      <c r="C382" s="1" t="s">
        <v>87</v>
      </c>
      <c r="D382" s="125">
        <f>IFERROR(VLOOKUP(D$4,'Covid patients in hospital'!$M$3:$U$1048576,8,FALSE),"")</f>
        <v>684.57142857142856</v>
      </c>
      <c r="E382" s="125">
        <f>IFERROR(VLOOKUP(E$4,'Covid patients in hospital'!$M$3:$U$1048576,8,FALSE),"")</f>
        <v>817.57142857142856</v>
      </c>
      <c r="F382" s="125">
        <f>IFERROR(VLOOKUP(F$4,'Covid patients in hospital'!$M$3:$U$1048576,8,FALSE),"")</f>
        <v>995.85714285714289</v>
      </c>
      <c r="G382" s="125">
        <f>IFERROR(VLOOKUP(G$4,'Covid patients in hospital'!$M$3:$U$1048576,8,FALSE),"")</f>
        <v>1356.7142857142858</v>
      </c>
      <c r="H382" s="125">
        <f>IFERROR(VLOOKUP(H$4,'Covid patients in hospital'!$M$3:$U$1048576,8,FALSE),"")</f>
        <v>1547.4285714285713</v>
      </c>
      <c r="I382" s="125">
        <f>IFERROR(VLOOKUP(I$4,'Covid patients in hospital'!$M$3:$U$1048576,8,FALSE),"")</f>
        <v>1320.1428571428571</v>
      </c>
      <c r="J382" s="125">
        <f>IFERROR(VLOOKUP(J$4,'Covid patients in hospital'!$M$3:$U$1048576,8,FALSE),"")</f>
        <v>1004.5714285714286</v>
      </c>
      <c r="K382" s="125">
        <f>IFERROR(VLOOKUP(K$4,'Covid patients in hospital'!$M$3:$U$1048576,8,FALSE),"")</f>
        <v>766.14285714285711</v>
      </c>
      <c r="L382" s="125">
        <f>IFERROR(VLOOKUP(L$4,'Covid patients in hospital'!$M$3:$U$1048576,8,FALSE),"")</f>
        <v>741.85714285714289</v>
      </c>
      <c r="M382" s="125">
        <f>IFERROR(VLOOKUP(M$4,'Covid patients in hospital'!$M$3:$U$1048576,8,FALSE),"")</f>
        <v>884.71428571428567</v>
      </c>
      <c r="N382" s="125">
        <f>IFERROR(VLOOKUP(N$4,'Covid patients in hospital'!$M$3:$U$1048576,8,FALSE),"")</f>
        <v>941.42857142857144</v>
      </c>
      <c r="O382" s="125">
        <f>IFERROR(VLOOKUP(O$4,'Covid patients in hospital'!$M$3:$U$1048576,8,FALSE),"")</f>
        <v>1125.7142857142858</v>
      </c>
      <c r="P382" s="125">
        <f>IFERROR(VLOOKUP(P$4,'Covid patients in hospital'!$M$3:$U$1048576,8,FALSE),"")</f>
        <v>1242</v>
      </c>
      <c r="Q382" s="125">
        <f>IFERROR(VLOOKUP(Q$4,'Covid patients in hospital'!$M$3:$U$1048576,8,FALSE),"")</f>
        <v>1173.8571428571429</v>
      </c>
    </row>
    <row r="383" spans="2:30" hidden="1" x14ac:dyDescent="0.35">
      <c r="B383" s="150"/>
      <c r="C383" s="1" t="s">
        <v>62</v>
      </c>
      <c r="D383" s="125">
        <f>IFERROR(VLOOKUP(D$4,'Covid patients in hospital'!$M$3:$U$1048576,9,FALSE),"")</f>
        <v>348.14285714285717</v>
      </c>
      <c r="E383" s="125">
        <f>IFERROR(VLOOKUP(E$4,'Covid patients in hospital'!$M$3:$U$1048576,9,FALSE),"")</f>
        <v>517.71428571428567</v>
      </c>
      <c r="F383" s="125">
        <f>IFERROR(VLOOKUP(F$4,'Covid patients in hospital'!$M$3:$U$1048576,9,FALSE),"")</f>
        <v>730</v>
      </c>
      <c r="G383" s="125">
        <f>IFERROR(VLOOKUP(G$4,'Covid patients in hospital'!$M$3:$U$1048576,9,FALSE),"")</f>
        <v>983.14285714285711</v>
      </c>
      <c r="H383" s="125">
        <f>IFERROR(VLOOKUP(H$4,'Covid patients in hospital'!$M$3:$U$1048576,9,FALSE),"")</f>
        <v>932.28571428571433</v>
      </c>
      <c r="I383" s="125">
        <f>IFERROR(VLOOKUP(I$4,'Covid patients in hospital'!$M$3:$U$1048576,9,FALSE),"")</f>
        <v>714</v>
      </c>
      <c r="J383" s="125">
        <f>IFERROR(VLOOKUP(J$4,'Covid patients in hospital'!$M$3:$U$1048576,9,FALSE),"")</f>
        <v>501.42857142857144</v>
      </c>
      <c r="K383" s="125">
        <f>IFERROR(VLOOKUP(K$4,'Covid patients in hospital'!$M$3:$U$1048576,9,FALSE),"")</f>
        <v>368.14285714285717</v>
      </c>
      <c r="L383" s="125">
        <f>IFERROR(VLOOKUP(L$4,'Covid patients in hospital'!$M$3:$U$1048576,9,FALSE),"")</f>
        <v>414.71428571428572</v>
      </c>
      <c r="M383" s="125">
        <f>IFERROR(VLOOKUP(M$4,'Covid patients in hospital'!$M$3:$U$1048576,9,FALSE),"")</f>
        <v>519.14285714285711</v>
      </c>
      <c r="N383" s="125">
        <f>IFERROR(VLOOKUP(N$4,'Covid patients in hospital'!$M$3:$U$1048576,9,FALSE),"")</f>
        <v>586.14285714285711</v>
      </c>
      <c r="O383" s="125">
        <f>IFERROR(VLOOKUP(O$4,'Covid patients in hospital'!$M$3:$U$1048576,9,FALSE),"")</f>
        <v>607.14285714285711</v>
      </c>
      <c r="P383" s="125">
        <f>IFERROR(VLOOKUP(P$4,'Covid patients in hospital'!$M$3:$U$1048576,9,FALSE),"")</f>
        <v>561.28571428571433</v>
      </c>
      <c r="Q383" s="125">
        <f>IFERROR(VLOOKUP(Q$4,'Covid patients in hospital'!$M$3:$U$1048576,9,FALSE),"")</f>
        <v>535.42857142857144</v>
      </c>
    </row>
    <row r="384" spans="2:30" ht="22" hidden="1" customHeight="1" x14ac:dyDescent="0.35">
      <c r="B384" s="150"/>
    </row>
    <row r="385" spans="2:30" hidden="1" x14ac:dyDescent="0.35">
      <c r="B385" s="150"/>
      <c r="C385" t="s">
        <v>119</v>
      </c>
      <c r="AA385" s="152" t="s">
        <v>120</v>
      </c>
      <c r="AB385" s="152"/>
      <c r="AC385" s="152"/>
      <c r="AD385" s="152"/>
    </row>
    <row r="386" spans="2:30" hidden="1" x14ac:dyDescent="0.35">
      <c r="B386" s="150"/>
      <c r="C386" s="1" t="s">
        <v>117</v>
      </c>
      <c r="D386" s="11">
        <v>125.14285714285714</v>
      </c>
      <c r="E386" s="11">
        <v>119.42857142857143</v>
      </c>
      <c r="F386" s="11">
        <v>151.57142857142858</v>
      </c>
      <c r="G386" s="11">
        <v>173.85714285714286</v>
      </c>
      <c r="H386" s="11">
        <v>205.42857142857142</v>
      </c>
      <c r="I386" s="11">
        <v>208.42857142857142</v>
      </c>
      <c r="J386" s="11">
        <v>169.57142857142858</v>
      </c>
      <c r="K386" s="11">
        <v>143.71428571428572</v>
      </c>
      <c r="L386" s="11">
        <v>136.14285714285714</v>
      </c>
      <c r="M386" s="11">
        <v>138</v>
      </c>
      <c r="N386" s="11">
        <v>125.57142857142857</v>
      </c>
      <c r="O386" s="11">
        <v>137.42857142857142</v>
      </c>
      <c r="P386" s="123">
        <v>156.71428571428572</v>
      </c>
      <c r="Q386" s="68">
        <v>160.57142857142858</v>
      </c>
      <c r="AA386" s="152"/>
      <c r="AB386" s="152"/>
      <c r="AC386" s="152"/>
      <c r="AD386" s="152"/>
    </row>
    <row r="387" spans="2:30" hidden="1" x14ac:dyDescent="0.35">
      <c r="B387" s="150"/>
      <c r="C387" s="114"/>
      <c r="AA387" s="152"/>
      <c r="AB387" s="152"/>
      <c r="AC387" s="152"/>
      <c r="AD387" s="152"/>
    </row>
    <row r="388" spans="2:30" hidden="1" x14ac:dyDescent="0.35">
      <c r="B388" s="150"/>
      <c r="C388" s="13" t="s">
        <v>18</v>
      </c>
      <c r="D388" s="51">
        <f>IFERROR(VLOOKUP(D$4,'Covid MV beds'!$M3:$U1048576,2,FALSE),"")</f>
        <v>125.14285714285714</v>
      </c>
      <c r="E388" s="51">
        <f>IFERROR(VLOOKUP(E$4,'Covid MV beds'!$M3:$U1048576,2,FALSE),"")</f>
        <v>119.42857142857143</v>
      </c>
      <c r="F388" s="51">
        <f>IFERROR(VLOOKUP(F$4,'Covid MV beds'!$M3:$U1048576,2,FALSE),"")</f>
        <v>151.57142857142858</v>
      </c>
      <c r="G388" s="51">
        <f>IFERROR(VLOOKUP(G$4,'Covid MV beds'!$M3:$U1048576,2,FALSE),"")</f>
        <v>173.85714285714286</v>
      </c>
      <c r="H388" s="51">
        <f>IFERROR(VLOOKUP(H$4,'Covid MV beds'!$M3:$U1048576,2,FALSE),"")</f>
        <v>205.42857142857142</v>
      </c>
      <c r="I388" s="51">
        <f>IFERROR(VLOOKUP(I$4,'Covid MV beds'!$M3:$U1048576,2,FALSE),"")</f>
        <v>208.42857142857142</v>
      </c>
      <c r="J388" s="51">
        <f>IFERROR(VLOOKUP(J$4,'Covid MV beds'!$M3:$U1048576,2,FALSE),"")</f>
        <v>169.57142857142858</v>
      </c>
      <c r="K388" s="51">
        <f>IFERROR(VLOOKUP(K$4,'Covid MV beds'!$M3:$U1048576,2,FALSE),"")</f>
        <v>143.71428571428572</v>
      </c>
      <c r="L388" s="51">
        <f>IFERROR(VLOOKUP(L$4,'Covid MV beds'!$M3:$U1048576,2,FALSE),"")</f>
        <v>136.14285714285714</v>
      </c>
      <c r="M388" s="51">
        <f>IFERROR(VLOOKUP(M$4,'Covid MV beds'!$M3:$U1048576,2,FALSE),"")</f>
        <v>138</v>
      </c>
      <c r="N388" s="51">
        <f>IFERROR(VLOOKUP(N$4,'Covid MV beds'!$M3:$U1048576,2,FALSE),"")</f>
        <v>125.57142857142857</v>
      </c>
      <c r="O388" s="51">
        <f>IFERROR(VLOOKUP(O$4,'Covid MV beds'!$M3:$U1048576,2,FALSE),"")</f>
        <v>137.42857142857142</v>
      </c>
      <c r="P388" s="51">
        <f>IFERROR(VLOOKUP(P$4,'Covid MV beds'!$M3:$U1048576,2,FALSE),"")</f>
        <v>156.71428571428572</v>
      </c>
      <c r="Q388" s="51">
        <f>IFERROR(VLOOKUP(Q$4,'Covid MV beds'!$M3:$U1048576,2,FALSE),"")</f>
        <v>160.57142857142858</v>
      </c>
      <c r="AA388" s="152"/>
      <c r="AB388" s="152"/>
      <c r="AC388" s="152"/>
      <c r="AD388" s="152"/>
    </row>
    <row r="389" spans="2:30" hidden="1" x14ac:dyDescent="0.35">
      <c r="B389" s="150"/>
      <c r="C389" s="1" t="s">
        <v>21</v>
      </c>
      <c r="D389" s="125">
        <f>IFERROR(VLOOKUP(D$4,'Covid MV beds'!$M3:$U1048576,4,FALSE),"")</f>
        <v>59</v>
      </c>
      <c r="E389" s="125">
        <f>IFERROR(VLOOKUP(E$4,'Covid MV beds'!$M3:$U1048576,4,FALSE),"")</f>
        <v>57.428571428571431</v>
      </c>
      <c r="F389" s="125">
        <f>IFERROR(VLOOKUP(F$4,'Covid MV beds'!$M3:$U1048576,4,FALSE),"")</f>
        <v>60.285714285714285</v>
      </c>
      <c r="G389" s="125">
        <f>IFERROR(VLOOKUP(G$4,'Covid MV beds'!$M3:$U1048576,4,FALSE),"")</f>
        <v>72.285714285714292</v>
      </c>
      <c r="H389" s="125">
        <f>IFERROR(VLOOKUP(H$4,'Covid MV beds'!$M3:$U1048576,4,FALSE),"")</f>
        <v>84</v>
      </c>
      <c r="I389" s="125">
        <f>IFERROR(VLOOKUP(I$4,'Covid MV beds'!$M3:$U1048576,4,FALSE),"")</f>
        <v>84.571428571428569</v>
      </c>
      <c r="J389" s="125">
        <f>IFERROR(VLOOKUP(J$4,'Covid MV beds'!$M3:$U1048576,4,FALSE),"")</f>
        <v>75.142857142857139</v>
      </c>
      <c r="K389" s="125">
        <f>IFERROR(VLOOKUP(K$4,'Covid MV beds'!$M3:$U1048576,4,FALSE),"")</f>
        <v>62.857142857142854</v>
      </c>
      <c r="L389" s="125">
        <f>IFERROR(VLOOKUP(L$4,'Covid MV beds'!$M3:$U1048576,4,FALSE),"")</f>
        <v>61</v>
      </c>
      <c r="M389" s="125">
        <f>IFERROR(VLOOKUP(M$4,'Covid MV beds'!$M3:$U1048576,4,FALSE),"")</f>
        <v>59.857142857142854</v>
      </c>
      <c r="N389" s="125">
        <f>IFERROR(VLOOKUP(N$4,'Covid MV beds'!$M3:$U1048576,4,FALSE),"")</f>
        <v>50.571428571428569</v>
      </c>
      <c r="O389" s="125">
        <f>IFERROR(VLOOKUP(O$4,'Covid MV beds'!$M3:$U1048576,4,FALSE),"")</f>
        <v>57.428571428571431</v>
      </c>
      <c r="P389" s="125">
        <f>IFERROR(VLOOKUP(P$4,'Covid MV beds'!$M3:$U1048576,4,FALSE),"")</f>
        <v>67</v>
      </c>
      <c r="Q389" s="125">
        <f>IFERROR(VLOOKUP(Q$4,'Covid MV beds'!$M3:$U1048576,4,FALSE),"")</f>
        <v>68.857142857142861</v>
      </c>
      <c r="AA389" s="153" t="s">
        <v>121</v>
      </c>
      <c r="AB389" s="153"/>
      <c r="AC389" s="153"/>
      <c r="AD389" s="153"/>
    </row>
    <row r="390" spans="2:30" hidden="1" x14ac:dyDescent="0.35">
      <c r="B390" s="150"/>
      <c r="C390" s="1" t="s">
        <v>22</v>
      </c>
      <c r="D390" s="125">
        <f>IFERROR(VLOOKUP(D$4,'Covid MV beds'!$M3:$U1048576,5,FALSE),"")</f>
        <v>8.2857142857142865</v>
      </c>
      <c r="E390" s="125">
        <f>IFERROR(VLOOKUP(E$4,'Covid MV beds'!$M3:$U1048576,5,FALSE),"")</f>
        <v>7.1428571428571432</v>
      </c>
      <c r="F390" s="125">
        <f>IFERROR(VLOOKUP(F$4,'Covid MV beds'!$M3:$U1048576,5,FALSE),"")</f>
        <v>13.857142857142858</v>
      </c>
      <c r="G390" s="125">
        <f>IFERROR(VLOOKUP(G$4,'Covid MV beds'!$M3:$U1048576,5,FALSE),"")</f>
        <v>16.428571428571427</v>
      </c>
      <c r="H390" s="125">
        <f>IFERROR(VLOOKUP(H$4,'Covid MV beds'!$M3:$U1048576,5,FALSE),"")</f>
        <v>24.857142857142858</v>
      </c>
      <c r="I390" s="125">
        <f>IFERROR(VLOOKUP(I$4,'Covid MV beds'!$M3:$U1048576,5,FALSE),"")</f>
        <v>29.571428571428573</v>
      </c>
      <c r="J390" s="125">
        <f>IFERROR(VLOOKUP(J$4,'Covid MV beds'!$M3:$U1048576,5,FALSE),"")</f>
        <v>17.857142857142858</v>
      </c>
      <c r="K390" s="125">
        <f>IFERROR(VLOOKUP(K$4,'Covid MV beds'!$M3:$U1048576,5,FALSE),"")</f>
        <v>18.571428571428573</v>
      </c>
      <c r="L390" s="125">
        <f>IFERROR(VLOOKUP(L$4,'Covid MV beds'!$M3:$U1048576,5,FALSE),"")</f>
        <v>15.428571428571429</v>
      </c>
      <c r="M390" s="125">
        <f>IFERROR(VLOOKUP(M$4,'Covid MV beds'!$M3:$U1048576,5,FALSE),"")</f>
        <v>15.857142857142858</v>
      </c>
      <c r="N390" s="125">
        <f>IFERROR(VLOOKUP(N$4,'Covid MV beds'!$M3:$U1048576,5,FALSE),"")</f>
        <v>20</v>
      </c>
      <c r="O390" s="125">
        <f>IFERROR(VLOOKUP(O$4,'Covid MV beds'!$M3:$U1048576,5,FALSE),"")</f>
        <v>19.428571428571427</v>
      </c>
      <c r="P390" s="125">
        <f>IFERROR(VLOOKUP(P$4,'Covid MV beds'!$M3:$U1048576,5,FALSE),"")</f>
        <v>20.285714285714285</v>
      </c>
      <c r="Q390" s="125">
        <f>IFERROR(VLOOKUP(Q$4,'Covid MV beds'!$M3:$U1048576,5,FALSE),"")</f>
        <v>17.428571428571427</v>
      </c>
      <c r="AA390" s="153"/>
      <c r="AB390" s="153"/>
      <c r="AC390" s="153"/>
      <c r="AD390" s="153"/>
    </row>
    <row r="391" spans="2:30" hidden="1" x14ac:dyDescent="0.35">
      <c r="B391" s="150"/>
      <c r="C391" s="1" t="s">
        <v>24</v>
      </c>
      <c r="D391" s="125">
        <f>IFERROR(VLOOKUP(D$4,'Covid MV beds'!$M3:$U1048576,3,FALSE),"")</f>
        <v>6.7142857142857144</v>
      </c>
      <c r="E391" s="125">
        <f>IFERROR(VLOOKUP(E$4,'Covid MV beds'!$M3:$U1048576,3,FALSE),"")</f>
        <v>13.428571428571429</v>
      </c>
      <c r="F391" s="125">
        <f>IFERROR(VLOOKUP(F$4,'Covid MV beds'!$M3:$U1048576,3,FALSE),"")</f>
        <v>22.428571428571427</v>
      </c>
      <c r="G391" s="125">
        <f>IFERROR(VLOOKUP(G$4,'Covid MV beds'!$M3:$U1048576,3,FALSE),"")</f>
        <v>24.428571428571427</v>
      </c>
      <c r="H391" s="125">
        <f>IFERROR(VLOOKUP(H$4,'Covid MV beds'!$M3:$U1048576,3,FALSE),"")</f>
        <v>20</v>
      </c>
      <c r="I391" s="125">
        <f>IFERROR(VLOOKUP(I$4,'Covid MV beds'!$M3:$U1048576,3,FALSE),"")</f>
        <v>16.428571428571427</v>
      </c>
      <c r="J391" s="125">
        <f>IFERROR(VLOOKUP(J$4,'Covid MV beds'!$M3:$U1048576,3,FALSE),"")</f>
        <v>14</v>
      </c>
      <c r="K391" s="125">
        <f>IFERROR(VLOOKUP(K$4,'Covid MV beds'!$M3:$U1048576,3,FALSE),"")</f>
        <v>12.428571428571429</v>
      </c>
      <c r="L391" s="125">
        <f>IFERROR(VLOOKUP(L$4,'Covid MV beds'!$M3:$U1048576,3,FALSE),"")</f>
        <v>15.714285714285714</v>
      </c>
      <c r="M391" s="125">
        <f>IFERROR(VLOOKUP(M$4,'Covid MV beds'!$M3:$U1048576,3,FALSE),"")</f>
        <v>17.142857142857142</v>
      </c>
      <c r="N391" s="125">
        <f>IFERROR(VLOOKUP(N$4,'Covid MV beds'!$M3:$U1048576,3,FALSE),"")</f>
        <v>15</v>
      </c>
      <c r="O391" s="125">
        <f>IFERROR(VLOOKUP(O$4,'Covid MV beds'!$M3:$U1048576,3,FALSE),"")</f>
        <v>16.285714285714285</v>
      </c>
      <c r="P391" s="125">
        <f>IFERROR(VLOOKUP(P$4,'Covid MV beds'!$M3:$U1048576,3,FALSE),"")</f>
        <v>15.285714285714286</v>
      </c>
      <c r="Q391" s="125">
        <f>IFERROR(VLOOKUP(Q$4,'Covid MV beds'!$M3:$U1048576,3,FALSE),"")</f>
        <v>13.285714285714286</v>
      </c>
      <c r="AA391" s="153"/>
      <c r="AB391" s="153"/>
      <c r="AC391" s="153"/>
      <c r="AD391" s="153"/>
    </row>
    <row r="392" spans="2:30" hidden="1" x14ac:dyDescent="0.35">
      <c r="B392" s="150"/>
      <c r="C392" s="1" t="s">
        <v>25</v>
      </c>
      <c r="D392" s="125">
        <f>IFERROR(VLOOKUP(D$4,'Covid MV beds'!$M3:$U1048576,6,FALSE),"")</f>
        <v>12.714285714285714</v>
      </c>
      <c r="E392" s="125">
        <f>IFERROR(VLOOKUP(E$4,'Covid MV beds'!$M3:$U1048576,6,FALSE),"")</f>
        <v>12.571428571428571</v>
      </c>
      <c r="F392" s="125">
        <f>IFERROR(VLOOKUP(F$4,'Covid MV beds'!$M3:$U1048576,6,FALSE),"")</f>
        <v>16.857142857142858</v>
      </c>
      <c r="G392" s="125">
        <f>IFERROR(VLOOKUP(G$4,'Covid MV beds'!$M3:$U1048576,6,FALSE),"")</f>
        <v>18.142857142857142</v>
      </c>
      <c r="H392" s="125">
        <f>IFERROR(VLOOKUP(H$4,'Covid MV beds'!$M3:$U1048576,6,FALSE),"")</f>
        <v>24.428571428571427</v>
      </c>
      <c r="I392" s="125">
        <f>IFERROR(VLOOKUP(I$4,'Covid MV beds'!$M3:$U1048576,6,FALSE),"")</f>
        <v>23.857142857142858</v>
      </c>
      <c r="J392" s="125">
        <f>IFERROR(VLOOKUP(J$4,'Covid MV beds'!$M3:$U1048576,6,FALSE),"")</f>
        <v>17.428571428571427</v>
      </c>
      <c r="K392" s="125">
        <f>IFERROR(VLOOKUP(K$4,'Covid MV beds'!$M3:$U1048576,6,FALSE),"")</f>
        <v>12</v>
      </c>
      <c r="L392" s="125">
        <f>IFERROR(VLOOKUP(L$4,'Covid MV beds'!$M3:$U1048576,6,FALSE),"")</f>
        <v>10.142857142857142</v>
      </c>
      <c r="M392" s="125">
        <f>IFERROR(VLOOKUP(M$4,'Covid MV beds'!$M3:$U1048576,6,FALSE),"")</f>
        <v>13.714285714285714</v>
      </c>
      <c r="N392" s="125">
        <f>IFERROR(VLOOKUP(N$4,'Covid MV beds'!$M3:$U1048576,6,FALSE),"")</f>
        <v>15</v>
      </c>
      <c r="O392" s="125">
        <f>IFERROR(VLOOKUP(O$4,'Covid MV beds'!$M3:$U1048576,6,FALSE),"")</f>
        <v>16.571428571428573</v>
      </c>
      <c r="P392" s="125">
        <f>IFERROR(VLOOKUP(P$4,'Covid MV beds'!$M3:$U1048576,6,FALSE),"")</f>
        <v>22.428571428571427</v>
      </c>
      <c r="Q392" s="125">
        <f>IFERROR(VLOOKUP(Q$4,'Covid MV beds'!$M3:$U1048576,6,FALSE),"")</f>
        <v>22.285714285714285</v>
      </c>
      <c r="AA392" s="153"/>
      <c r="AB392" s="153"/>
      <c r="AC392" s="153"/>
      <c r="AD392" s="153"/>
    </row>
    <row r="393" spans="2:30" hidden="1" x14ac:dyDescent="0.35">
      <c r="B393" s="150"/>
      <c r="C393" s="1" t="s">
        <v>37</v>
      </c>
      <c r="D393" s="125">
        <f>IFERROR(VLOOKUP(D$4,'Covid MV beds'!$M3:$U1048576,7,FALSE),"")</f>
        <v>12.571428571428571</v>
      </c>
      <c r="E393" s="125">
        <f>IFERROR(VLOOKUP(E$4,'Covid MV beds'!$M3:$U1048576,7,FALSE),"")</f>
        <v>7.2857142857142856</v>
      </c>
      <c r="F393" s="125">
        <f>IFERROR(VLOOKUP(F$4,'Covid MV beds'!$M3:$U1048576,7,FALSE),"")</f>
        <v>15.142857142857142</v>
      </c>
      <c r="G393" s="125">
        <f>IFERROR(VLOOKUP(G$4,'Covid MV beds'!$M3:$U1048576,7,FALSE),"")</f>
        <v>14.142857142857142</v>
      </c>
      <c r="H393" s="125">
        <f>IFERROR(VLOOKUP(H$4,'Covid MV beds'!$M3:$U1048576,7,FALSE),"")</f>
        <v>19</v>
      </c>
      <c r="I393" s="125">
        <f>IFERROR(VLOOKUP(I$4,'Covid MV beds'!$M3:$U1048576,7,FALSE),"")</f>
        <v>19.428571428571427</v>
      </c>
      <c r="J393" s="125">
        <f>IFERROR(VLOOKUP(J$4,'Covid MV beds'!$M3:$U1048576,7,FALSE),"")</f>
        <v>18.714285714285715</v>
      </c>
      <c r="K393" s="125">
        <f>IFERROR(VLOOKUP(K$4,'Covid MV beds'!$M3:$U1048576,7,FALSE),"")</f>
        <v>14</v>
      </c>
      <c r="L393" s="125">
        <f>IFERROR(VLOOKUP(L$4,'Covid MV beds'!$M3:$U1048576,7,FALSE),"")</f>
        <v>12.428571428571429</v>
      </c>
      <c r="M393" s="125">
        <f>IFERROR(VLOOKUP(M$4,'Covid MV beds'!$M3:$U1048576,7,FALSE),"")</f>
        <v>11.714285714285714</v>
      </c>
      <c r="N393" s="125">
        <f>IFERROR(VLOOKUP(N$4,'Covid MV beds'!$M3:$U1048576,7,FALSE),"")</f>
        <v>8.1428571428571423</v>
      </c>
      <c r="O393" s="125">
        <f>IFERROR(VLOOKUP(O$4,'Covid MV beds'!$M3:$U1048576,7,FALSE),"")</f>
        <v>11.571428571428571</v>
      </c>
      <c r="P393" s="125">
        <f>IFERROR(VLOOKUP(P$4,'Covid MV beds'!$M3:$U1048576,7,FALSE),"")</f>
        <v>13.571428571428571</v>
      </c>
      <c r="Q393" s="125">
        <f>IFERROR(VLOOKUP(Q$4,'Covid MV beds'!$M3:$U1048576,7,FALSE),"")</f>
        <v>17</v>
      </c>
    </row>
    <row r="394" spans="2:30" hidden="1" x14ac:dyDescent="0.35">
      <c r="B394" s="150"/>
      <c r="C394" s="1" t="s">
        <v>87</v>
      </c>
      <c r="D394" s="125">
        <f>IFERROR(VLOOKUP(D$4,'Covid MV beds'!$M3:$U1048576,8,FALSE),"")</f>
        <v>18.142857142857142</v>
      </c>
      <c r="E394" s="125">
        <f>IFERROR(VLOOKUP(E$4,'Covid MV beds'!$M3:$U1048576,8,FALSE),"")</f>
        <v>13.571428571428571</v>
      </c>
      <c r="F394" s="125">
        <f>IFERROR(VLOOKUP(F$4,'Covid MV beds'!$M3:$U1048576,8,FALSE),"")</f>
        <v>16.714285714285715</v>
      </c>
      <c r="G394" s="125">
        <f>IFERROR(VLOOKUP(G$4,'Covid MV beds'!$M3:$U1048576,8,FALSE),"")</f>
        <v>20.714285714285715</v>
      </c>
      <c r="H394" s="125">
        <f>IFERROR(VLOOKUP(H$4,'Covid MV beds'!$M3:$U1048576,8,FALSE),"")</f>
        <v>22.142857142857142</v>
      </c>
      <c r="I394" s="125">
        <f>IFERROR(VLOOKUP(I$4,'Covid MV beds'!$M3:$U1048576,8,FALSE),"")</f>
        <v>23</v>
      </c>
      <c r="J394" s="125">
        <f>IFERROR(VLOOKUP(J$4,'Covid MV beds'!$M3:$U1048576,8,FALSE),"")</f>
        <v>20</v>
      </c>
      <c r="K394" s="125">
        <f>IFERROR(VLOOKUP(K$4,'Covid MV beds'!$M3:$U1048576,8,FALSE),"")</f>
        <v>17.142857142857142</v>
      </c>
      <c r="L394" s="125">
        <f>IFERROR(VLOOKUP(L$4,'Covid MV beds'!$M3:$U1048576,8,FALSE),"")</f>
        <v>17.714285714285715</v>
      </c>
      <c r="M394" s="125">
        <f>IFERROR(VLOOKUP(M$4,'Covid MV beds'!$M3:$U1048576,8,FALSE),"")</f>
        <v>15.142857142857142</v>
      </c>
      <c r="N394" s="125">
        <f>IFERROR(VLOOKUP(N$4,'Covid MV beds'!$M3:$U1048576,8,FALSE),"")</f>
        <v>14.142857142857142</v>
      </c>
      <c r="O394" s="125">
        <f>IFERROR(VLOOKUP(O$4,'Covid MV beds'!$M3:$U1048576,8,FALSE),"")</f>
        <v>13.714285714285714</v>
      </c>
      <c r="P394" s="125">
        <f>IFERROR(VLOOKUP(P$4,'Covid MV beds'!$M3:$U1048576,8,FALSE),"")</f>
        <v>13.428571428571429</v>
      </c>
      <c r="Q394" s="125">
        <f>IFERROR(VLOOKUP(Q$4,'Covid MV beds'!$M3:$U1048576,8,FALSE),"")</f>
        <v>14.428571428571429</v>
      </c>
    </row>
    <row r="395" spans="2:30" hidden="1" x14ac:dyDescent="0.35">
      <c r="B395" s="150"/>
      <c r="C395" s="1" t="s">
        <v>62</v>
      </c>
      <c r="D395" s="125">
        <f>IFERROR(VLOOKUP(D$4,'Covid MV beds'!$M3:$U1048576,9,FALSE),"")</f>
        <v>7.7142857142857144</v>
      </c>
      <c r="E395" s="125">
        <f>IFERROR(VLOOKUP(E$4,'Covid MV beds'!$M3:$U1048576,9,FALSE),"")</f>
        <v>8</v>
      </c>
      <c r="F395" s="125">
        <f>IFERROR(VLOOKUP(F$4,'Covid MV beds'!$M3:$U1048576,9,FALSE),"")</f>
        <v>6.2857142857142856</v>
      </c>
      <c r="G395" s="125">
        <f>IFERROR(VLOOKUP(G$4,'Covid MV beds'!$M3:$U1048576,9,FALSE),"")</f>
        <v>7.7142857142857144</v>
      </c>
      <c r="H395" s="125">
        <f>IFERROR(VLOOKUP(H$4,'Covid MV beds'!$M3:$U1048576,9,FALSE),"")</f>
        <v>11</v>
      </c>
      <c r="I395" s="125">
        <f>IFERROR(VLOOKUP(I$4,'Covid MV beds'!$M3:$U1048576,9,FALSE),"")</f>
        <v>11.571428571428571</v>
      </c>
      <c r="J395" s="125">
        <f>IFERROR(VLOOKUP(J$4,'Covid MV beds'!$M3:$U1048576,9,FALSE),"")</f>
        <v>6.4285714285714288</v>
      </c>
      <c r="K395" s="125">
        <f>IFERROR(VLOOKUP(K$4,'Covid MV beds'!$M3:$U1048576,9,FALSE),"")</f>
        <v>6.7142857142857144</v>
      </c>
      <c r="L395" s="125">
        <f>IFERROR(VLOOKUP(L$4,'Covid MV beds'!$M3:$U1048576,9,FALSE),"")</f>
        <v>3.7142857142857144</v>
      </c>
      <c r="M395" s="125">
        <f>IFERROR(VLOOKUP(M$4,'Covid MV beds'!$M3:$U1048576,9,FALSE),"")</f>
        <v>4.5714285714285712</v>
      </c>
      <c r="N395" s="125">
        <f>IFERROR(VLOOKUP(N$4,'Covid MV beds'!$M3:$U1048576,9,FALSE),"")</f>
        <v>2.7142857142857144</v>
      </c>
      <c r="O395" s="125">
        <f>IFERROR(VLOOKUP(O$4,'Covid MV beds'!$M3:$U1048576,9,FALSE),"")</f>
        <v>2.4285714285714284</v>
      </c>
      <c r="P395" s="125">
        <f>IFERROR(VLOOKUP(P$4,'Covid MV beds'!$M3:$U1048576,9,FALSE),"")</f>
        <v>4.7142857142857144</v>
      </c>
      <c r="Q395" s="125">
        <f>IFERROR(VLOOKUP(Q$4,'Covid MV beds'!$M3:$U1048576,9,FALSE),"")</f>
        <v>7.2857142857142856</v>
      </c>
    </row>
    <row r="396" spans="2:30" ht="29.5" hidden="1" customHeight="1" x14ac:dyDescent="0.35">
      <c r="B396" s="150"/>
    </row>
    <row r="397" spans="2:30" ht="15" hidden="1" customHeight="1" x14ac:dyDescent="0.35">
      <c r="B397" s="150"/>
      <c r="C397" t="s">
        <v>122</v>
      </c>
    </row>
    <row r="398" spans="2:30" ht="14.5" hidden="1" customHeight="1" x14ac:dyDescent="0.35">
      <c r="B398" s="150"/>
      <c r="C398" s="1" t="s">
        <v>117</v>
      </c>
      <c r="D398" s="11">
        <v>575.42857142857144</v>
      </c>
      <c r="E398" s="11">
        <v>715.57142857142856</v>
      </c>
      <c r="F398" s="11">
        <v>975.28571428571433</v>
      </c>
      <c r="G398" s="11">
        <v>1103.4285714285713</v>
      </c>
      <c r="H398" s="11">
        <v>1005.5714285714286</v>
      </c>
      <c r="I398" s="11">
        <v>834</v>
      </c>
      <c r="J398" s="11">
        <v>606.85714285714289</v>
      </c>
      <c r="K398" s="11">
        <v>558.14285714285711</v>
      </c>
      <c r="L398" s="11">
        <v>642.42857142857144</v>
      </c>
      <c r="M398" s="11">
        <v>710.57142857142856</v>
      </c>
      <c r="N398" s="11">
        <v>782.85714285714289</v>
      </c>
      <c r="O398" s="11">
        <v>892</v>
      </c>
      <c r="P398" s="123">
        <v>851.57142857142856</v>
      </c>
      <c r="Q398" s="68">
        <v>883.14285714285711</v>
      </c>
      <c r="AA398" s="137" t="s">
        <v>123</v>
      </c>
      <c r="AB398" s="137"/>
      <c r="AC398" s="137"/>
      <c r="AD398" s="137"/>
    </row>
    <row r="399" spans="2:30" hidden="1" x14ac:dyDescent="0.35">
      <c r="B399" s="150"/>
      <c r="C399" s="114"/>
      <c r="AA399" s="137"/>
      <c r="AB399" s="137"/>
      <c r="AC399" s="137"/>
      <c r="AD399" s="137"/>
    </row>
    <row r="400" spans="2:30" hidden="1" x14ac:dyDescent="0.35">
      <c r="B400" s="150"/>
      <c r="C400" s="13" t="s">
        <v>18</v>
      </c>
      <c r="D400" s="51">
        <f>IFERROR(VLOOKUP(D$4,'Covid new admissions'!$M$3:$U$1048576,2,FALSE),"")</f>
        <v>575.42857142857144</v>
      </c>
      <c r="E400" s="51">
        <f>IFERROR(VLOOKUP(E$4,'Covid new admissions'!$M$3:$U$1048576,2,FALSE),"")</f>
        <v>715.57142857142856</v>
      </c>
      <c r="F400" s="51">
        <f>IFERROR(VLOOKUP(F$4,'Covid new admissions'!$M$3:$U$1048576,2,FALSE),"")</f>
        <v>975.28571428571433</v>
      </c>
      <c r="G400" s="51">
        <f>IFERROR(VLOOKUP(G$4,'Covid new admissions'!$M$3:$U$1048576,2,FALSE),"")</f>
        <v>1103.4285714285713</v>
      </c>
      <c r="H400" s="51">
        <f>IFERROR(VLOOKUP(H$4,'Covid new admissions'!$M$3:$U$1048576,2,FALSE),"")</f>
        <v>1005.5714285714286</v>
      </c>
      <c r="I400" s="51">
        <f>IFERROR(VLOOKUP(I$4,'Covid new admissions'!$M$3:$U$1048576,2,FALSE),"")</f>
        <v>834</v>
      </c>
      <c r="J400" s="51">
        <f>IFERROR(VLOOKUP(J$4,'Covid new admissions'!$M$3:$U$1048576,2,FALSE),"")</f>
        <v>606.85714285714289</v>
      </c>
      <c r="K400" s="51">
        <f>IFERROR(VLOOKUP(K$4,'Covid new admissions'!$M$3:$U$1048576,2,FALSE),"")</f>
        <v>558.14285714285711</v>
      </c>
      <c r="L400" s="51">
        <f>IFERROR(VLOOKUP(L$4,'Covid new admissions'!$M$3:$U$1048576,2,FALSE),"")</f>
        <v>642.42857142857144</v>
      </c>
      <c r="M400" s="51">
        <f>IFERROR(VLOOKUP(M$4,'Covid new admissions'!$M$3:$U$1048576,2,FALSE),"")</f>
        <v>710.57142857142856</v>
      </c>
      <c r="N400" s="51">
        <f>IFERROR(VLOOKUP(N$4,'Covid new admissions'!$M$3:$U$1048576,2,FALSE),"")</f>
        <v>782.85714285714289</v>
      </c>
      <c r="O400" s="51">
        <f>IFERROR(VLOOKUP(O$4,'Covid new admissions'!$M$3:$U$1048576,2,FALSE),"")</f>
        <v>892</v>
      </c>
      <c r="P400" s="51">
        <f>IFERROR(VLOOKUP(P$4,'Covid new admissions'!$M$3:$U$1048576,2,FALSE),"")</f>
        <v>851.57142857142856</v>
      </c>
      <c r="Q400" s="51">
        <f>IFERROR(VLOOKUP(Q$4,'Covid new admissions'!$M$3:$U$1048576,2,FALSE),"")</f>
        <v>883.14285714285711</v>
      </c>
      <c r="AA400" s="116"/>
      <c r="AB400" s="116"/>
      <c r="AC400" s="116"/>
      <c r="AD400" s="116"/>
    </row>
    <row r="401" spans="2:30" hidden="1" x14ac:dyDescent="0.35">
      <c r="B401" s="150"/>
      <c r="C401" s="1" t="s">
        <v>21</v>
      </c>
      <c r="D401" s="125">
        <f>IFERROR(VLOOKUP(D$4,'Covid new admissions'!$M$3:$U$1048576,4,FALSE),"")</f>
        <v>76.571428571428569</v>
      </c>
      <c r="E401" s="125">
        <f>IFERROR(VLOOKUP(E$4,'Covid new admissions'!$M$3:$U$1048576,4,FALSE),"")</f>
        <v>101</v>
      </c>
      <c r="F401" s="125">
        <f>IFERROR(VLOOKUP(F$4,'Covid new admissions'!$M$3:$U$1048576,4,FALSE),"")</f>
        <v>117.57142857142857</v>
      </c>
      <c r="G401" s="125">
        <f>IFERROR(VLOOKUP(G$4,'Covid new admissions'!$M$3:$U$1048576,4,FALSE),"")</f>
        <v>138.42857142857142</v>
      </c>
      <c r="H401" s="125">
        <f>IFERROR(VLOOKUP(H$4,'Covid new admissions'!$M$3:$U$1048576,4,FALSE),"")</f>
        <v>126</v>
      </c>
      <c r="I401" s="125">
        <f>IFERROR(VLOOKUP(I$4,'Covid new admissions'!$M$3:$U$1048576,4,FALSE),"")</f>
        <v>97.857142857142861</v>
      </c>
      <c r="J401" s="125">
        <f>IFERROR(VLOOKUP(J$4,'Covid new admissions'!$M$3:$U$1048576,4,FALSE),"")</f>
        <v>67.571428571428569</v>
      </c>
      <c r="K401" s="125">
        <f>IFERROR(VLOOKUP(K$4,'Covid new admissions'!$M$3:$U$1048576,4,FALSE),"")</f>
        <v>55.285714285714285</v>
      </c>
      <c r="L401" s="125">
        <f>IFERROR(VLOOKUP(L$4,'Covid new admissions'!$M$3:$U$1048576,4,FALSE),"")</f>
        <v>70.142857142857139</v>
      </c>
      <c r="M401" s="125">
        <f>IFERROR(VLOOKUP(M$4,'Covid new admissions'!$M$3:$U$1048576,4,FALSE),"")</f>
        <v>85.142857142857139</v>
      </c>
      <c r="N401" s="125">
        <f>IFERROR(VLOOKUP(N$4,'Covid new admissions'!$M$3:$U$1048576,4,FALSE),"")</f>
        <v>88.857142857142861</v>
      </c>
      <c r="O401" s="125">
        <f>IFERROR(VLOOKUP(O$4,'Covid new admissions'!$M$3:$U$1048576,4,FALSE),"")</f>
        <v>112.42857142857143</v>
      </c>
      <c r="P401" s="125">
        <f>IFERROR(VLOOKUP(P$4,'Covid new admissions'!$M$3:$U$1048576,4,FALSE),"")</f>
        <v>116</v>
      </c>
      <c r="Q401" s="125">
        <f>IFERROR(VLOOKUP(Q$4,'Covid new admissions'!$M$3:$U$1048576,4,FALSE),"")</f>
        <v>115.57142857142857</v>
      </c>
      <c r="AA401" s="153" t="s">
        <v>124</v>
      </c>
      <c r="AB401" s="153"/>
      <c r="AC401" s="153"/>
      <c r="AD401" s="153"/>
    </row>
    <row r="402" spans="2:30" hidden="1" x14ac:dyDescent="0.35">
      <c r="B402" s="150"/>
      <c r="C402" s="1" t="s">
        <v>22</v>
      </c>
      <c r="D402" s="125">
        <f>IFERROR(VLOOKUP(D$4,'Covid new admissions'!$M$3:$U$1048576,5,FALSE),"")</f>
        <v>112.85714285714286</v>
      </c>
      <c r="E402" s="125">
        <f>IFERROR(VLOOKUP(E$4,'Covid new admissions'!$M$3:$U$1048576,5,FALSE),"")</f>
        <v>131.85714285714286</v>
      </c>
      <c r="F402" s="125">
        <f>IFERROR(VLOOKUP(F$4,'Covid new admissions'!$M$3:$U$1048576,5,FALSE),"")</f>
        <v>179</v>
      </c>
      <c r="G402" s="125">
        <f>IFERROR(VLOOKUP(G$4,'Covid new admissions'!$M$3:$U$1048576,5,FALSE),"")</f>
        <v>207.28571428571428</v>
      </c>
      <c r="H402" s="125">
        <f>IFERROR(VLOOKUP(H$4,'Covid new admissions'!$M$3:$U$1048576,5,FALSE),"")</f>
        <v>192.28571428571428</v>
      </c>
      <c r="I402" s="125">
        <f>IFERROR(VLOOKUP(I$4,'Covid new admissions'!$M$3:$U$1048576,5,FALSE),"")</f>
        <v>158.71428571428572</v>
      </c>
      <c r="J402" s="125">
        <f>IFERROR(VLOOKUP(J$4,'Covid new admissions'!$M$3:$U$1048576,5,FALSE),"")</f>
        <v>125.57142857142857</v>
      </c>
      <c r="K402" s="125">
        <f>IFERROR(VLOOKUP(K$4,'Covid new admissions'!$M$3:$U$1048576,5,FALSE),"")</f>
        <v>117.85714285714286</v>
      </c>
      <c r="L402" s="125">
        <f>IFERROR(VLOOKUP(L$4,'Covid new admissions'!$M$3:$U$1048576,5,FALSE),"")</f>
        <v>125.14285714285714</v>
      </c>
      <c r="M402" s="125">
        <f>IFERROR(VLOOKUP(M$4,'Covid new admissions'!$M$3:$U$1048576,5,FALSE),"")</f>
        <v>126.14285714285714</v>
      </c>
      <c r="N402" s="125">
        <f>IFERROR(VLOOKUP(N$4,'Covid new admissions'!$M$3:$U$1048576,5,FALSE),"")</f>
        <v>146.14285714285714</v>
      </c>
      <c r="O402" s="125">
        <f>IFERROR(VLOOKUP(O$4,'Covid new admissions'!$M$3:$U$1048576,5,FALSE),"")</f>
        <v>165.14285714285714</v>
      </c>
      <c r="P402" s="125">
        <f>IFERROR(VLOOKUP(P$4,'Covid new admissions'!$M$3:$U$1048576,5,FALSE),"")</f>
        <v>166.42857142857142</v>
      </c>
      <c r="Q402" s="125">
        <f>IFERROR(VLOOKUP(Q$4,'Covid new admissions'!$M$3:$U$1048576,5,FALSE),"")</f>
        <v>167.42857142857142</v>
      </c>
      <c r="AA402" s="153"/>
      <c r="AB402" s="153"/>
      <c r="AC402" s="153"/>
      <c r="AD402" s="153"/>
    </row>
    <row r="403" spans="2:30" hidden="1" x14ac:dyDescent="0.35">
      <c r="B403" s="150"/>
      <c r="C403" s="1" t="s">
        <v>24</v>
      </c>
      <c r="D403" s="125">
        <f>IFERROR(VLOOKUP(D$4,'Covid new admissions'!$M$3:$U$1048576,3,FALSE),"")</f>
        <v>64.142857142857139</v>
      </c>
      <c r="E403" s="125">
        <f>IFERROR(VLOOKUP(E$4,'Covid new admissions'!$M$3:$U$1048576,3,FALSE),"")</f>
        <v>82.428571428571431</v>
      </c>
      <c r="F403" s="125">
        <f>IFERROR(VLOOKUP(F$4,'Covid new admissions'!$M$3:$U$1048576,3,FALSE),"")</f>
        <v>104.42857142857143</v>
      </c>
      <c r="G403" s="125">
        <f>IFERROR(VLOOKUP(G$4,'Covid new admissions'!$M$3:$U$1048576,3,FALSE),"")</f>
        <v>126.85714285714286</v>
      </c>
      <c r="H403" s="125">
        <f>IFERROR(VLOOKUP(H$4,'Covid new admissions'!$M$3:$U$1048576,3,FALSE),"")</f>
        <v>108.28571428571429</v>
      </c>
      <c r="I403" s="125">
        <f>IFERROR(VLOOKUP(I$4,'Covid new admissions'!$M$3:$U$1048576,3,FALSE),"")</f>
        <v>91.571428571428569</v>
      </c>
      <c r="J403" s="125">
        <f>IFERROR(VLOOKUP(J$4,'Covid new admissions'!$M$3:$U$1048576,3,FALSE),"")</f>
        <v>69.285714285714292</v>
      </c>
      <c r="K403" s="125">
        <f>IFERROR(VLOOKUP(K$4,'Covid new admissions'!$M$3:$U$1048576,3,FALSE),"")</f>
        <v>64.571428571428569</v>
      </c>
      <c r="L403" s="125">
        <f>IFERROR(VLOOKUP(L$4,'Covid new admissions'!$M$3:$U$1048576,3,FALSE),"")</f>
        <v>78.571428571428569</v>
      </c>
      <c r="M403" s="125">
        <f>IFERROR(VLOOKUP(M$4,'Covid new admissions'!$M$3:$U$1048576,3,FALSE),"")</f>
        <v>105.57142857142857</v>
      </c>
      <c r="N403" s="125">
        <f>IFERROR(VLOOKUP(N$4,'Covid new admissions'!$M$3:$U$1048576,3,FALSE),"")</f>
        <v>107.14285714285714</v>
      </c>
      <c r="O403" s="125">
        <f>IFERROR(VLOOKUP(O$4,'Covid new admissions'!$M$3:$U$1048576,3,FALSE),"")</f>
        <v>113.57142857142857</v>
      </c>
      <c r="P403" s="125">
        <f>IFERROR(VLOOKUP(P$4,'Covid new admissions'!$M$3:$U$1048576,3,FALSE),"")</f>
        <v>90.142857142857139</v>
      </c>
      <c r="Q403" s="125">
        <f>IFERROR(VLOOKUP(Q$4,'Covid new admissions'!$M$3:$U$1048576,3,FALSE),"")</f>
        <v>93.857142857142861</v>
      </c>
      <c r="AA403" s="153"/>
      <c r="AB403" s="153"/>
      <c r="AC403" s="153"/>
      <c r="AD403" s="153"/>
    </row>
    <row r="404" spans="2:30" hidden="1" x14ac:dyDescent="0.35">
      <c r="B404" s="150"/>
      <c r="C404" s="1" t="s">
        <v>25</v>
      </c>
      <c r="D404" s="125">
        <f>IFERROR(VLOOKUP(D$4,'Covid new admissions'!$M$3:$U$1048576,6,FALSE),"")</f>
        <v>93.428571428571431</v>
      </c>
      <c r="E404" s="125">
        <f>IFERROR(VLOOKUP(E$4,'Covid new admissions'!$M$3:$U$1048576,6,FALSE),"")</f>
        <v>106</v>
      </c>
      <c r="F404" s="125">
        <f>IFERROR(VLOOKUP(F$4,'Covid new admissions'!$M$3:$U$1048576,6,FALSE),"")</f>
        <v>165</v>
      </c>
      <c r="G404" s="125">
        <f>IFERROR(VLOOKUP(G$4,'Covid new admissions'!$M$3:$U$1048576,6,FALSE),"")</f>
        <v>163.42857142857142</v>
      </c>
      <c r="H404" s="125">
        <f>IFERROR(VLOOKUP(H$4,'Covid new admissions'!$M$3:$U$1048576,6,FALSE),"")</f>
        <v>165.71428571428572</v>
      </c>
      <c r="I404" s="125">
        <f>IFERROR(VLOOKUP(I$4,'Covid new admissions'!$M$3:$U$1048576,6,FALSE),"")</f>
        <v>156.85714285714286</v>
      </c>
      <c r="J404" s="125">
        <f>IFERROR(VLOOKUP(J$4,'Covid new admissions'!$M$3:$U$1048576,6,FALSE),"")</f>
        <v>113.28571428571429</v>
      </c>
      <c r="K404" s="125">
        <f>IFERROR(VLOOKUP(K$4,'Covid new admissions'!$M$3:$U$1048576,6,FALSE),"")</f>
        <v>101.42857142857143</v>
      </c>
      <c r="L404" s="125">
        <f>IFERROR(VLOOKUP(L$4,'Covid new admissions'!$M$3:$U$1048576,6,FALSE),"")</f>
        <v>124.57142857142857</v>
      </c>
      <c r="M404" s="125">
        <f>IFERROR(VLOOKUP(M$4,'Covid new admissions'!$M$3:$U$1048576,6,FALSE),"")</f>
        <v>125.28571428571429</v>
      </c>
      <c r="N404" s="125">
        <f>IFERROR(VLOOKUP(N$4,'Covid new admissions'!$M$3:$U$1048576,6,FALSE),"")</f>
        <v>134</v>
      </c>
      <c r="O404" s="125">
        <f>IFERROR(VLOOKUP(O$4,'Covid new admissions'!$M$3:$U$1048576,6,FALSE),"")</f>
        <v>159.42857142857142</v>
      </c>
      <c r="P404" s="125">
        <f>IFERROR(VLOOKUP(P$4,'Covid new admissions'!$M$3:$U$1048576,6,FALSE),"")</f>
        <v>168.57142857142858</v>
      </c>
      <c r="Q404" s="125">
        <f>IFERROR(VLOOKUP(Q$4,'Covid new admissions'!$M$3:$U$1048576,6,FALSE),"")</f>
        <v>168.85714285714286</v>
      </c>
      <c r="AA404" s="153"/>
      <c r="AB404" s="153"/>
      <c r="AC404" s="153"/>
      <c r="AD404" s="153"/>
    </row>
    <row r="405" spans="2:30" hidden="1" x14ac:dyDescent="0.35">
      <c r="B405" s="150"/>
      <c r="C405" s="1" t="s">
        <v>37</v>
      </c>
      <c r="D405" s="125">
        <f>IFERROR(VLOOKUP(D$4,'Covid new admissions'!$M$3:$U$1048576,7,FALSE),"")</f>
        <v>74.714285714285708</v>
      </c>
      <c r="E405" s="125">
        <f>IFERROR(VLOOKUP(E$4,'Covid new admissions'!$M$3:$U$1048576,7,FALSE),"")</f>
        <v>86.285714285714292</v>
      </c>
      <c r="F405" s="125">
        <f>IFERROR(VLOOKUP(F$4,'Covid new admissions'!$M$3:$U$1048576,7,FALSE),"")</f>
        <v>110.71428571428571</v>
      </c>
      <c r="G405" s="125">
        <f>IFERROR(VLOOKUP(G$4,'Covid new admissions'!$M$3:$U$1048576,7,FALSE),"")</f>
        <v>130.71428571428572</v>
      </c>
      <c r="H405" s="125">
        <f>IFERROR(VLOOKUP(H$4,'Covid new admissions'!$M$3:$U$1048576,7,FALSE),"")</f>
        <v>133.57142857142858</v>
      </c>
      <c r="I405" s="125">
        <f>IFERROR(VLOOKUP(I$4,'Covid new admissions'!$M$3:$U$1048576,7,FALSE),"")</f>
        <v>115.42857142857143</v>
      </c>
      <c r="J405" s="125">
        <f>IFERROR(VLOOKUP(J$4,'Covid new admissions'!$M$3:$U$1048576,7,FALSE),"")</f>
        <v>90.428571428571431</v>
      </c>
      <c r="K405" s="125">
        <f>IFERROR(VLOOKUP(K$4,'Covid new admissions'!$M$3:$U$1048576,7,FALSE),"")</f>
        <v>77.571428571428569</v>
      </c>
      <c r="L405" s="125">
        <f>IFERROR(VLOOKUP(L$4,'Covid new admissions'!$M$3:$U$1048576,7,FALSE),"")</f>
        <v>69.285714285714292</v>
      </c>
      <c r="M405" s="125">
        <f>IFERROR(VLOOKUP(M$4,'Covid new admissions'!$M$3:$U$1048576,7,FALSE),"")</f>
        <v>74.714285714285708</v>
      </c>
      <c r="N405" s="125">
        <f>IFERROR(VLOOKUP(N$4,'Covid new admissions'!$M$3:$U$1048576,7,FALSE),"")</f>
        <v>88.857142857142861</v>
      </c>
      <c r="O405" s="125">
        <f>IFERROR(VLOOKUP(O$4,'Covid new admissions'!$M$3:$U$1048576,7,FALSE),"")</f>
        <v>102.14285714285714</v>
      </c>
      <c r="P405" s="125">
        <f>IFERROR(VLOOKUP(P$4,'Covid new admissions'!$M$3:$U$1048576,7,FALSE),"")</f>
        <v>101.14285714285714</v>
      </c>
      <c r="Q405" s="125">
        <f>IFERROR(VLOOKUP(Q$4,'Covid new admissions'!$M$3:$U$1048576,7,FALSE),"")</f>
        <v>116.85714285714286</v>
      </c>
    </row>
    <row r="406" spans="2:30" hidden="1" x14ac:dyDescent="0.35">
      <c r="B406" s="150"/>
      <c r="C406" s="1" t="s">
        <v>87</v>
      </c>
      <c r="D406" s="125">
        <f>IFERROR(VLOOKUP(D$4,'Covid new admissions'!$M$3:$U$1048576,8,FALSE),"")</f>
        <v>91.285714285714292</v>
      </c>
      <c r="E406" s="125">
        <f>IFERROR(VLOOKUP(E$4,'Covid new admissions'!$M$3:$U$1048576,8,FALSE),"")</f>
        <v>111.71428571428571</v>
      </c>
      <c r="F406" s="125">
        <f>IFERROR(VLOOKUP(F$4,'Covid new admissions'!$M$3:$U$1048576,8,FALSE),"")</f>
        <v>164</v>
      </c>
      <c r="G406" s="125">
        <f>IFERROR(VLOOKUP(G$4,'Covid new admissions'!$M$3:$U$1048576,8,FALSE),"")</f>
        <v>198.42857142857142</v>
      </c>
      <c r="H406" s="125">
        <f>IFERROR(VLOOKUP(H$4,'Covid new admissions'!$M$3:$U$1048576,8,FALSE),"")</f>
        <v>161.28571428571428</v>
      </c>
      <c r="I406" s="125">
        <f>IFERROR(VLOOKUP(I$4,'Covid new admissions'!$M$3:$U$1048576,8,FALSE),"")</f>
        <v>127.71428571428571</v>
      </c>
      <c r="J406" s="125">
        <f>IFERROR(VLOOKUP(J$4,'Covid new admissions'!$M$3:$U$1048576,8,FALSE),"")</f>
        <v>84.142857142857139</v>
      </c>
      <c r="K406" s="125">
        <f>IFERROR(VLOOKUP(K$4,'Covid new admissions'!$M$3:$U$1048576,8,FALSE),"")</f>
        <v>85.857142857142861</v>
      </c>
      <c r="L406" s="125">
        <f>IFERROR(VLOOKUP(L$4,'Covid new admissions'!$M$3:$U$1048576,8,FALSE),"")</f>
        <v>106.42857142857143</v>
      </c>
      <c r="M406" s="125">
        <f>IFERROR(VLOOKUP(M$4,'Covid new admissions'!$M$3:$U$1048576,8,FALSE),"")</f>
        <v>108.28571428571429</v>
      </c>
      <c r="N406" s="125">
        <f>IFERROR(VLOOKUP(N$4,'Covid new admissions'!$M$3:$U$1048576,8,FALSE),"")</f>
        <v>135.42857142857142</v>
      </c>
      <c r="O406" s="125">
        <f>IFERROR(VLOOKUP(O$4,'Covid new admissions'!$M$3:$U$1048576,8,FALSE),"")</f>
        <v>150.42857142857142</v>
      </c>
      <c r="P406" s="125">
        <f>IFERROR(VLOOKUP(P$4,'Covid new admissions'!$M$3:$U$1048576,8,FALSE),"")</f>
        <v>133.14285714285714</v>
      </c>
      <c r="Q406" s="125">
        <f>IFERROR(VLOOKUP(Q$4,'Covid new admissions'!$M$3:$U$1048576,8,FALSE),"")</f>
        <v>140.85714285714286</v>
      </c>
    </row>
    <row r="407" spans="2:30" hidden="1" x14ac:dyDescent="0.35">
      <c r="B407" s="150"/>
      <c r="C407" s="1" t="s">
        <v>62</v>
      </c>
      <c r="D407" s="125">
        <f>IFERROR(VLOOKUP(D$4,'Covid new admissions'!$M$3:$U$1048576,9,FALSE),"")</f>
        <v>62.428571428571431</v>
      </c>
      <c r="E407" s="125">
        <f>IFERROR(VLOOKUP(E$4,'Covid new admissions'!$M$3:$U$1048576,9,FALSE),"")</f>
        <v>96.285714285714292</v>
      </c>
      <c r="F407" s="125">
        <f>IFERROR(VLOOKUP(F$4,'Covid new admissions'!$M$3:$U$1048576,9,FALSE),"")</f>
        <v>134.57142857142858</v>
      </c>
      <c r="G407" s="125">
        <f>IFERROR(VLOOKUP(G$4,'Covid new admissions'!$M$3:$U$1048576,9,FALSE),"")</f>
        <v>138.28571428571428</v>
      </c>
      <c r="H407" s="125">
        <f>IFERROR(VLOOKUP(H$4,'Covid new admissions'!$M$3:$U$1048576,9,FALSE),"")</f>
        <v>118.42857142857143</v>
      </c>
      <c r="I407" s="125">
        <f>IFERROR(VLOOKUP(I$4,'Covid new admissions'!$M$3:$U$1048576,9,FALSE),"")</f>
        <v>85.857142857142861</v>
      </c>
      <c r="J407" s="125">
        <f>IFERROR(VLOOKUP(J$4,'Covid new admissions'!$M$3:$U$1048576,9,FALSE),"")</f>
        <v>56.571428571428569</v>
      </c>
      <c r="K407" s="125">
        <f>IFERROR(VLOOKUP(K$4,'Covid new admissions'!$M$3:$U$1048576,9,FALSE),"")</f>
        <v>55.571428571428569</v>
      </c>
      <c r="L407" s="125">
        <f>IFERROR(VLOOKUP(L$4,'Covid new admissions'!$M$3:$U$1048576,9,FALSE),"")</f>
        <v>68.285714285714292</v>
      </c>
      <c r="M407" s="125">
        <f>IFERROR(VLOOKUP(M$4,'Covid new admissions'!$M$3:$U$1048576,9,FALSE),"")</f>
        <v>85.428571428571431</v>
      </c>
      <c r="N407" s="125">
        <f>IFERROR(VLOOKUP(N$4,'Covid new admissions'!$M$3:$U$1048576,9,FALSE),"")</f>
        <v>82.428571428571431</v>
      </c>
      <c r="O407" s="125">
        <f>IFERROR(VLOOKUP(O$4,'Covid new admissions'!$M$3:$U$1048576,9,FALSE),"")</f>
        <v>88.857142857142861</v>
      </c>
      <c r="P407" s="125">
        <f>IFERROR(VLOOKUP(P$4,'Covid new admissions'!$M$3:$U$1048576,9,FALSE),"")</f>
        <v>76.142857142857139</v>
      </c>
      <c r="Q407" s="125">
        <f>IFERROR(VLOOKUP(Q$4,'Covid new admissions'!$M$3:$U$1048576,9,FALSE),"")</f>
        <v>79.714285714285708</v>
      </c>
    </row>
    <row r="408" spans="2:30" hidden="1" x14ac:dyDescent="0.35">
      <c r="B408" s="150"/>
    </row>
    <row r="409" spans="2:30" hidden="1" x14ac:dyDescent="0.35"/>
    <row r="410" spans="2:30" hidden="1" x14ac:dyDescent="0.35"/>
    <row r="411" spans="2:30" hidden="1" x14ac:dyDescent="0.35"/>
    <row r="412" spans="2:30" hidden="1" x14ac:dyDescent="0.35"/>
  </sheetData>
  <sheetProtection algorithmName="SHA-512" hashValue="o1NTkKfvJGDv3Z7Ym+8UcK4BR8zxwGx8EeViZFkIj22Mq+t+KNvZS/m0QiK6aIsor6wteJustM81odDefkly6A==" saltValue="NM2C+RdJBX6hi7uyI7t3AA==" spinCount="100000" sheet="1" selectLockedCells="1" selectUnlockedCells="1"/>
  <mergeCells count="82">
    <mergeCell ref="C2:AD2"/>
    <mergeCell ref="AA6:AD9"/>
    <mergeCell ref="AA10:AD19"/>
    <mergeCell ref="AA64:AD67"/>
    <mergeCell ref="AA81:AD85"/>
    <mergeCell ref="AA49:AD52"/>
    <mergeCell ref="AA22:AD25"/>
    <mergeCell ref="AA4:AD4"/>
    <mergeCell ref="K17:M17"/>
    <mergeCell ref="K19:M19"/>
    <mergeCell ref="N19:Q19"/>
    <mergeCell ref="N61:Q61"/>
    <mergeCell ref="T4:Y4"/>
    <mergeCell ref="AA69:AD79"/>
    <mergeCell ref="N17:Q17"/>
    <mergeCell ref="N33:Q33"/>
    <mergeCell ref="N47:Q47"/>
    <mergeCell ref="AA27:AD38"/>
    <mergeCell ref="B21:B61"/>
    <mergeCell ref="D47:F47"/>
    <mergeCell ref="G47:J47"/>
    <mergeCell ref="K47:M47"/>
    <mergeCell ref="D33:F33"/>
    <mergeCell ref="G33:J33"/>
    <mergeCell ref="K33:M33"/>
    <mergeCell ref="K61:M61"/>
    <mergeCell ref="D61:F61"/>
    <mergeCell ref="G61:J61"/>
    <mergeCell ref="B6:B19"/>
    <mergeCell ref="D17:F17"/>
    <mergeCell ref="D19:F19"/>
    <mergeCell ref="G17:J17"/>
    <mergeCell ref="G19:J19"/>
    <mergeCell ref="AA296:AD300"/>
    <mergeCell ref="AA398:AD399"/>
    <mergeCell ref="AA401:AD404"/>
    <mergeCell ref="B260:B283"/>
    <mergeCell ref="B81:B114"/>
    <mergeCell ref="AA152:AD168"/>
    <mergeCell ref="D130:F130"/>
    <mergeCell ref="B148:B170"/>
    <mergeCell ref="G146:J146"/>
    <mergeCell ref="K146:M146"/>
    <mergeCell ref="AA86:AD101"/>
    <mergeCell ref="AA116:AD119"/>
    <mergeCell ref="AA176:AD192"/>
    <mergeCell ref="AA196:AD199"/>
    <mergeCell ref="AA200:AD216"/>
    <mergeCell ref="AA220:AD225"/>
    <mergeCell ref="AA372:AD375"/>
    <mergeCell ref="AA385:AD388"/>
    <mergeCell ref="AA389:AD392"/>
    <mergeCell ref="AA376:AD379"/>
    <mergeCell ref="AA313:AD316"/>
    <mergeCell ref="AA317:AD320"/>
    <mergeCell ref="AA361:AD364"/>
    <mergeCell ref="AA365:AD368"/>
    <mergeCell ref="AA348:AD351"/>
    <mergeCell ref="AA352:AD355"/>
    <mergeCell ref="AA339:AD344"/>
    <mergeCell ref="AA333:AD338"/>
    <mergeCell ref="B372:B408"/>
    <mergeCell ref="B312:B330"/>
    <mergeCell ref="B332:B369"/>
    <mergeCell ref="B286:B309"/>
    <mergeCell ref="B220:B257"/>
    <mergeCell ref="AA286:AD295"/>
    <mergeCell ref="B172:B194"/>
    <mergeCell ref="B196:B218"/>
    <mergeCell ref="B116:B146"/>
    <mergeCell ref="B64:B79"/>
    <mergeCell ref="AA260:AD263"/>
    <mergeCell ref="AA265:AD268"/>
    <mergeCell ref="D146:F146"/>
    <mergeCell ref="AA121:AD146"/>
    <mergeCell ref="N130:Q130"/>
    <mergeCell ref="N146:Q146"/>
    <mergeCell ref="G130:J130"/>
    <mergeCell ref="K130:M130"/>
    <mergeCell ref="AA228:AD256"/>
    <mergeCell ref="AA148:AD151"/>
    <mergeCell ref="AA172:AD175"/>
  </mergeCells>
  <phoneticPr fontId="20" type="noConversion"/>
  <pageMargins left="0.25" right="0.25" top="0.75" bottom="0.75" header="0.3" footer="0.3"/>
  <pageSetup paperSize="9" orientation="landscape"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AI61"/>
  <sheetViews>
    <sheetView topLeftCell="T1" zoomScale="70" zoomScaleNormal="70" workbookViewId="0">
      <selection activeCell="AE41" sqref="AE41"/>
    </sheetView>
  </sheetViews>
  <sheetFormatPr defaultRowHeight="14.5" x14ac:dyDescent="0.35"/>
  <cols>
    <col min="2" max="2" width="13.1796875" bestFit="1" customWidth="1"/>
    <col min="3" max="3" width="15.54296875" bestFit="1" customWidth="1"/>
    <col min="4" max="4" width="16.54296875" customWidth="1"/>
    <col min="5" max="5" width="15.54296875" bestFit="1" customWidth="1"/>
    <col min="6" max="6" width="15.81640625" bestFit="1" customWidth="1"/>
    <col min="7" max="7" width="7.1796875" bestFit="1" customWidth="1"/>
    <col min="8" max="8" width="8.54296875" bestFit="1" customWidth="1"/>
    <col min="9" max="9" width="22" bestFit="1" customWidth="1"/>
    <col min="10" max="10" width="10.54296875" bestFit="1" customWidth="1"/>
    <col min="11" max="11" width="9.7265625" bestFit="1" customWidth="1"/>
    <col min="12" max="12" width="10.54296875" bestFit="1" customWidth="1"/>
    <col min="13" max="13" width="10.7265625" bestFit="1" customWidth="1"/>
    <col min="14" max="14" width="20.26953125" bestFit="1" customWidth="1"/>
    <col min="15" max="15" width="9.7265625" bestFit="1" customWidth="1"/>
    <col min="16" max="16" width="19.1796875" bestFit="1" customWidth="1"/>
    <col min="17" max="17" width="15.1796875" bestFit="1" customWidth="1"/>
    <col min="18" max="18" width="10.54296875" bestFit="1" customWidth="1"/>
    <col min="19" max="19" width="20" bestFit="1" customWidth="1"/>
    <col min="20" max="20" width="19.81640625" bestFit="1" customWidth="1"/>
    <col min="21" max="21" width="10.7265625" bestFit="1" customWidth="1"/>
    <col min="22" max="22" width="11.26953125" customWidth="1"/>
    <col min="26" max="26" width="4.453125" customWidth="1"/>
    <col min="27" max="27" width="13.1796875" bestFit="1" customWidth="1"/>
    <col min="28" max="28" width="15.54296875" bestFit="1" customWidth="1"/>
    <col min="29" max="29" width="3.54296875" customWidth="1"/>
    <col min="30" max="30" width="9.1796875" style="8"/>
    <col min="32" max="32" width="13.1796875" bestFit="1" customWidth="1"/>
    <col min="33" max="33" width="15.54296875" bestFit="1" customWidth="1"/>
    <col min="34" max="34" width="3.26953125" customWidth="1"/>
    <col min="35" max="35" width="9.1796875" style="8"/>
  </cols>
  <sheetData>
    <row r="1" spans="1:35" s="14" customFormat="1" ht="14.5" customHeight="1" x14ac:dyDescent="0.35">
      <c r="A1" s="23"/>
      <c r="B1" s="169" t="s">
        <v>125</v>
      </c>
      <c r="C1" s="169"/>
      <c r="D1" s="23"/>
      <c r="E1" s="170" t="s">
        <v>126</v>
      </c>
      <c r="F1" s="170"/>
      <c r="G1" s="170"/>
      <c r="H1" s="170"/>
      <c r="I1" s="170"/>
      <c r="J1" s="170"/>
      <c r="K1" s="170"/>
      <c r="L1" s="170"/>
      <c r="M1" s="170"/>
      <c r="N1" s="170"/>
      <c r="O1" s="170"/>
      <c r="P1" s="170"/>
      <c r="Q1" s="170"/>
      <c r="R1" s="170"/>
      <c r="S1" s="170"/>
      <c r="T1" s="170"/>
      <c r="U1" s="170"/>
      <c r="V1" s="170"/>
      <c r="W1" s="170"/>
      <c r="X1" s="82"/>
      <c r="Y1" s="23"/>
      <c r="AA1" s="169" t="s">
        <v>127</v>
      </c>
      <c r="AB1" s="169"/>
      <c r="AC1" s="169"/>
      <c r="AD1" s="169"/>
      <c r="AF1" s="169" t="s">
        <v>128</v>
      </c>
      <c r="AG1" s="169"/>
      <c r="AH1" s="169"/>
      <c r="AI1" s="169"/>
    </row>
    <row r="3" spans="1:35" x14ac:dyDescent="0.35">
      <c r="B3" s="15" t="s">
        <v>129</v>
      </c>
      <c r="C3" t="s" vm="1">
        <v>130</v>
      </c>
      <c r="E3" s="15" t="s">
        <v>129</v>
      </c>
      <c r="F3" t="s" vm="1">
        <v>130</v>
      </c>
      <c r="P3" t="s">
        <v>131</v>
      </c>
      <c r="Q3" t="s">
        <v>132</v>
      </c>
      <c r="R3" t="s">
        <v>21</v>
      </c>
      <c r="S3" t="s">
        <v>22</v>
      </c>
      <c r="T3" t="s">
        <v>25</v>
      </c>
      <c r="U3" t="s">
        <v>27</v>
      </c>
      <c r="V3" t="s">
        <v>28</v>
      </c>
      <c r="W3" t="s">
        <v>133</v>
      </c>
      <c r="X3" t="s">
        <v>37</v>
      </c>
      <c r="AA3" s="15" t="s">
        <v>129</v>
      </c>
      <c r="AB3" t="s" vm="1">
        <v>130</v>
      </c>
      <c r="AF3" s="15" t="s">
        <v>129</v>
      </c>
      <c r="AG3" t="s" vm="1">
        <v>130</v>
      </c>
    </row>
    <row r="4" spans="1:35" x14ac:dyDescent="0.35">
      <c r="P4" s="8" t="s">
        <v>1</v>
      </c>
      <c r="Q4">
        <f>VLOOKUP(P4, $E$7:$M$1048576, 9,FALSE)</f>
        <v>25</v>
      </c>
      <c r="R4">
        <f>VLOOKUP(P4, $E$7:$M$1048576, 3,FALSE)</f>
        <v>0</v>
      </c>
      <c r="S4">
        <f>VLOOKUP(P4, $E$7:$M$1048576, 4,FALSE)</f>
        <v>13</v>
      </c>
      <c r="T4">
        <f>VLOOKUP(P4, $E$7:$M$1048576, 5,FALSE)</f>
        <v>11</v>
      </c>
      <c r="U4">
        <f>VLOOKUP(P4, $E$7:$M$1048576, 7,FALSE)</f>
        <v>1</v>
      </c>
      <c r="V4">
        <f>VLOOKUP(P4, $E$7:$M$1048576, 8,FALSE)</f>
        <v>0</v>
      </c>
      <c r="W4">
        <f>VLOOKUP(P4, $E$7:$M$1048576, 2,FALSE)</f>
        <v>0</v>
      </c>
      <c r="X4">
        <f>VLOOKUP(P4, $E$7:$M$1048576, 6,FALSE)</f>
        <v>0</v>
      </c>
    </row>
    <row r="5" spans="1:35" x14ac:dyDescent="0.35">
      <c r="B5" s="15" t="s">
        <v>134</v>
      </c>
      <c r="C5" t="s">
        <v>135</v>
      </c>
      <c r="E5" s="15" t="s">
        <v>135</v>
      </c>
      <c r="F5" s="15" t="s">
        <v>136</v>
      </c>
      <c r="P5" s="8" t="s">
        <v>2</v>
      </c>
      <c r="Q5">
        <f t="shared" ref="Q5:Q17" si="0">VLOOKUP(P5, $E$7:$M$1048576, 9,FALSE)</f>
        <v>37</v>
      </c>
      <c r="R5">
        <f t="shared" ref="R5:R17" si="1">VLOOKUP(P5, $E$7:$M$1048576, 3,FALSE)</f>
        <v>1</v>
      </c>
      <c r="S5">
        <f t="shared" ref="S5:S17" si="2">VLOOKUP(P5, $E$7:$M$1048576, 4,FALSE)</f>
        <v>18</v>
      </c>
      <c r="T5">
        <f t="shared" ref="T5:T17" si="3">VLOOKUP(P5, $E$7:$M$1048576, 5,FALSE)</f>
        <v>11</v>
      </c>
      <c r="U5">
        <f t="shared" ref="U5:U17" si="4">VLOOKUP(P5, $E$7:$M$1048576, 7,FALSE)</f>
        <v>1</v>
      </c>
      <c r="V5">
        <f t="shared" ref="V5:V16" si="5">VLOOKUP(P5, $E$7:$M$1048576, 8,FALSE)</f>
        <v>0</v>
      </c>
      <c r="W5">
        <f t="shared" ref="W5:W16" si="6">VLOOKUP(P5, $E$7:$M$1048576, 2,FALSE)</f>
        <v>6</v>
      </c>
      <c r="X5">
        <f t="shared" ref="X5:X16" si="7">VLOOKUP(P5, $E$7:$M$1048576, 6,FALSE)</f>
        <v>0</v>
      </c>
      <c r="AA5" s="15" t="s">
        <v>134</v>
      </c>
      <c r="AB5" t="s">
        <v>135</v>
      </c>
      <c r="AD5" s="8">
        <f>MAX(AB6:AB1048576)</f>
        <v>12</v>
      </c>
      <c r="AF5" s="15" t="s">
        <v>134</v>
      </c>
      <c r="AG5" t="s">
        <v>135</v>
      </c>
      <c r="AI5" s="8">
        <f>COUNTIF(AG6:AG1048576,"0")</f>
        <v>2</v>
      </c>
    </row>
    <row r="6" spans="1:35" x14ac:dyDescent="0.35">
      <c r="B6" s="16">
        <v>1</v>
      </c>
      <c r="C6">
        <v>25</v>
      </c>
      <c r="E6" s="15" t="s">
        <v>134</v>
      </c>
      <c r="F6" t="s">
        <v>137</v>
      </c>
      <c r="G6" t="s">
        <v>21</v>
      </c>
      <c r="H6" t="s">
        <v>22</v>
      </c>
      <c r="I6" t="s">
        <v>138</v>
      </c>
      <c r="J6" t="s">
        <v>26</v>
      </c>
      <c r="K6" t="s">
        <v>27</v>
      </c>
      <c r="L6" t="s">
        <v>28</v>
      </c>
      <c r="M6" t="s">
        <v>139</v>
      </c>
      <c r="P6" s="8" t="s">
        <v>3</v>
      </c>
      <c r="Q6">
        <f t="shared" si="0"/>
        <v>35</v>
      </c>
      <c r="R6">
        <f t="shared" si="1"/>
        <v>0</v>
      </c>
      <c r="S6">
        <f t="shared" si="2"/>
        <v>7</v>
      </c>
      <c r="T6">
        <f t="shared" si="3"/>
        <v>25</v>
      </c>
      <c r="U6">
        <f t="shared" si="4"/>
        <v>1</v>
      </c>
      <c r="V6">
        <f t="shared" si="5"/>
        <v>0</v>
      </c>
      <c r="W6">
        <f t="shared" si="6"/>
        <v>2</v>
      </c>
      <c r="X6">
        <f t="shared" si="7"/>
        <v>0</v>
      </c>
      <c r="AA6" s="87">
        <v>45621</v>
      </c>
      <c r="AB6">
        <v>6</v>
      </c>
      <c r="AD6" s="8">
        <f>MATCH(AD5,AB6:AB1048576,0)</f>
        <v>27</v>
      </c>
      <c r="AF6" s="87">
        <v>45621</v>
      </c>
      <c r="AG6">
        <v>6</v>
      </c>
      <c r="AI6" s="8">
        <f>COUNTA(AG6:AG1048576)</f>
        <v>56</v>
      </c>
    </row>
    <row r="7" spans="1:35" x14ac:dyDescent="0.35">
      <c r="B7" s="16">
        <v>2</v>
      </c>
      <c r="C7">
        <v>37</v>
      </c>
      <c r="E7" s="16" t="s">
        <v>1</v>
      </c>
      <c r="F7">
        <v>0</v>
      </c>
      <c r="G7">
        <v>0</v>
      </c>
      <c r="H7">
        <v>13</v>
      </c>
      <c r="I7">
        <v>11</v>
      </c>
      <c r="J7">
        <v>0</v>
      </c>
      <c r="K7">
        <v>1</v>
      </c>
      <c r="L7">
        <v>0</v>
      </c>
      <c r="M7">
        <v>25</v>
      </c>
      <c r="P7" s="8" t="s">
        <v>4</v>
      </c>
      <c r="Q7">
        <f t="shared" si="0"/>
        <v>34</v>
      </c>
      <c r="R7">
        <f t="shared" si="1"/>
        <v>0</v>
      </c>
      <c r="S7">
        <f t="shared" si="2"/>
        <v>6</v>
      </c>
      <c r="T7">
        <f t="shared" si="3"/>
        <v>21</v>
      </c>
      <c r="U7">
        <f t="shared" si="4"/>
        <v>1</v>
      </c>
      <c r="V7">
        <f t="shared" si="5"/>
        <v>0</v>
      </c>
      <c r="W7">
        <f t="shared" si="6"/>
        <v>6</v>
      </c>
      <c r="X7">
        <f t="shared" si="7"/>
        <v>0</v>
      </c>
      <c r="AA7" s="87">
        <v>45622</v>
      </c>
      <c r="AB7">
        <v>2</v>
      </c>
      <c r="AD7" s="8">
        <f>INDEX(AA6:AA1048576,AD6,0)</f>
        <v>45647</v>
      </c>
      <c r="AF7" s="87">
        <v>45622</v>
      </c>
      <c r="AG7">
        <v>2</v>
      </c>
      <c r="AI7" s="18">
        <f>AI5/AI6</f>
        <v>3.5714285714285712E-2</v>
      </c>
    </row>
    <row r="8" spans="1:35" x14ac:dyDescent="0.35">
      <c r="B8" s="16">
        <v>3</v>
      </c>
      <c r="C8">
        <v>35</v>
      </c>
      <c r="E8" s="16" t="s">
        <v>2</v>
      </c>
      <c r="F8">
        <v>6</v>
      </c>
      <c r="G8">
        <v>1</v>
      </c>
      <c r="H8">
        <v>18</v>
      </c>
      <c r="I8">
        <v>11</v>
      </c>
      <c r="J8">
        <v>0</v>
      </c>
      <c r="K8">
        <v>1</v>
      </c>
      <c r="L8">
        <v>0</v>
      </c>
      <c r="M8">
        <v>37</v>
      </c>
      <c r="P8" s="8" t="s">
        <v>5</v>
      </c>
      <c r="Q8">
        <f t="shared" si="0"/>
        <v>47</v>
      </c>
      <c r="R8">
        <f t="shared" si="1"/>
        <v>0</v>
      </c>
      <c r="S8">
        <f t="shared" si="2"/>
        <v>24</v>
      </c>
      <c r="T8">
        <f t="shared" si="3"/>
        <v>23</v>
      </c>
      <c r="U8">
        <f t="shared" si="4"/>
        <v>0</v>
      </c>
      <c r="V8">
        <f t="shared" si="5"/>
        <v>0</v>
      </c>
      <c r="W8">
        <f>VLOOKUP(P8, $E$7:$M$1048576, 2,FALSE)</f>
        <v>0</v>
      </c>
      <c r="X8">
        <f t="shared" si="7"/>
        <v>0</v>
      </c>
      <c r="AA8" s="87">
        <v>45623</v>
      </c>
      <c r="AB8">
        <v>2</v>
      </c>
      <c r="AF8" s="87">
        <v>45623</v>
      </c>
      <c r="AG8">
        <v>2</v>
      </c>
    </row>
    <row r="9" spans="1:35" x14ac:dyDescent="0.35">
      <c r="B9" s="16">
        <v>4</v>
      </c>
      <c r="C9">
        <v>34</v>
      </c>
      <c r="E9" s="16" t="s">
        <v>3</v>
      </c>
      <c r="F9">
        <v>2</v>
      </c>
      <c r="G9">
        <v>0</v>
      </c>
      <c r="H9">
        <v>7</v>
      </c>
      <c r="I9">
        <v>25</v>
      </c>
      <c r="J9">
        <v>0</v>
      </c>
      <c r="K9">
        <v>1</v>
      </c>
      <c r="L9">
        <v>0</v>
      </c>
      <c r="M9">
        <v>35</v>
      </c>
      <c r="P9" s="8" t="s">
        <v>6</v>
      </c>
      <c r="Q9">
        <f t="shared" si="0"/>
        <v>48</v>
      </c>
      <c r="R9">
        <f t="shared" si="1"/>
        <v>2</v>
      </c>
      <c r="S9">
        <f t="shared" si="2"/>
        <v>20</v>
      </c>
      <c r="T9">
        <f t="shared" si="3"/>
        <v>22</v>
      </c>
      <c r="U9">
        <f t="shared" si="4"/>
        <v>0</v>
      </c>
      <c r="V9">
        <f t="shared" si="5"/>
        <v>0</v>
      </c>
      <c r="W9">
        <f t="shared" si="6"/>
        <v>4</v>
      </c>
      <c r="X9">
        <f t="shared" si="7"/>
        <v>0</v>
      </c>
      <c r="AA9" s="87">
        <v>45624</v>
      </c>
      <c r="AB9">
        <v>3</v>
      </c>
      <c r="AF9" s="87">
        <v>45624</v>
      </c>
      <c r="AG9">
        <v>3</v>
      </c>
    </row>
    <row r="10" spans="1:35" x14ac:dyDescent="0.35">
      <c r="B10" s="16">
        <v>5</v>
      </c>
      <c r="C10">
        <v>47</v>
      </c>
      <c r="E10" s="16" t="s">
        <v>4</v>
      </c>
      <c r="F10">
        <v>6</v>
      </c>
      <c r="G10">
        <v>0</v>
      </c>
      <c r="H10">
        <v>6</v>
      </c>
      <c r="I10">
        <v>21</v>
      </c>
      <c r="J10">
        <v>0</v>
      </c>
      <c r="K10">
        <v>1</v>
      </c>
      <c r="L10">
        <v>0</v>
      </c>
      <c r="M10">
        <v>34</v>
      </c>
      <c r="P10" s="8" t="s">
        <v>7</v>
      </c>
      <c r="Q10">
        <f t="shared" si="0"/>
        <v>45</v>
      </c>
      <c r="R10">
        <f t="shared" si="1"/>
        <v>5</v>
      </c>
      <c r="S10">
        <f t="shared" si="2"/>
        <v>16</v>
      </c>
      <c r="T10">
        <f t="shared" si="3"/>
        <v>15</v>
      </c>
      <c r="U10">
        <f t="shared" si="4"/>
        <v>1</v>
      </c>
      <c r="V10">
        <f t="shared" si="5"/>
        <v>0</v>
      </c>
      <c r="W10">
        <f t="shared" si="6"/>
        <v>8</v>
      </c>
      <c r="X10">
        <f t="shared" si="7"/>
        <v>0</v>
      </c>
      <c r="AA10" s="87">
        <v>45625</v>
      </c>
      <c r="AB10">
        <v>4</v>
      </c>
      <c r="AF10" s="87">
        <v>45625</v>
      </c>
      <c r="AG10">
        <v>4</v>
      </c>
    </row>
    <row r="11" spans="1:35" x14ac:dyDescent="0.35">
      <c r="B11" s="16">
        <v>6</v>
      </c>
      <c r="C11">
        <v>48</v>
      </c>
      <c r="E11" s="16" t="s">
        <v>5</v>
      </c>
      <c r="F11">
        <v>0</v>
      </c>
      <c r="G11">
        <v>0</v>
      </c>
      <c r="H11">
        <v>24</v>
      </c>
      <c r="I11">
        <v>23</v>
      </c>
      <c r="J11">
        <v>0</v>
      </c>
      <c r="K11">
        <v>0</v>
      </c>
      <c r="L11">
        <v>0</v>
      </c>
      <c r="M11">
        <v>47</v>
      </c>
      <c r="P11" s="8" t="s">
        <v>8</v>
      </c>
      <c r="Q11">
        <f t="shared" si="0"/>
        <v>29</v>
      </c>
      <c r="R11">
        <f t="shared" si="1"/>
        <v>5</v>
      </c>
      <c r="S11">
        <f t="shared" si="2"/>
        <v>13</v>
      </c>
      <c r="T11">
        <f t="shared" si="3"/>
        <v>6</v>
      </c>
      <c r="U11">
        <f t="shared" si="4"/>
        <v>3</v>
      </c>
      <c r="V11">
        <f t="shared" si="5"/>
        <v>0</v>
      </c>
      <c r="W11">
        <f t="shared" si="6"/>
        <v>2</v>
      </c>
      <c r="X11">
        <f t="shared" si="7"/>
        <v>0</v>
      </c>
      <c r="AA11" s="87">
        <v>45626</v>
      </c>
      <c r="AB11">
        <v>3</v>
      </c>
      <c r="AF11" s="87">
        <v>45626</v>
      </c>
      <c r="AG11">
        <v>3</v>
      </c>
    </row>
    <row r="12" spans="1:35" x14ac:dyDescent="0.35">
      <c r="B12" s="16">
        <v>7</v>
      </c>
      <c r="C12">
        <v>45</v>
      </c>
      <c r="E12" s="16" t="s">
        <v>6</v>
      </c>
      <c r="F12">
        <v>4</v>
      </c>
      <c r="G12">
        <v>2</v>
      </c>
      <c r="H12">
        <v>20</v>
      </c>
      <c r="I12">
        <v>22</v>
      </c>
      <c r="J12">
        <v>0</v>
      </c>
      <c r="K12">
        <v>0</v>
      </c>
      <c r="L12">
        <v>0</v>
      </c>
      <c r="M12">
        <v>48</v>
      </c>
      <c r="P12" s="8" t="s">
        <v>9</v>
      </c>
      <c r="Q12" t="e">
        <f t="shared" si="0"/>
        <v>#N/A</v>
      </c>
      <c r="R12" t="e">
        <f t="shared" si="1"/>
        <v>#N/A</v>
      </c>
      <c r="S12" t="e">
        <f t="shared" si="2"/>
        <v>#N/A</v>
      </c>
      <c r="T12" t="e">
        <f t="shared" si="3"/>
        <v>#N/A</v>
      </c>
      <c r="U12" t="e">
        <f t="shared" si="4"/>
        <v>#N/A</v>
      </c>
      <c r="V12" t="e">
        <f t="shared" si="5"/>
        <v>#N/A</v>
      </c>
      <c r="W12" t="e">
        <f t="shared" si="6"/>
        <v>#N/A</v>
      </c>
      <c r="X12" t="e">
        <f t="shared" si="7"/>
        <v>#N/A</v>
      </c>
      <c r="AA12" s="87">
        <v>45627</v>
      </c>
      <c r="AB12">
        <v>5</v>
      </c>
      <c r="AF12" s="87">
        <v>45627</v>
      </c>
      <c r="AG12">
        <v>5</v>
      </c>
    </row>
    <row r="13" spans="1:35" x14ac:dyDescent="0.35">
      <c r="B13" s="16">
        <v>8</v>
      </c>
      <c r="C13">
        <v>29</v>
      </c>
      <c r="E13" s="16" t="s">
        <v>7</v>
      </c>
      <c r="F13">
        <v>8</v>
      </c>
      <c r="G13">
        <v>5</v>
      </c>
      <c r="H13">
        <v>16</v>
      </c>
      <c r="I13">
        <v>15</v>
      </c>
      <c r="J13">
        <v>0</v>
      </c>
      <c r="K13">
        <v>1</v>
      </c>
      <c r="L13">
        <v>0</v>
      </c>
      <c r="M13">
        <v>45</v>
      </c>
      <c r="P13" s="8" t="s">
        <v>10</v>
      </c>
      <c r="Q13" t="e">
        <f t="shared" si="0"/>
        <v>#N/A</v>
      </c>
      <c r="R13" t="e">
        <f t="shared" si="1"/>
        <v>#N/A</v>
      </c>
      <c r="S13" t="e">
        <f t="shared" si="2"/>
        <v>#N/A</v>
      </c>
      <c r="T13" t="e">
        <f t="shared" si="3"/>
        <v>#N/A</v>
      </c>
      <c r="U13" t="e">
        <f t="shared" si="4"/>
        <v>#N/A</v>
      </c>
      <c r="V13" t="e">
        <f t="shared" si="5"/>
        <v>#N/A</v>
      </c>
      <c r="W13" t="e">
        <f t="shared" si="6"/>
        <v>#N/A</v>
      </c>
      <c r="X13" t="e">
        <f t="shared" si="7"/>
        <v>#N/A</v>
      </c>
      <c r="AA13" s="87">
        <v>45628</v>
      </c>
      <c r="AB13">
        <v>2</v>
      </c>
      <c r="AF13" s="87">
        <v>45628</v>
      </c>
      <c r="AG13">
        <v>2</v>
      </c>
    </row>
    <row r="14" spans="1:35" x14ac:dyDescent="0.35">
      <c r="B14" s="16" t="s">
        <v>139</v>
      </c>
      <c r="C14">
        <v>300</v>
      </c>
      <c r="E14" s="16" t="s">
        <v>8</v>
      </c>
      <c r="F14">
        <v>2</v>
      </c>
      <c r="G14">
        <v>5</v>
      </c>
      <c r="H14">
        <v>13</v>
      </c>
      <c r="I14">
        <v>6</v>
      </c>
      <c r="J14">
        <v>0</v>
      </c>
      <c r="K14">
        <v>3</v>
      </c>
      <c r="L14">
        <v>0</v>
      </c>
      <c r="M14">
        <v>29</v>
      </c>
      <c r="P14" s="8" t="s">
        <v>11</v>
      </c>
      <c r="Q14" t="e">
        <f t="shared" si="0"/>
        <v>#N/A</v>
      </c>
      <c r="R14" t="e">
        <f t="shared" si="1"/>
        <v>#N/A</v>
      </c>
      <c r="S14" t="e">
        <f t="shared" si="2"/>
        <v>#N/A</v>
      </c>
      <c r="T14" t="e">
        <f t="shared" si="3"/>
        <v>#N/A</v>
      </c>
      <c r="U14" t="e">
        <f t="shared" si="4"/>
        <v>#N/A</v>
      </c>
      <c r="V14" t="e">
        <f t="shared" si="5"/>
        <v>#N/A</v>
      </c>
      <c r="W14" t="e">
        <f t="shared" si="6"/>
        <v>#N/A</v>
      </c>
      <c r="X14" t="e">
        <f t="shared" si="7"/>
        <v>#N/A</v>
      </c>
      <c r="AA14" s="87">
        <v>45629</v>
      </c>
      <c r="AB14">
        <v>2</v>
      </c>
      <c r="AF14" s="87">
        <v>45629</v>
      </c>
      <c r="AG14">
        <v>2</v>
      </c>
    </row>
    <row r="15" spans="1:35" x14ac:dyDescent="0.35">
      <c r="E15" s="16" t="s">
        <v>139</v>
      </c>
      <c r="F15">
        <v>28</v>
      </c>
      <c r="G15">
        <v>13</v>
      </c>
      <c r="H15">
        <v>117</v>
      </c>
      <c r="I15">
        <v>134</v>
      </c>
      <c r="J15">
        <v>0</v>
      </c>
      <c r="K15">
        <v>8</v>
      </c>
      <c r="L15">
        <v>0</v>
      </c>
      <c r="M15">
        <v>300</v>
      </c>
      <c r="P15" s="8" t="s">
        <v>12</v>
      </c>
      <c r="Q15" t="e">
        <f t="shared" si="0"/>
        <v>#N/A</v>
      </c>
      <c r="R15" t="e">
        <f t="shared" si="1"/>
        <v>#N/A</v>
      </c>
      <c r="S15" t="e">
        <f t="shared" si="2"/>
        <v>#N/A</v>
      </c>
      <c r="T15" t="e">
        <f t="shared" si="3"/>
        <v>#N/A</v>
      </c>
      <c r="U15" t="e">
        <f t="shared" si="4"/>
        <v>#N/A</v>
      </c>
      <c r="V15" t="e">
        <f t="shared" si="5"/>
        <v>#N/A</v>
      </c>
      <c r="W15" t="e">
        <f t="shared" si="6"/>
        <v>#N/A</v>
      </c>
      <c r="X15" t="e">
        <f t="shared" si="7"/>
        <v>#N/A</v>
      </c>
      <c r="AA15" s="87">
        <v>45630</v>
      </c>
      <c r="AB15">
        <v>3</v>
      </c>
      <c r="AF15" s="87">
        <v>45630</v>
      </c>
      <c r="AG15">
        <v>3</v>
      </c>
    </row>
    <row r="16" spans="1:35" x14ac:dyDescent="0.35">
      <c r="P16" s="8" t="s">
        <v>13</v>
      </c>
      <c r="Q16" t="e">
        <f t="shared" si="0"/>
        <v>#N/A</v>
      </c>
      <c r="R16" t="e">
        <f t="shared" si="1"/>
        <v>#N/A</v>
      </c>
      <c r="S16" t="e">
        <f t="shared" si="2"/>
        <v>#N/A</v>
      </c>
      <c r="T16" t="e">
        <f t="shared" si="3"/>
        <v>#N/A</v>
      </c>
      <c r="U16" t="e">
        <f t="shared" si="4"/>
        <v>#N/A</v>
      </c>
      <c r="V16" t="e">
        <f t="shared" si="5"/>
        <v>#N/A</v>
      </c>
      <c r="W16" t="e">
        <f t="shared" si="6"/>
        <v>#N/A</v>
      </c>
      <c r="X16" t="e">
        <f t="shared" si="7"/>
        <v>#N/A</v>
      </c>
      <c r="AA16" s="87">
        <v>45631</v>
      </c>
      <c r="AB16">
        <v>4</v>
      </c>
      <c r="AF16" s="87">
        <v>45631</v>
      </c>
      <c r="AG16">
        <v>4</v>
      </c>
    </row>
    <row r="17" spans="16:33" x14ac:dyDescent="0.35">
      <c r="P17" s="8" t="s">
        <v>14</v>
      </c>
      <c r="Q17" t="e">
        <f t="shared" si="0"/>
        <v>#N/A</v>
      </c>
      <c r="R17" t="e">
        <f t="shared" si="1"/>
        <v>#N/A</v>
      </c>
      <c r="S17" t="e">
        <f t="shared" si="2"/>
        <v>#N/A</v>
      </c>
      <c r="T17" t="e">
        <f t="shared" si="3"/>
        <v>#N/A</v>
      </c>
      <c r="U17" t="e">
        <f t="shared" si="4"/>
        <v>#N/A</v>
      </c>
      <c r="V17" t="e">
        <f t="shared" ref="V17" si="8">VLOOKUP(P17, $E$7:$M$1048576, 8,FALSE)</f>
        <v>#N/A</v>
      </c>
      <c r="W17" t="e">
        <f t="shared" ref="W17" si="9">VLOOKUP(P17, $E$7:$M$1048576, 2,FALSE)</f>
        <v>#N/A</v>
      </c>
      <c r="X17" t="e">
        <f t="shared" ref="X17" si="10">VLOOKUP(P17, $E$7:$M$1048576, 6,FALSE)</f>
        <v>#N/A</v>
      </c>
      <c r="AA17" s="87">
        <v>45632</v>
      </c>
      <c r="AB17">
        <v>7</v>
      </c>
      <c r="AF17" s="87">
        <v>45632</v>
      </c>
      <c r="AG17">
        <v>7</v>
      </c>
    </row>
    <row r="18" spans="16:33" x14ac:dyDescent="0.35">
      <c r="AA18" s="87">
        <v>45633</v>
      </c>
      <c r="AB18">
        <v>10</v>
      </c>
      <c r="AF18" s="87">
        <v>45633</v>
      </c>
      <c r="AG18">
        <v>10</v>
      </c>
    </row>
    <row r="19" spans="16:33" x14ac:dyDescent="0.35">
      <c r="AA19" s="87">
        <v>45634</v>
      </c>
      <c r="AB19">
        <v>9</v>
      </c>
      <c r="AF19" s="87">
        <v>45634</v>
      </c>
      <c r="AG19">
        <v>9</v>
      </c>
    </row>
    <row r="20" spans="16:33" x14ac:dyDescent="0.35">
      <c r="AA20" s="87">
        <v>45635</v>
      </c>
      <c r="AB20">
        <v>4</v>
      </c>
      <c r="AF20" s="87">
        <v>45635</v>
      </c>
      <c r="AG20">
        <v>4</v>
      </c>
    </row>
    <row r="21" spans="16:33" x14ac:dyDescent="0.35">
      <c r="AA21" s="87">
        <v>45636</v>
      </c>
      <c r="AB21">
        <v>6</v>
      </c>
      <c r="AF21" s="87">
        <v>45636</v>
      </c>
      <c r="AG21">
        <v>6</v>
      </c>
    </row>
    <row r="22" spans="16:33" x14ac:dyDescent="0.35">
      <c r="AA22" s="87">
        <v>45637</v>
      </c>
      <c r="AB22">
        <v>2</v>
      </c>
      <c r="AF22" s="87">
        <v>45637</v>
      </c>
      <c r="AG22">
        <v>2</v>
      </c>
    </row>
    <row r="23" spans="16:33" x14ac:dyDescent="0.35">
      <c r="AA23" s="87">
        <v>45638</v>
      </c>
      <c r="AB23">
        <v>5</v>
      </c>
      <c r="AF23" s="87">
        <v>45638</v>
      </c>
      <c r="AG23">
        <v>5</v>
      </c>
    </row>
    <row r="24" spans="16:33" x14ac:dyDescent="0.35">
      <c r="AA24" s="87">
        <v>45639</v>
      </c>
      <c r="AB24">
        <v>2</v>
      </c>
      <c r="AF24" s="87">
        <v>45639</v>
      </c>
      <c r="AG24">
        <v>2</v>
      </c>
    </row>
    <row r="25" spans="16:33" x14ac:dyDescent="0.35">
      <c r="AA25" s="87">
        <v>45640</v>
      </c>
      <c r="AB25">
        <v>10</v>
      </c>
      <c r="AF25" s="87">
        <v>45640</v>
      </c>
      <c r="AG25">
        <v>10</v>
      </c>
    </row>
    <row r="26" spans="16:33" x14ac:dyDescent="0.35">
      <c r="AA26" s="87">
        <v>45641</v>
      </c>
      <c r="AB26">
        <v>6</v>
      </c>
      <c r="AF26" s="87">
        <v>45641</v>
      </c>
      <c r="AG26">
        <v>6</v>
      </c>
    </row>
    <row r="27" spans="16:33" x14ac:dyDescent="0.35">
      <c r="AA27" s="87">
        <v>45642</v>
      </c>
      <c r="AB27">
        <v>2</v>
      </c>
      <c r="AF27" s="87">
        <v>45642</v>
      </c>
      <c r="AG27">
        <v>2</v>
      </c>
    </row>
    <row r="28" spans="16:33" x14ac:dyDescent="0.35">
      <c r="AA28" s="87">
        <v>45643</v>
      </c>
      <c r="AB28">
        <v>1</v>
      </c>
      <c r="AF28" s="87">
        <v>45643</v>
      </c>
      <c r="AG28">
        <v>1</v>
      </c>
    </row>
    <row r="29" spans="16:33" x14ac:dyDescent="0.35">
      <c r="AA29" s="87">
        <v>45644</v>
      </c>
      <c r="AB29">
        <v>3</v>
      </c>
      <c r="AF29" s="87">
        <v>45644</v>
      </c>
      <c r="AG29">
        <v>3</v>
      </c>
    </row>
    <row r="30" spans="16:33" x14ac:dyDescent="0.35">
      <c r="AA30" s="87">
        <v>45645</v>
      </c>
      <c r="AB30">
        <v>0</v>
      </c>
      <c r="AF30" s="87">
        <v>45645</v>
      </c>
      <c r="AG30">
        <v>0</v>
      </c>
    </row>
    <row r="31" spans="16:33" x14ac:dyDescent="0.35">
      <c r="AA31" s="87">
        <v>45646</v>
      </c>
      <c r="AB31">
        <v>6</v>
      </c>
      <c r="AF31" s="87">
        <v>45646</v>
      </c>
      <c r="AG31">
        <v>6</v>
      </c>
    </row>
    <row r="32" spans="16:33" x14ac:dyDescent="0.35">
      <c r="AA32" s="87">
        <v>45647</v>
      </c>
      <c r="AB32">
        <v>12</v>
      </c>
      <c r="AF32" s="87">
        <v>45647</v>
      </c>
      <c r="AG32">
        <v>12</v>
      </c>
    </row>
    <row r="33" spans="27:33" x14ac:dyDescent="0.35">
      <c r="AA33" s="87">
        <v>45648</v>
      </c>
      <c r="AB33">
        <v>10</v>
      </c>
      <c r="AF33" s="87">
        <v>45648</v>
      </c>
      <c r="AG33">
        <v>10</v>
      </c>
    </row>
    <row r="34" spans="27:33" x14ac:dyDescent="0.35">
      <c r="AA34" s="87">
        <v>45649</v>
      </c>
      <c r="AB34">
        <v>6</v>
      </c>
      <c r="AF34" s="87">
        <v>45649</v>
      </c>
      <c r="AG34">
        <v>6</v>
      </c>
    </row>
    <row r="35" spans="27:33" x14ac:dyDescent="0.35">
      <c r="AA35" s="87">
        <v>45650</v>
      </c>
      <c r="AB35">
        <v>10</v>
      </c>
      <c r="AF35" s="87">
        <v>45650</v>
      </c>
      <c r="AG35">
        <v>10</v>
      </c>
    </row>
    <row r="36" spans="27:33" x14ac:dyDescent="0.35">
      <c r="AA36" s="87">
        <v>45651</v>
      </c>
      <c r="AB36">
        <v>0</v>
      </c>
      <c r="AF36" s="87">
        <v>45651</v>
      </c>
      <c r="AG36">
        <v>0</v>
      </c>
    </row>
    <row r="37" spans="27:33" x14ac:dyDescent="0.35">
      <c r="AA37" s="87">
        <v>45652</v>
      </c>
      <c r="AB37">
        <v>7</v>
      </c>
      <c r="AF37" s="87">
        <v>45652</v>
      </c>
      <c r="AG37">
        <v>7</v>
      </c>
    </row>
    <row r="38" spans="27:33" x14ac:dyDescent="0.35">
      <c r="AA38" s="87">
        <v>45653</v>
      </c>
      <c r="AB38">
        <v>6</v>
      </c>
      <c r="AF38" s="87">
        <v>45653</v>
      </c>
      <c r="AG38">
        <v>6</v>
      </c>
    </row>
    <row r="39" spans="27:33" x14ac:dyDescent="0.35">
      <c r="AA39" s="87">
        <v>45654</v>
      </c>
      <c r="AB39">
        <v>8</v>
      </c>
      <c r="AF39" s="87">
        <v>45654</v>
      </c>
      <c r="AG39">
        <v>8</v>
      </c>
    </row>
    <row r="40" spans="27:33" x14ac:dyDescent="0.35">
      <c r="AA40" s="87">
        <v>45655</v>
      </c>
      <c r="AB40">
        <v>10</v>
      </c>
      <c r="AF40" s="87">
        <v>45655</v>
      </c>
      <c r="AG40">
        <v>10</v>
      </c>
    </row>
    <row r="41" spans="27:33" x14ac:dyDescent="0.35">
      <c r="AA41" s="87">
        <v>45656</v>
      </c>
      <c r="AB41">
        <v>6</v>
      </c>
      <c r="AF41" s="87">
        <v>45656</v>
      </c>
      <c r="AG41">
        <v>6</v>
      </c>
    </row>
    <row r="42" spans="27:33" x14ac:dyDescent="0.35">
      <c r="AA42" s="87">
        <v>45657</v>
      </c>
      <c r="AB42">
        <v>12</v>
      </c>
      <c r="AF42" s="87">
        <v>45657</v>
      </c>
      <c r="AG42">
        <v>12</v>
      </c>
    </row>
    <row r="43" spans="27:33" x14ac:dyDescent="0.35">
      <c r="AA43" s="87">
        <v>45658</v>
      </c>
      <c r="AB43">
        <v>5</v>
      </c>
      <c r="AF43" s="87">
        <v>45658</v>
      </c>
      <c r="AG43">
        <v>5</v>
      </c>
    </row>
    <row r="44" spans="27:33" x14ac:dyDescent="0.35">
      <c r="AA44" s="87">
        <v>45659</v>
      </c>
      <c r="AB44">
        <v>6</v>
      </c>
      <c r="AF44" s="87">
        <v>45659</v>
      </c>
      <c r="AG44">
        <v>6</v>
      </c>
    </row>
    <row r="45" spans="27:33" x14ac:dyDescent="0.35">
      <c r="AA45" s="87">
        <v>45660</v>
      </c>
      <c r="AB45">
        <v>4</v>
      </c>
      <c r="AF45" s="87">
        <v>45660</v>
      </c>
      <c r="AG45">
        <v>4</v>
      </c>
    </row>
    <row r="46" spans="27:33" x14ac:dyDescent="0.35">
      <c r="AA46" s="87">
        <v>45661</v>
      </c>
      <c r="AB46">
        <v>9</v>
      </c>
      <c r="AF46" s="87">
        <v>45661</v>
      </c>
      <c r="AG46">
        <v>9</v>
      </c>
    </row>
    <row r="47" spans="27:33" x14ac:dyDescent="0.35">
      <c r="AA47" s="87">
        <v>45662</v>
      </c>
      <c r="AB47">
        <v>6</v>
      </c>
      <c r="AF47" s="87">
        <v>45662</v>
      </c>
      <c r="AG47">
        <v>6</v>
      </c>
    </row>
    <row r="48" spans="27:33" x14ac:dyDescent="0.35">
      <c r="AA48" s="87">
        <v>45663</v>
      </c>
      <c r="AB48">
        <v>5</v>
      </c>
      <c r="AF48" s="87">
        <v>45663</v>
      </c>
      <c r="AG48">
        <v>5</v>
      </c>
    </row>
    <row r="49" spans="27:33" x14ac:dyDescent="0.35">
      <c r="AA49" s="87">
        <v>45664</v>
      </c>
      <c r="AB49">
        <v>11</v>
      </c>
      <c r="AF49" s="87">
        <v>45664</v>
      </c>
      <c r="AG49">
        <v>11</v>
      </c>
    </row>
    <row r="50" spans="27:33" x14ac:dyDescent="0.35">
      <c r="AA50" s="87">
        <v>45665</v>
      </c>
      <c r="AB50">
        <v>11</v>
      </c>
      <c r="AF50" s="87">
        <v>45665</v>
      </c>
      <c r="AG50">
        <v>11</v>
      </c>
    </row>
    <row r="51" spans="27:33" x14ac:dyDescent="0.35">
      <c r="AA51" s="87">
        <v>45666</v>
      </c>
      <c r="AB51">
        <v>8</v>
      </c>
      <c r="AF51" s="87">
        <v>45666</v>
      </c>
      <c r="AG51">
        <v>8</v>
      </c>
    </row>
    <row r="52" spans="27:33" x14ac:dyDescent="0.35">
      <c r="AA52" s="87">
        <v>45667</v>
      </c>
      <c r="AB52">
        <v>5</v>
      </c>
      <c r="AF52" s="87">
        <v>45667</v>
      </c>
      <c r="AG52">
        <v>5</v>
      </c>
    </row>
    <row r="53" spans="27:33" x14ac:dyDescent="0.35">
      <c r="AA53" s="87">
        <v>45668</v>
      </c>
      <c r="AB53">
        <v>3</v>
      </c>
      <c r="AF53" s="87">
        <v>45668</v>
      </c>
      <c r="AG53">
        <v>3</v>
      </c>
    </row>
    <row r="54" spans="27:33" x14ac:dyDescent="0.35">
      <c r="AA54" s="87">
        <v>45669</v>
      </c>
      <c r="AB54">
        <v>2</v>
      </c>
      <c r="AF54" s="87">
        <v>45669</v>
      </c>
      <c r="AG54">
        <v>2</v>
      </c>
    </row>
    <row r="55" spans="27:33" x14ac:dyDescent="0.35">
      <c r="AA55" s="87">
        <v>45670</v>
      </c>
      <c r="AB55">
        <v>3</v>
      </c>
      <c r="AF55" s="87">
        <v>45670</v>
      </c>
      <c r="AG55">
        <v>3</v>
      </c>
    </row>
    <row r="56" spans="27:33" x14ac:dyDescent="0.35">
      <c r="AA56" s="87">
        <v>45671</v>
      </c>
      <c r="AB56">
        <v>10</v>
      </c>
      <c r="AF56" s="87">
        <v>45671</v>
      </c>
      <c r="AG56">
        <v>10</v>
      </c>
    </row>
    <row r="57" spans="27:33" x14ac:dyDescent="0.35">
      <c r="AA57" s="87">
        <v>45672</v>
      </c>
      <c r="AB57">
        <v>3</v>
      </c>
      <c r="AF57" s="87">
        <v>45672</v>
      </c>
      <c r="AG57">
        <v>3</v>
      </c>
    </row>
    <row r="58" spans="27:33" x14ac:dyDescent="0.35">
      <c r="AA58" s="87">
        <v>45673</v>
      </c>
      <c r="AB58">
        <v>1</v>
      </c>
      <c r="AF58" s="87">
        <v>45673</v>
      </c>
      <c r="AG58">
        <v>1</v>
      </c>
    </row>
    <row r="59" spans="27:33" x14ac:dyDescent="0.35">
      <c r="AA59" s="87">
        <v>45674</v>
      </c>
      <c r="AB59">
        <v>6</v>
      </c>
      <c r="AF59" s="87">
        <v>45674</v>
      </c>
      <c r="AG59">
        <v>6</v>
      </c>
    </row>
    <row r="60" spans="27:33" x14ac:dyDescent="0.35">
      <c r="AA60" s="87">
        <v>45675</v>
      </c>
      <c r="AB60">
        <v>4</v>
      </c>
      <c r="AF60" s="87">
        <v>45675</v>
      </c>
      <c r="AG60">
        <v>4</v>
      </c>
    </row>
    <row r="61" spans="27:33" x14ac:dyDescent="0.35">
      <c r="AA61" s="87">
        <v>45676</v>
      </c>
      <c r="AB61">
        <v>2</v>
      </c>
      <c r="AF61" s="87">
        <v>45676</v>
      </c>
      <c r="AG61">
        <v>2</v>
      </c>
    </row>
  </sheetData>
  <mergeCells count="4">
    <mergeCell ref="AF1:AI1"/>
    <mergeCell ref="AA1:AD1"/>
    <mergeCell ref="B1:C1"/>
    <mergeCell ref="E1:W1"/>
  </mergeCells>
  <phoneticPr fontId="20" type="noConversion"/>
  <pageMargins left="0.7" right="0.7" top="0.75" bottom="0.75" header="0.3" footer="0.3"/>
  <pageSetup paperSize="9" orientation="portrait" r:id="rId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B1:BO62"/>
  <sheetViews>
    <sheetView zoomScale="60" zoomScaleNormal="60" workbookViewId="0">
      <selection activeCell="W3" sqref="W3"/>
    </sheetView>
  </sheetViews>
  <sheetFormatPr defaultRowHeight="14.5" x14ac:dyDescent="0.35"/>
  <cols>
    <col min="2" max="2" width="14" bestFit="1" customWidth="1"/>
    <col min="3" max="3" width="11.81640625" bestFit="1" customWidth="1"/>
    <col min="4" max="4" width="9.26953125" bestFit="1" customWidth="1"/>
    <col min="5" max="5" width="8.453125" bestFit="1" customWidth="1"/>
    <col min="7" max="7" width="9.81640625" bestFit="1" customWidth="1"/>
    <col min="9" max="9" width="9.81640625" customWidth="1"/>
    <col min="10" max="10" width="5.81640625" customWidth="1"/>
    <col min="12" max="12" width="14" bestFit="1" customWidth="1"/>
    <col min="13" max="13" width="11.81640625" bestFit="1" customWidth="1"/>
    <col min="14" max="14" width="9.26953125" bestFit="1" customWidth="1"/>
    <col min="15" max="15" width="7.453125" bestFit="1" customWidth="1"/>
    <col min="23" max="23" width="14" bestFit="1" customWidth="1"/>
    <col min="24" max="24" width="16.7265625" bestFit="1" customWidth="1"/>
    <col min="25" max="25" width="9.26953125" bestFit="1" customWidth="1"/>
    <col min="26" max="27" width="7.453125" bestFit="1" customWidth="1"/>
    <col min="28" max="28" width="9.26953125" bestFit="1" customWidth="1"/>
    <col min="29" max="29" width="7.453125" bestFit="1" customWidth="1"/>
    <col min="30" max="30" width="8.54296875" bestFit="1" customWidth="1"/>
    <col min="31" max="31" width="9.26953125" bestFit="1" customWidth="1"/>
    <col min="32" max="32" width="8.453125" bestFit="1" customWidth="1"/>
    <col min="33" max="33" width="22" bestFit="1" customWidth="1"/>
    <col min="34" max="34" width="9.26953125" bestFit="1" customWidth="1"/>
    <col min="35" max="35" width="7.453125" bestFit="1" customWidth="1"/>
    <col min="36" max="36" width="10.81640625" bestFit="1" customWidth="1"/>
    <col min="37" max="37" width="9.26953125" bestFit="1" customWidth="1"/>
    <col min="38" max="38" width="7.453125" bestFit="1" customWidth="1"/>
    <col min="39" max="39" width="9.7265625" bestFit="1" customWidth="1"/>
    <col min="40" max="40" width="9.26953125" bestFit="1" customWidth="1"/>
    <col min="41" max="41" width="7.453125" bestFit="1" customWidth="1"/>
    <col min="42" max="42" width="10.7265625" bestFit="1" customWidth="1"/>
    <col min="43" max="43" width="9.26953125" bestFit="1" customWidth="1"/>
    <col min="44" max="44" width="7.453125" bestFit="1" customWidth="1"/>
    <col min="45" max="45" width="9.453125" bestFit="1" customWidth="1"/>
    <col min="46" max="46" width="14.1796875" bestFit="1" customWidth="1"/>
    <col min="47" max="47" width="9.81640625" bestFit="1" customWidth="1"/>
    <col min="48" max="55" width="10.26953125" customWidth="1"/>
    <col min="56" max="57" width="9.1796875" customWidth="1"/>
    <col min="59" max="59" width="14" bestFit="1" customWidth="1"/>
    <col min="60" max="60" width="11.81640625" bestFit="1" customWidth="1"/>
    <col min="61" max="61" width="9.26953125" bestFit="1" customWidth="1"/>
    <col min="62" max="62" width="7.453125" bestFit="1" customWidth="1"/>
  </cols>
  <sheetData>
    <row r="1" spans="2:67" x14ac:dyDescent="0.35">
      <c r="B1" s="170" t="s">
        <v>140</v>
      </c>
      <c r="C1" s="170"/>
      <c r="D1" s="170"/>
      <c r="E1" s="170"/>
      <c r="F1" s="170"/>
      <c r="G1" s="170"/>
      <c r="H1" s="170"/>
      <c r="I1" s="170"/>
      <c r="J1" s="23"/>
      <c r="K1" s="23"/>
      <c r="L1" s="169" t="s">
        <v>141</v>
      </c>
      <c r="M1" s="169"/>
      <c r="N1" s="169"/>
      <c r="O1" s="169"/>
      <c r="P1" s="169"/>
      <c r="Q1" s="169"/>
      <c r="R1" s="169"/>
      <c r="S1" s="169"/>
      <c r="T1" s="169"/>
      <c r="U1" s="23"/>
      <c r="V1" s="23"/>
      <c r="W1" s="169" t="s">
        <v>142</v>
      </c>
      <c r="X1" s="169"/>
      <c r="Y1" s="169"/>
      <c r="Z1" s="169"/>
      <c r="AA1" s="169"/>
      <c r="AB1" s="169"/>
      <c r="AC1" s="169"/>
      <c r="AD1" s="169"/>
      <c r="AE1" s="169"/>
      <c r="AF1" s="169"/>
      <c r="AG1" s="169"/>
      <c r="AH1" s="169"/>
      <c r="AI1" s="169"/>
      <c r="AJ1" s="169"/>
      <c r="AK1" s="169"/>
      <c r="AL1" s="169"/>
      <c r="AM1" s="169"/>
      <c r="AN1" s="169"/>
      <c r="AO1" s="169"/>
      <c r="AP1" s="169"/>
      <c r="AQ1" s="169"/>
      <c r="AR1" s="169"/>
      <c r="AS1" s="169"/>
      <c r="AT1" s="169"/>
      <c r="AU1" s="169"/>
      <c r="AV1" s="169"/>
      <c r="AW1" s="169"/>
      <c r="AX1" s="169"/>
      <c r="AY1" s="169"/>
      <c r="AZ1" s="169"/>
      <c r="BA1" s="169"/>
      <c r="BB1" s="169"/>
      <c r="BC1" s="169"/>
      <c r="BD1" s="169"/>
      <c r="BE1" s="23"/>
    </row>
    <row r="3" spans="2:67" x14ac:dyDescent="0.35">
      <c r="B3" s="15" t="s">
        <v>129</v>
      </c>
      <c r="C3" t="s" vm="1">
        <v>130</v>
      </c>
      <c r="G3" s="171" t="s">
        <v>143</v>
      </c>
      <c r="H3" s="171"/>
      <c r="I3" s="171"/>
      <c r="L3" s="15" t="s">
        <v>129</v>
      </c>
      <c r="M3" t="s" vm="1">
        <v>130</v>
      </c>
      <c r="Q3" s="32" t="s">
        <v>144</v>
      </c>
      <c r="R3" s="30">
        <f>MAX(M6:M1048576)</f>
        <v>100573</v>
      </c>
      <c r="S3" s="30">
        <f>MATCH(R3,M6:M1048576,0)</f>
        <v>45</v>
      </c>
      <c r="T3" s="30">
        <f>INDEX(L6:L1048576,S3)</f>
        <v>45665</v>
      </c>
      <c r="W3" s="15" t="s">
        <v>129</v>
      </c>
      <c r="X3" t="s" vm="1">
        <v>130</v>
      </c>
    </row>
    <row r="4" spans="2:67" x14ac:dyDescent="0.35">
      <c r="F4" s="8"/>
      <c r="G4" s="8" t="s">
        <v>144</v>
      </c>
      <c r="H4" s="8" t="s">
        <v>145</v>
      </c>
      <c r="I4" s="8" t="s">
        <v>146</v>
      </c>
      <c r="J4" s="8"/>
      <c r="K4" s="8"/>
      <c r="P4" s="8"/>
      <c r="Q4" s="32" t="s">
        <v>145</v>
      </c>
      <c r="R4" s="30">
        <f>MAX(N6:N1048576, 0)</f>
        <v>4031</v>
      </c>
      <c r="S4" s="30">
        <f>MATCH(R4,N6:N1048576,0)</f>
        <v>44</v>
      </c>
      <c r="T4" s="30">
        <f>INDEX(L6:L1048576,S4)</f>
        <v>45664</v>
      </c>
      <c r="BG4" s="15" t="s">
        <v>129</v>
      </c>
      <c r="BH4" t="s" vm="1">
        <v>130</v>
      </c>
    </row>
    <row r="5" spans="2:67" x14ac:dyDescent="0.35">
      <c r="B5" s="15" t="s">
        <v>134</v>
      </c>
      <c r="C5" t="s">
        <v>144</v>
      </c>
      <c r="D5" t="s">
        <v>145</v>
      </c>
      <c r="E5" t="s">
        <v>146</v>
      </c>
      <c r="F5" s="8"/>
      <c r="G5" s="30">
        <f>C6/4</f>
        <v>173630</v>
      </c>
      <c r="H5" s="30">
        <f>D6/4</f>
        <v>4992.5</v>
      </c>
      <c r="I5" s="30">
        <f>E6/4</f>
        <v>178622.5</v>
      </c>
      <c r="J5" s="30"/>
      <c r="K5" s="8"/>
      <c r="L5" s="15" t="s">
        <v>134</v>
      </c>
      <c r="M5" t="s">
        <v>144</v>
      </c>
      <c r="N5" t="s">
        <v>145</v>
      </c>
      <c r="O5" t="s">
        <v>146</v>
      </c>
      <c r="P5" s="8"/>
      <c r="Q5" s="32" t="s">
        <v>146</v>
      </c>
      <c r="R5" s="30">
        <f>MAX(O6:O1048576)</f>
        <v>104591</v>
      </c>
      <c r="S5" s="30">
        <f>MATCH(R5,O6:O1048576,0)</f>
        <v>45</v>
      </c>
      <c r="T5" s="30">
        <f>INDEX(L6:L1048576,S5)</f>
        <v>45665</v>
      </c>
      <c r="V5" s="8"/>
      <c r="X5" s="15" t="s">
        <v>136</v>
      </c>
      <c r="AW5" s="14" t="s">
        <v>144</v>
      </c>
      <c r="AX5" t="s">
        <v>132</v>
      </c>
      <c r="AY5" s="8" t="s">
        <v>21</v>
      </c>
      <c r="AZ5" s="8" t="s">
        <v>22</v>
      </c>
      <c r="BA5" s="8" t="s">
        <v>25</v>
      </c>
      <c r="BB5" s="8" t="s">
        <v>27</v>
      </c>
      <c r="BC5" s="8" t="s">
        <v>28</v>
      </c>
      <c r="BD5" s="36" t="s">
        <v>133</v>
      </c>
      <c r="BE5" s="8" t="s">
        <v>37</v>
      </c>
    </row>
    <row r="6" spans="2:67" x14ac:dyDescent="0.35">
      <c r="B6" s="16">
        <v>1</v>
      </c>
      <c r="C6">
        <v>694520</v>
      </c>
      <c r="D6">
        <v>19970</v>
      </c>
      <c r="E6">
        <v>714490</v>
      </c>
      <c r="F6" s="30"/>
      <c r="G6" s="30">
        <f>C7/7</f>
        <v>99271.857142857145</v>
      </c>
      <c r="H6" s="30">
        <f t="shared" ref="G6:I8" si="0">D7/7</f>
        <v>2907.5714285714284</v>
      </c>
      <c r="I6" s="30">
        <f>E7/7</f>
        <v>102179.42857142857</v>
      </c>
      <c r="J6" s="30"/>
      <c r="K6" s="30"/>
      <c r="L6" s="87">
        <v>45621</v>
      </c>
      <c r="M6">
        <v>98927</v>
      </c>
      <c r="N6">
        <v>2891</v>
      </c>
      <c r="O6">
        <v>101818</v>
      </c>
      <c r="P6" s="30"/>
      <c r="Q6" s="30"/>
      <c r="R6" s="30"/>
      <c r="S6" s="30"/>
      <c r="V6" s="30"/>
      <c r="X6" t="s">
        <v>137</v>
      </c>
      <c r="AA6" t="s">
        <v>21</v>
      </c>
      <c r="AD6" t="s">
        <v>22</v>
      </c>
      <c r="AG6" t="s">
        <v>138</v>
      </c>
      <c r="AJ6" t="s">
        <v>26</v>
      </c>
      <c r="AM6" t="s">
        <v>27</v>
      </c>
      <c r="AP6" t="s">
        <v>28</v>
      </c>
      <c r="AS6" t="s">
        <v>147</v>
      </c>
      <c r="AT6" t="s">
        <v>148</v>
      </c>
      <c r="AU6" t="s">
        <v>149</v>
      </c>
      <c r="AW6" s="8" t="s">
        <v>1</v>
      </c>
      <c r="AX6" s="30">
        <f>(VLOOKUP(AW6,$W$8:$AU$1048576,23,FALSE))/7</f>
        <v>99217.142857142855</v>
      </c>
      <c r="AY6" s="30">
        <f>(VLOOKUP(AW6,$W$8:$AU$1048576,5,FALSE))/7</f>
        <v>14791.857142857143</v>
      </c>
      <c r="AZ6" s="30">
        <f>(VLOOKUP(AW6,$W$8:$AU$1048576,8,FALSE))/7</f>
        <v>18721.428571428572</v>
      </c>
      <c r="BA6" s="30">
        <f>(VLOOKUP(AW6,$W$8:$AU$1048576,11,FALSE))/7</f>
        <v>17310.571428571428</v>
      </c>
      <c r="BB6" s="30">
        <f>(VLOOKUP(AW6,$W$8:$AU$1048576,17,FALSE))/7</f>
        <v>13186.428571428571</v>
      </c>
      <c r="BC6" s="30">
        <f>(VLOOKUP(AW6,$W$8:$AU$1048576,20,FALSE))/7</f>
        <v>9821.8571428571431</v>
      </c>
      <c r="BD6" s="30">
        <f>(VLOOKUP(AW6,$W$8:$AU$1048576,2,FALSE))/7</f>
        <v>10568.571428571429</v>
      </c>
      <c r="BE6" s="30">
        <f>(VLOOKUP(AW6,$W$8:$AU$1048576,14,FALSE))/7</f>
        <v>14816.428571428571</v>
      </c>
      <c r="BG6" s="15" t="s">
        <v>134</v>
      </c>
      <c r="BH6" t="s">
        <v>144</v>
      </c>
      <c r="BI6" t="s">
        <v>145</v>
      </c>
      <c r="BJ6" t="s">
        <v>146</v>
      </c>
      <c r="BL6" s="32" t="s">
        <v>144</v>
      </c>
      <c r="BM6" s="30">
        <f>MAX(BH7:BH1048576)</f>
        <v>100573</v>
      </c>
      <c r="BN6" s="30">
        <f>MATCH(BM6,BH7:BH1048576,0)</f>
        <v>45</v>
      </c>
      <c r="BO6" s="30">
        <f>INDEX(BG7:BG1048576,BN6)</f>
        <v>45665</v>
      </c>
    </row>
    <row r="7" spans="2:67" x14ac:dyDescent="0.35">
      <c r="B7" s="16">
        <v>2</v>
      </c>
      <c r="C7">
        <v>694903</v>
      </c>
      <c r="D7">
        <v>20353</v>
      </c>
      <c r="E7">
        <v>715256</v>
      </c>
      <c r="F7" s="30"/>
      <c r="G7" s="30">
        <f t="shared" si="0"/>
        <v>99588</v>
      </c>
      <c r="H7" s="30">
        <f t="shared" si="0"/>
        <v>2876</v>
      </c>
      <c r="I7" s="30">
        <f t="shared" si="0"/>
        <v>102464</v>
      </c>
      <c r="J7" s="30"/>
      <c r="K7" s="30"/>
      <c r="L7" s="87">
        <v>45622</v>
      </c>
      <c r="M7">
        <v>99838</v>
      </c>
      <c r="N7">
        <v>3116</v>
      </c>
      <c r="O7">
        <v>102954</v>
      </c>
      <c r="P7" s="30"/>
      <c r="Q7" s="30"/>
      <c r="R7" s="30"/>
      <c r="S7" s="30"/>
      <c r="V7" s="30"/>
      <c r="W7" s="15" t="s">
        <v>134</v>
      </c>
      <c r="X7" t="s">
        <v>144</v>
      </c>
      <c r="Y7" t="s">
        <v>145</v>
      </c>
      <c r="Z7" t="s">
        <v>146</v>
      </c>
      <c r="AA7" t="s">
        <v>144</v>
      </c>
      <c r="AB7" t="s">
        <v>145</v>
      </c>
      <c r="AC7" t="s">
        <v>146</v>
      </c>
      <c r="AD7" t="s">
        <v>144</v>
      </c>
      <c r="AE7" t="s">
        <v>145</v>
      </c>
      <c r="AF7" t="s">
        <v>146</v>
      </c>
      <c r="AG7" t="s">
        <v>144</v>
      </c>
      <c r="AH7" t="s">
        <v>145</v>
      </c>
      <c r="AI7" t="s">
        <v>146</v>
      </c>
      <c r="AJ7" t="s">
        <v>144</v>
      </c>
      <c r="AK7" t="s">
        <v>145</v>
      </c>
      <c r="AL7" t="s">
        <v>146</v>
      </c>
      <c r="AM7" t="s">
        <v>144</v>
      </c>
      <c r="AN7" t="s">
        <v>145</v>
      </c>
      <c r="AO7" t="s">
        <v>146</v>
      </c>
      <c r="AP7" t="s">
        <v>144</v>
      </c>
      <c r="AQ7" t="s">
        <v>145</v>
      </c>
      <c r="AR7" t="s">
        <v>146</v>
      </c>
      <c r="AW7" s="8" t="s">
        <v>2</v>
      </c>
      <c r="AX7" s="30">
        <f t="shared" ref="AX7:AX18" si="1">(VLOOKUP(AW7,$W$8:$AU$1048576,23,FALSE))/7</f>
        <v>99271.857142857145</v>
      </c>
      <c r="AY7" s="30">
        <f t="shared" ref="AY7:AY19" si="2">(VLOOKUP(AW7,$W$8:$AU$1048576,5,FALSE))/7</f>
        <v>14823.571428571429</v>
      </c>
      <c r="AZ7" s="30">
        <f t="shared" ref="AZ7:AZ19" si="3">(VLOOKUP(AW7,$W$8:$AU$1048576,8,FALSE))/7</f>
        <v>18864.714285714286</v>
      </c>
      <c r="BA7" s="30">
        <f t="shared" ref="BA7:BA19" si="4">(VLOOKUP(AW7,$W$8:$AU$1048576,8,FALSE))/7</f>
        <v>18864.714285714286</v>
      </c>
      <c r="BB7" s="30">
        <f t="shared" ref="BB7:BB19" si="5">(VLOOKUP(AW7,$W$8:$AU$1048576,17,FALSE))/7</f>
        <v>13186</v>
      </c>
      <c r="BC7" s="30">
        <f t="shared" ref="BC7:BC19" si="6">(VLOOKUP(AW7,$W$8:$AU$1048576,20,FALSE))/7</f>
        <v>9834.4285714285706</v>
      </c>
      <c r="BD7" s="30">
        <f t="shared" ref="BD7:BD17" si="7">(VLOOKUP(AW7,$W$8:$AU$1048576,2,FALSE))/7</f>
        <v>10518.857142857143</v>
      </c>
      <c r="BE7" s="30">
        <f t="shared" ref="BE7:BE19" si="8">(VLOOKUP(AW7,$W$8:$AU$1048576,14,FALSE))/7</f>
        <v>14729.428571428571</v>
      </c>
      <c r="BG7" s="87">
        <v>45621</v>
      </c>
      <c r="BH7">
        <v>98927</v>
      </c>
      <c r="BI7">
        <v>2891</v>
      </c>
      <c r="BJ7">
        <v>101818</v>
      </c>
      <c r="BL7" s="32" t="s">
        <v>145</v>
      </c>
      <c r="BM7" s="30">
        <f>MAX(BI7:BI1048576,0)</f>
        <v>4031</v>
      </c>
      <c r="BN7" s="30">
        <f>MATCH(BM7,BI7:BI1048576,0)</f>
        <v>44</v>
      </c>
      <c r="BO7" s="30">
        <f>INDEX(BG7:BG1048576,BN7)</f>
        <v>45664</v>
      </c>
    </row>
    <row r="8" spans="2:67" x14ac:dyDescent="0.35">
      <c r="B8" s="16">
        <v>3</v>
      </c>
      <c r="C8">
        <v>697116</v>
      </c>
      <c r="D8">
        <v>20132</v>
      </c>
      <c r="E8">
        <v>717248</v>
      </c>
      <c r="F8" s="30"/>
      <c r="G8" s="30">
        <f t="shared" si="0"/>
        <v>99769.571428571435</v>
      </c>
      <c r="H8" s="30">
        <f t="shared" si="0"/>
        <v>2834.2857142857142</v>
      </c>
      <c r="I8" s="30">
        <f t="shared" si="0"/>
        <v>102603.85714285714</v>
      </c>
      <c r="J8" s="30"/>
      <c r="K8" s="30"/>
      <c r="L8" s="87">
        <v>45623</v>
      </c>
      <c r="M8">
        <v>99802</v>
      </c>
      <c r="N8">
        <v>2979</v>
      </c>
      <c r="O8">
        <v>102781</v>
      </c>
      <c r="P8" s="30"/>
      <c r="Q8" s="30"/>
      <c r="R8" s="30"/>
      <c r="S8" s="30"/>
      <c r="V8" s="30"/>
      <c r="W8" s="16" t="s">
        <v>1</v>
      </c>
      <c r="X8">
        <v>73980</v>
      </c>
      <c r="Y8">
        <v>2827</v>
      </c>
      <c r="Z8">
        <v>76807</v>
      </c>
      <c r="AA8">
        <v>103543</v>
      </c>
      <c r="AB8">
        <v>2368</v>
      </c>
      <c r="AC8">
        <v>105911</v>
      </c>
      <c r="AD8">
        <v>131050</v>
      </c>
      <c r="AE8">
        <v>3938</v>
      </c>
      <c r="AF8">
        <v>134988</v>
      </c>
      <c r="AG8">
        <v>121174</v>
      </c>
      <c r="AH8">
        <v>3088</v>
      </c>
      <c r="AI8">
        <v>124262</v>
      </c>
      <c r="AJ8">
        <v>103715</v>
      </c>
      <c r="AK8">
        <v>1315</v>
      </c>
      <c r="AL8">
        <v>105030</v>
      </c>
      <c r="AM8">
        <v>92305</v>
      </c>
      <c r="AN8">
        <v>3612</v>
      </c>
      <c r="AO8">
        <v>95917</v>
      </c>
      <c r="AP8">
        <v>68753</v>
      </c>
      <c r="AQ8">
        <v>2822</v>
      </c>
      <c r="AR8">
        <v>71575</v>
      </c>
      <c r="AS8">
        <v>694520</v>
      </c>
      <c r="AT8">
        <v>19970</v>
      </c>
      <c r="AU8">
        <v>714490</v>
      </c>
      <c r="AW8" s="8" t="s">
        <v>3</v>
      </c>
      <c r="AX8" s="30">
        <f t="shared" si="1"/>
        <v>99588</v>
      </c>
      <c r="AY8" s="30">
        <f t="shared" si="2"/>
        <v>14803.142857142857</v>
      </c>
      <c r="AZ8" s="30">
        <f t="shared" si="3"/>
        <v>18890</v>
      </c>
      <c r="BA8" s="30">
        <f t="shared" si="4"/>
        <v>18890</v>
      </c>
      <c r="BB8" s="30">
        <f t="shared" si="5"/>
        <v>13216.285714285714</v>
      </c>
      <c r="BC8" s="30">
        <f t="shared" si="6"/>
        <v>9822.5714285714294</v>
      </c>
      <c r="BD8" s="30">
        <f t="shared" si="7"/>
        <v>10530.714285714286</v>
      </c>
      <c r="BE8" s="30">
        <f t="shared" si="8"/>
        <v>15052.285714285714</v>
      </c>
      <c r="BG8" s="87">
        <v>45622</v>
      </c>
      <c r="BH8">
        <v>99838</v>
      </c>
      <c r="BI8">
        <v>3116</v>
      </c>
      <c r="BJ8">
        <v>102954</v>
      </c>
      <c r="BL8" s="32" t="s">
        <v>146</v>
      </c>
      <c r="BM8" s="30">
        <f>MAX(BJ7:BJ1048576)</f>
        <v>104591</v>
      </c>
      <c r="BN8" s="30">
        <f>MATCH(BM8,BJ7:BJ1048576,0)</f>
        <v>45</v>
      </c>
      <c r="BO8" s="30">
        <f>INDEX(BG7:BG1048576,BN8)</f>
        <v>45665</v>
      </c>
    </row>
    <row r="9" spans="2:67" x14ac:dyDescent="0.35">
      <c r="B9" s="16">
        <v>4</v>
      </c>
      <c r="C9">
        <v>698387</v>
      </c>
      <c r="D9">
        <v>19840</v>
      </c>
      <c r="E9">
        <v>718227</v>
      </c>
      <c r="F9" s="30"/>
      <c r="G9" s="30">
        <f t="shared" ref="G9:G18" si="9">C10/7</f>
        <v>98999.571428571435</v>
      </c>
      <c r="H9" s="30">
        <f>D10/7</f>
        <v>2309.2857142857142</v>
      </c>
      <c r="I9" s="30">
        <f t="shared" ref="I9:I18" si="10">E10/7</f>
        <v>101308.85714285714</v>
      </c>
      <c r="J9" s="30"/>
      <c r="K9" s="30"/>
      <c r="L9" s="87">
        <v>45624</v>
      </c>
      <c r="M9">
        <v>99896</v>
      </c>
      <c r="N9">
        <v>3016</v>
      </c>
      <c r="O9">
        <v>102912</v>
      </c>
      <c r="P9" s="30"/>
      <c r="Q9" s="30"/>
      <c r="R9" s="30"/>
      <c r="S9" s="30"/>
      <c r="V9" s="30"/>
      <c r="W9" s="16" t="s">
        <v>2</v>
      </c>
      <c r="X9">
        <v>73632</v>
      </c>
      <c r="Y9">
        <v>2938</v>
      </c>
      <c r="Z9">
        <v>76570</v>
      </c>
      <c r="AA9">
        <v>103765</v>
      </c>
      <c r="AB9">
        <v>2359</v>
      </c>
      <c r="AC9">
        <v>106124</v>
      </c>
      <c r="AD9">
        <v>132053</v>
      </c>
      <c r="AE9">
        <v>4088</v>
      </c>
      <c r="AF9">
        <v>136141</v>
      </c>
      <c r="AG9">
        <v>121204</v>
      </c>
      <c r="AH9">
        <v>3223</v>
      </c>
      <c r="AI9">
        <v>124427</v>
      </c>
      <c r="AJ9">
        <v>103106</v>
      </c>
      <c r="AK9">
        <v>1264</v>
      </c>
      <c r="AL9">
        <v>104370</v>
      </c>
      <c r="AM9">
        <v>92302</v>
      </c>
      <c r="AN9">
        <v>3778</v>
      </c>
      <c r="AO9">
        <v>96080</v>
      </c>
      <c r="AP9">
        <v>68841</v>
      </c>
      <c r="AQ9">
        <v>2703</v>
      </c>
      <c r="AR9">
        <v>71544</v>
      </c>
      <c r="AS9">
        <v>694903</v>
      </c>
      <c r="AT9">
        <v>20353</v>
      </c>
      <c r="AU9">
        <v>715256</v>
      </c>
      <c r="AW9" s="8" t="s">
        <v>4</v>
      </c>
      <c r="AX9" s="30">
        <f t="shared" si="1"/>
        <v>99769.571428571435</v>
      </c>
      <c r="AY9" s="30">
        <f t="shared" si="2"/>
        <v>14853</v>
      </c>
      <c r="AZ9" s="30">
        <f t="shared" si="3"/>
        <v>18880.714285714286</v>
      </c>
      <c r="BA9" s="30">
        <f t="shared" si="4"/>
        <v>18880.714285714286</v>
      </c>
      <c r="BB9" s="30">
        <f t="shared" si="5"/>
        <v>13235.714285714286</v>
      </c>
      <c r="BC9" s="30">
        <f t="shared" si="6"/>
        <v>9845.4285714285706</v>
      </c>
      <c r="BD9" s="30">
        <f t="shared" si="7"/>
        <v>10545.571428571429</v>
      </c>
      <c r="BE9" s="30">
        <f t="shared" si="8"/>
        <v>15129.428571428571</v>
      </c>
      <c r="BG9" s="87">
        <v>45623</v>
      </c>
      <c r="BH9">
        <v>99802</v>
      </c>
      <c r="BI9">
        <v>2979</v>
      </c>
      <c r="BJ9">
        <v>102781</v>
      </c>
    </row>
    <row r="10" spans="2:67" x14ac:dyDescent="0.35">
      <c r="B10" s="16">
        <v>5</v>
      </c>
      <c r="C10">
        <v>692997</v>
      </c>
      <c r="D10">
        <v>16165</v>
      </c>
      <c r="E10">
        <v>709162</v>
      </c>
      <c r="F10" s="30"/>
      <c r="G10" s="30">
        <f t="shared" si="9"/>
        <v>99260.571428571435</v>
      </c>
      <c r="H10" s="30">
        <f>D11/7</f>
        <v>3285.2857142857142</v>
      </c>
      <c r="I10" s="30">
        <f t="shared" si="10"/>
        <v>102545.85714285714</v>
      </c>
      <c r="J10" s="30"/>
      <c r="K10" s="30"/>
      <c r="L10" s="87">
        <v>45625</v>
      </c>
      <c r="M10">
        <v>99256</v>
      </c>
      <c r="N10">
        <v>2803</v>
      </c>
      <c r="O10">
        <v>102059</v>
      </c>
      <c r="P10" s="30"/>
      <c r="Q10" s="30"/>
      <c r="R10" s="30"/>
      <c r="S10" s="30"/>
      <c r="V10" s="30"/>
      <c r="W10" s="16" t="s">
        <v>3</v>
      </c>
      <c r="X10">
        <v>73715</v>
      </c>
      <c r="Y10">
        <v>2893</v>
      </c>
      <c r="Z10">
        <v>76608</v>
      </c>
      <c r="AA10">
        <v>103622</v>
      </c>
      <c r="AB10">
        <v>2479</v>
      </c>
      <c r="AC10">
        <v>106101</v>
      </c>
      <c r="AD10">
        <v>132230</v>
      </c>
      <c r="AE10">
        <v>3910</v>
      </c>
      <c r="AF10">
        <v>136140</v>
      </c>
      <c r="AG10">
        <v>120911</v>
      </c>
      <c r="AH10">
        <v>3119</v>
      </c>
      <c r="AI10">
        <v>124030</v>
      </c>
      <c r="AJ10">
        <v>105366</v>
      </c>
      <c r="AK10">
        <v>1371</v>
      </c>
      <c r="AL10">
        <v>106737</v>
      </c>
      <c r="AM10">
        <v>92514</v>
      </c>
      <c r="AN10">
        <v>3703</v>
      </c>
      <c r="AO10">
        <v>96217</v>
      </c>
      <c r="AP10">
        <v>68758</v>
      </c>
      <c r="AQ10">
        <v>2657</v>
      </c>
      <c r="AR10">
        <v>71415</v>
      </c>
      <c r="AS10">
        <v>697116</v>
      </c>
      <c r="AT10">
        <v>20132</v>
      </c>
      <c r="AU10">
        <v>717248</v>
      </c>
      <c r="AV10" s="30"/>
      <c r="AW10" s="17" t="s">
        <v>5</v>
      </c>
      <c r="AX10" s="30">
        <f t="shared" si="1"/>
        <v>98999.571428571435</v>
      </c>
      <c r="AY10" s="30">
        <f t="shared" si="2"/>
        <v>14804.571428571429</v>
      </c>
      <c r="AZ10" s="30">
        <f t="shared" si="3"/>
        <v>18742.571428571428</v>
      </c>
      <c r="BA10" s="30">
        <f t="shared" si="4"/>
        <v>18742.571428571428</v>
      </c>
      <c r="BB10" s="30">
        <f t="shared" si="5"/>
        <v>13088.142857142857</v>
      </c>
      <c r="BC10" s="30">
        <f t="shared" si="6"/>
        <v>9750.5714285714294</v>
      </c>
      <c r="BD10" s="30">
        <f t="shared" si="7"/>
        <v>10467.142857142857</v>
      </c>
      <c r="BE10" s="30">
        <f t="shared" si="8"/>
        <v>15039</v>
      </c>
      <c r="BG10" s="87">
        <v>45624</v>
      </c>
      <c r="BH10">
        <v>99896</v>
      </c>
      <c r="BI10">
        <v>3016</v>
      </c>
      <c r="BJ10">
        <v>102912</v>
      </c>
    </row>
    <row r="11" spans="2:67" x14ac:dyDescent="0.35">
      <c r="B11" s="16">
        <v>6</v>
      </c>
      <c r="C11">
        <v>694824</v>
      </c>
      <c r="D11">
        <v>22997</v>
      </c>
      <c r="E11">
        <v>717821</v>
      </c>
      <c r="F11" s="30"/>
      <c r="G11" s="30">
        <f t="shared" si="9"/>
        <v>100202.28571428571</v>
      </c>
      <c r="H11" s="30">
        <f t="shared" ref="H11:H18" si="11">D12/7</f>
        <v>3644.7142857142858</v>
      </c>
      <c r="I11" s="30">
        <f t="shared" si="10"/>
        <v>103847</v>
      </c>
      <c r="J11" s="30"/>
      <c r="K11" s="30"/>
      <c r="L11" s="87">
        <v>45626</v>
      </c>
      <c r="M11">
        <v>98829</v>
      </c>
      <c r="N11">
        <v>2570</v>
      </c>
      <c r="O11">
        <v>101399</v>
      </c>
      <c r="P11" s="30"/>
      <c r="Q11" s="30"/>
      <c r="R11" s="30"/>
      <c r="S11" s="30"/>
      <c r="V11" s="30"/>
      <c r="W11" s="16" t="s">
        <v>4</v>
      </c>
      <c r="X11">
        <v>73819</v>
      </c>
      <c r="Y11">
        <v>2735</v>
      </c>
      <c r="Z11">
        <v>76554</v>
      </c>
      <c r="AA11">
        <v>103971</v>
      </c>
      <c r="AB11">
        <v>2500</v>
      </c>
      <c r="AC11">
        <v>106471</v>
      </c>
      <c r="AD11">
        <v>132165</v>
      </c>
      <c r="AE11">
        <v>3964</v>
      </c>
      <c r="AF11">
        <v>136129</v>
      </c>
      <c r="AG11">
        <v>120958</v>
      </c>
      <c r="AH11">
        <v>3310</v>
      </c>
      <c r="AI11">
        <v>124268</v>
      </c>
      <c r="AJ11">
        <v>105906</v>
      </c>
      <c r="AK11">
        <v>1333</v>
      </c>
      <c r="AL11">
        <v>107239</v>
      </c>
      <c r="AM11">
        <v>92650</v>
      </c>
      <c r="AN11">
        <v>3378</v>
      </c>
      <c r="AO11">
        <v>96028</v>
      </c>
      <c r="AP11">
        <v>68918</v>
      </c>
      <c r="AQ11">
        <v>2620</v>
      </c>
      <c r="AR11">
        <v>71538</v>
      </c>
      <c r="AS11">
        <v>698387</v>
      </c>
      <c r="AT11">
        <v>19840</v>
      </c>
      <c r="AU11">
        <v>718227</v>
      </c>
      <c r="AV11" s="30"/>
      <c r="AW11" s="17" t="s">
        <v>6</v>
      </c>
      <c r="AX11" s="30">
        <f t="shared" si="1"/>
        <v>99260.571428571435</v>
      </c>
      <c r="AY11" s="30">
        <f t="shared" si="2"/>
        <v>14525.857142857143</v>
      </c>
      <c r="AZ11" s="30">
        <f t="shared" si="3"/>
        <v>18851.285714285714</v>
      </c>
      <c r="BA11" s="30">
        <f t="shared" si="4"/>
        <v>18851.285714285714</v>
      </c>
      <c r="BB11" s="30">
        <f t="shared" si="5"/>
        <v>13183</v>
      </c>
      <c r="BC11" s="30">
        <f t="shared" si="6"/>
        <v>9826</v>
      </c>
      <c r="BD11" s="30">
        <f t="shared" si="7"/>
        <v>10517.571428571429</v>
      </c>
      <c r="BE11" s="30">
        <f t="shared" si="8"/>
        <v>15097.571428571429</v>
      </c>
      <c r="BG11" s="87">
        <v>45625</v>
      </c>
      <c r="BH11">
        <v>99256</v>
      </c>
      <c r="BI11">
        <v>2803</v>
      </c>
      <c r="BJ11">
        <v>102059</v>
      </c>
    </row>
    <row r="12" spans="2:67" x14ac:dyDescent="0.35">
      <c r="B12" s="16">
        <v>7</v>
      </c>
      <c r="C12">
        <v>701416</v>
      </c>
      <c r="D12">
        <v>25513</v>
      </c>
      <c r="E12">
        <v>726929</v>
      </c>
      <c r="F12" s="30"/>
      <c r="G12" s="30">
        <f t="shared" si="9"/>
        <v>99896.428571428565</v>
      </c>
      <c r="H12" s="30">
        <f>D13/7</f>
        <v>3361.4285714285716</v>
      </c>
      <c r="I12" s="30">
        <f t="shared" si="10"/>
        <v>103327.42857142857</v>
      </c>
      <c r="J12" s="30"/>
      <c r="K12" s="30"/>
      <c r="L12" s="87">
        <v>45627</v>
      </c>
      <c r="M12">
        <v>97972</v>
      </c>
      <c r="N12">
        <v>2595</v>
      </c>
      <c r="O12">
        <v>100567</v>
      </c>
      <c r="P12" s="30"/>
      <c r="Q12" s="30"/>
      <c r="R12" s="30"/>
      <c r="S12" s="30"/>
      <c r="V12" s="30"/>
      <c r="W12" s="16" t="s">
        <v>5</v>
      </c>
      <c r="X12">
        <v>73270</v>
      </c>
      <c r="Y12">
        <v>2244</v>
      </c>
      <c r="Z12">
        <v>75514</v>
      </c>
      <c r="AA12">
        <v>103632</v>
      </c>
      <c r="AB12">
        <v>1916</v>
      </c>
      <c r="AC12">
        <v>105548</v>
      </c>
      <c r="AD12">
        <v>131198</v>
      </c>
      <c r="AE12">
        <v>3686</v>
      </c>
      <c r="AF12">
        <v>134884</v>
      </c>
      <c r="AG12">
        <v>119753</v>
      </c>
      <c r="AH12">
        <v>2844</v>
      </c>
      <c r="AI12">
        <v>122597</v>
      </c>
      <c r="AJ12">
        <v>105273</v>
      </c>
      <c r="AK12">
        <v>931</v>
      </c>
      <c r="AL12">
        <v>106204</v>
      </c>
      <c r="AM12">
        <v>91617</v>
      </c>
      <c r="AN12">
        <v>2732</v>
      </c>
      <c r="AO12">
        <v>94349</v>
      </c>
      <c r="AP12">
        <v>68254</v>
      </c>
      <c r="AQ12">
        <v>1812</v>
      </c>
      <c r="AR12">
        <v>70066</v>
      </c>
      <c r="AS12">
        <v>692997</v>
      </c>
      <c r="AT12">
        <v>16165</v>
      </c>
      <c r="AU12">
        <v>709162</v>
      </c>
      <c r="AV12" s="30"/>
      <c r="AW12" s="17" t="s">
        <v>7</v>
      </c>
      <c r="AX12" s="30">
        <f t="shared" si="1"/>
        <v>100202.28571428571</v>
      </c>
      <c r="AY12" s="30">
        <f t="shared" si="2"/>
        <v>14934.857142857143</v>
      </c>
      <c r="AZ12" s="30">
        <f t="shared" si="3"/>
        <v>18942.857142857141</v>
      </c>
      <c r="BA12" s="30">
        <f t="shared" si="4"/>
        <v>18942.857142857141</v>
      </c>
      <c r="BB12" s="30">
        <f t="shared" si="5"/>
        <v>13312.428571428571</v>
      </c>
      <c r="BC12" s="30">
        <f t="shared" si="6"/>
        <v>9844.5714285714294</v>
      </c>
      <c r="BD12" s="30">
        <f t="shared" si="7"/>
        <v>10521.857142857143</v>
      </c>
      <c r="BE12" s="30">
        <f t="shared" si="8"/>
        <v>15163.142857142857</v>
      </c>
      <c r="BG12" s="87">
        <v>45626</v>
      </c>
      <c r="BH12">
        <v>98829</v>
      </c>
      <c r="BI12">
        <v>2570</v>
      </c>
      <c r="BJ12">
        <v>101399</v>
      </c>
    </row>
    <row r="13" spans="2:67" x14ac:dyDescent="0.35">
      <c r="B13" s="16">
        <v>8</v>
      </c>
      <c r="C13">
        <v>699275</v>
      </c>
      <c r="D13">
        <v>23530</v>
      </c>
      <c r="E13">
        <v>723292</v>
      </c>
      <c r="F13" s="30"/>
      <c r="G13" s="30">
        <f t="shared" si="9"/>
        <v>796205.42857142852</v>
      </c>
      <c r="H13" s="30">
        <f t="shared" si="11"/>
        <v>24071.428571428572</v>
      </c>
      <c r="I13" s="30">
        <f t="shared" si="10"/>
        <v>820346.42857142852</v>
      </c>
      <c r="J13" s="30"/>
      <c r="K13" s="30"/>
      <c r="L13" s="87">
        <v>45628</v>
      </c>
      <c r="M13">
        <v>98939</v>
      </c>
      <c r="N13">
        <v>2996</v>
      </c>
      <c r="O13">
        <v>101935</v>
      </c>
      <c r="P13" s="30"/>
      <c r="Q13" s="30"/>
      <c r="R13" s="30"/>
      <c r="S13" s="30"/>
      <c r="V13" s="30"/>
      <c r="W13" s="16" t="s">
        <v>6</v>
      </c>
      <c r="X13">
        <v>73623</v>
      </c>
      <c r="Y13">
        <v>3275</v>
      </c>
      <c r="Z13">
        <v>76898</v>
      </c>
      <c r="AA13">
        <v>101681</v>
      </c>
      <c r="AB13">
        <v>2636</v>
      </c>
      <c r="AC13">
        <v>104317</v>
      </c>
      <c r="AD13">
        <v>131959</v>
      </c>
      <c r="AE13">
        <v>4474</v>
      </c>
      <c r="AF13">
        <v>136433</v>
      </c>
      <c r="AG13">
        <v>120815</v>
      </c>
      <c r="AH13">
        <v>3817</v>
      </c>
      <c r="AI13">
        <v>124632</v>
      </c>
      <c r="AJ13">
        <v>105683</v>
      </c>
      <c r="AK13">
        <v>1563</v>
      </c>
      <c r="AL13">
        <v>107246</v>
      </c>
      <c r="AM13">
        <v>92281</v>
      </c>
      <c r="AN13">
        <v>4135</v>
      </c>
      <c r="AO13">
        <v>96416</v>
      </c>
      <c r="AP13">
        <v>68782</v>
      </c>
      <c r="AQ13">
        <v>3097</v>
      </c>
      <c r="AR13">
        <v>71879</v>
      </c>
      <c r="AS13">
        <v>694824</v>
      </c>
      <c r="AT13">
        <v>22997</v>
      </c>
      <c r="AU13">
        <v>717821</v>
      </c>
      <c r="AV13" s="30"/>
      <c r="AW13" s="17" t="s">
        <v>8</v>
      </c>
      <c r="AX13" s="30">
        <f t="shared" si="1"/>
        <v>99896.428571428565</v>
      </c>
      <c r="AY13" s="30">
        <f t="shared" si="2"/>
        <v>14697.857142857143</v>
      </c>
      <c r="AZ13" s="30">
        <f t="shared" si="3"/>
        <v>18955.428571428572</v>
      </c>
      <c r="BA13" s="30">
        <f t="shared" si="4"/>
        <v>18955.428571428572</v>
      </c>
      <c r="BB13" s="30">
        <f t="shared" si="5"/>
        <v>13302.714285714286</v>
      </c>
      <c r="BC13" s="30">
        <f t="shared" si="6"/>
        <v>9771.2857142857138</v>
      </c>
      <c r="BD13" s="30">
        <f t="shared" si="7"/>
        <v>10563.714285714286</v>
      </c>
      <c r="BE13" s="30">
        <f t="shared" si="8"/>
        <v>15159.857142857143</v>
      </c>
      <c r="BG13" s="87">
        <v>45627</v>
      </c>
      <c r="BH13">
        <v>97972</v>
      </c>
      <c r="BI13">
        <v>2595</v>
      </c>
      <c r="BJ13">
        <v>100567</v>
      </c>
    </row>
    <row r="14" spans="2:67" x14ac:dyDescent="0.35">
      <c r="B14" s="16" t="s">
        <v>139</v>
      </c>
      <c r="C14">
        <v>5573438</v>
      </c>
      <c r="D14">
        <v>168500</v>
      </c>
      <c r="E14">
        <v>5742425</v>
      </c>
      <c r="F14" s="30"/>
      <c r="G14" s="30">
        <f t="shared" si="9"/>
        <v>0</v>
      </c>
      <c r="H14" s="30">
        <f t="shared" si="11"/>
        <v>0</v>
      </c>
      <c r="I14" s="30">
        <f t="shared" si="10"/>
        <v>0</v>
      </c>
      <c r="J14" s="30"/>
      <c r="K14" s="30"/>
      <c r="L14" s="87">
        <v>45629</v>
      </c>
      <c r="M14">
        <v>99104</v>
      </c>
      <c r="N14">
        <v>3180</v>
      </c>
      <c r="O14">
        <v>102284</v>
      </c>
      <c r="P14" s="30"/>
      <c r="Q14" s="30"/>
      <c r="R14" s="30"/>
      <c r="S14" s="30"/>
      <c r="V14" s="30"/>
      <c r="W14" s="16" t="s">
        <v>7</v>
      </c>
      <c r="X14">
        <v>73653</v>
      </c>
      <c r="Y14">
        <v>3336</v>
      </c>
      <c r="Z14">
        <v>76989</v>
      </c>
      <c r="AA14">
        <v>104544</v>
      </c>
      <c r="AB14">
        <v>2965</v>
      </c>
      <c r="AC14">
        <v>107509</v>
      </c>
      <c r="AD14">
        <v>132600</v>
      </c>
      <c r="AE14">
        <v>4923</v>
      </c>
      <c r="AF14">
        <v>137523</v>
      </c>
      <c r="AG14">
        <v>122378</v>
      </c>
      <c r="AH14">
        <v>4344</v>
      </c>
      <c r="AI14">
        <v>126722</v>
      </c>
      <c r="AJ14">
        <v>106142</v>
      </c>
      <c r="AK14">
        <v>1875</v>
      </c>
      <c r="AL14">
        <v>108017</v>
      </c>
      <c r="AM14">
        <v>93187</v>
      </c>
      <c r="AN14">
        <v>5000</v>
      </c>
      <c r="AO14">
        <v>98187</v>
      </c>
      <c r="AP14">
        <v>68912</v>
      </c>
      <c r="AQ14">
        <v>3070</v>
      </c>
      <c r="AR14">
        <v>71982</v>
      </c>
      <c r="AS14">
        <v>701416</v>
      </c>
      <c r="AT14">
        <v>25513</v>
      </c>
      <c r="AU14">
        <v>726929</v>
      </c>
      <c r="AV14" s="30"/>
      <c r="AW14" s="17" t="s">
        <v>9</v>
      </c>
      <c r="AX14" s="30" t="e">
        <f t="shared" si="1"/>
        <v>#N/A</v>
      </c>
      <c r="AY14" s="30" t="e">
        <f>(VLOOKUP(AW14,$W$8:$AU$1048576,5,FALSE))/7</f>
        <v>#N/A</v>
      </c>
      <c r="AZ14" s="30" t="e">
        <f t="shared" si="3"/>
        <v>#N/A</v>
      </c>
      <c r="BA14" s="30" t="e">
        <f t="shared" si="4"/>
        <v>#N/A</v>
      </c>
      <c r="BB14" s="30" t="e">
        <f t="shared" si="5"/>
        <v>#N/A</v>
      </c>
      <c r="BC14" s="30" t="e">
        <f t="shared" si="6"/>
        <v>#N/A</v>
      </c>
      <c r="BD14" s="30" t="e">
        <f t="shared" si="7"/>
        <v>#N/A</v>
      </c>
      <c r="BE14" s="30" t="e">
        <f t="shared" si="8"/>
        <v>#N/A</v>
      </c>
      <c r="BG14" s="87">
        <v>45628</v>
      </c>
      <c r="BH14">
        <v>98939</v>
      </c>
      <c r="BI14">
        <v>2996</v>
      </c>
      <c r="BJ14">
        <v>101935</v>
      </c>
    </row>
    <row r="15" spans="2:67" x14ac:dyDescent="0.35">
      <c r="F15" s="30"/>
      <c r="G15" s="30">
        <f t="shared" si="9"/>
        <v>0</v>
      </c>
      <c r="H15" s="30">
        <f t="shared" si="11"/>
        <v>0</v>
      </c>
      <c r="I15" s="30">
        <f t="shared" si="10"/>
        <v>0</v>
      </c>
      <c r="J15" s="30"/>
      <c r="K15" s="30"/>
      <c r="L15" s="87">
        <v>45630</v>
      </c>
      <c r="M15">
        <v>99227</v>
      </c>
      <c r="N15">
        <v>3066</v>
      </c>
      <c r="O15">
        <v>102293</v>
      </c>
      <c r="P15" s="30"/>
      <c r="Q15" s="30"/>
      <c r="R15" s="30"/>
      <c r="S15" s="30"/>
      <c r="V15" s="30"/>
      <c r="W15" s="16" t="s">
        <v>8</v>
      </c>
      <c r="X15">
        <v>73946</v>
      </c>
      <c r="Y15">
        <v>2806</v>
      </c>
      <c r="Z15">
        <v>76732</v>
      </c>
      <c r="AA15">
        <v>102885</v>
      </c>
      <c r="AB15">
        <v>2914</v>
      </c>
      <c r="AC15">
        <v>106440</v>
      </c>
      <c r="AD15">
        <v>132688</v>
      </c>
      <c r="AE15">
        <v>4394</v>
      </c>
      <c r="AF15">
        <v>137050</v>
      </c>
      <c r="AG15">
        <v>122119</v>
      </c>
      <c r="AH15">
        <v>4209</v>
      </c>
      <c r="AI15">
        <v>126341</v>
      </c>
      <c r="AJ15">
        <v>106119</v>
      </c>
      <c r="AK15">
        <v>1770</v>
      </c>
      <c r="AL15">
        <v>107886</v>
      </c>
      <c r="AM15">
        <v>93119</v>
      </c>
      <c r="AN15">
        <v>4692</v>
      </c>
      <c r="AO15">
        <v>97727</v>
      </c>
      <c r="AP15">
        <v>68399</v>
      </c>
      <c r="AQ15">
        <v>2745</v>
      </c>
      <c r="AR15">
        <v>71116</v>
      </c>
      <c r="AS15">
        <v>699275</v>
      </c>
      <c r="AT15">
        <v>23530</v>
      </c>
      <c r="AU15">
        <v>723292</v>
      </c>
      <c r="AV15" s="30"/>
      <c r="AW15" s="17" t="s">
        <v>10</v>
      </c>
      <c r="AX15" s="30" t="e">
        <f t="shared" si="1"/>
        <v>#N/A</v>
      </c>
      <c r="AY15" s="30" t="e">
        <f t="shared" si="2"/>
        <v>#N/A</v>
      </c>
      <c r="AZ15" s="30" t="e">
        <f t="shared" si="3"/>
        <v>#N/A</v>
      </c>
      <c r="BA15" s="30" t="e">
        <f t="shared" si="4"/>
        <v>#N/A</v>
      </c>
      <c r="BB15" s="30" t="e">
        <f t="shared" si="5"/>
        <v>#N/A</v>
      </c>
      <c r="BC15" s="30" t="e">
        <f t="shared" si="6"/>
        <v>#N/A</v>
      </c>
      <c r="BD15" s="30" t="e">
        <f t="shared" si="7"/>
        <v>#N/A</v>
      </c>
      <c r="BE15" s="30" t="e">
        <f t="shared" si="8"/>
        <v>#N/A</v>
      </c>
      <c r="BG15" s="87">
        <v>45629</v>
      </c>
      <c r="BH15">
        <v>99104</v>
      </c>
      <c r="BI15">
        <v>3180</v>
      </c>
      <c r="BJ15">
        <v>102284</v>
      </c>
    </row>
    <row r="16" spans="2:67" x14ac:dyDescent="0.35">
      <c r="F16" s="30"/>
      <c r="G16" s="30">
        <f t="shared" si="9"/>
        <v>0</v>
      </c>
      <c r="H16" s="30">
        <f t="shared" si="11"/>
        <v>0</v>
      </c>
      <c r="I16" s="30">
        <f t="shared" si="10"/>
        <v>0</v>
      </c>
      <c r="J16" s="30"/>
      <c r="K16" s="30"/>
      <c r="L16" s="87">
        <v>45631</v>
      </c>
      <c r="M16">
        <v>99225</v>
      </c>
      <c r="N16">
        <v>3017</v>
      </c>
      <c r="O16">
        <v>102242</v>
      </c>
      <c r="P16" s="30"/>
      <c r="Q16" s="30"/>
      <c r="R16" s="30"/>
      <c r="S16" s="30"/>
      <c r="V16" s="30"/>
      <c r="W16" s="16" t="s">
        <v>139</v>
      </c>
      <c r="X16">
        <v>589638</v>
      </c>
      <c r="Y16">
        <v>23054</v>
      </c>
      <c r="Z16">
        <v>612672</v>
      </c>
      <c r="AA16">
        <v>827643</v>
      </c>
      <c r="AB16">
        <v>20137</v>
      </c>
      <c r="AC16">
        <v>848421</v>
      </c>
      <c r="AD16">
        <v>1055943</v>
      </c>
      <c r="AE16">
        <v>33377</v>
      </c>
      <c r="AF16">
        <v>1089288</v>
      </c>
      <c r="AG16">
        <v>969312</v>
      </c>
      <c r="AH16">
        <v>27954</v>
      </c>
      <c r="AI16">
        <v>997279</v>
      </c>
      <c r="AJ16">
        <v>841310</v>
      </c>
      <c r="AK16">
        <v>11422</v>
      </c>
      <c r="AL16">
        <v>852729</v>
      </c>
      <c r="AM16">
        <v>739975</v>
      </c>
      <c r="AN16">
        <v>31030</v>
      </c>
      <c r="AO16">
        <v>770921</v>
      </c>
      <c r="AP16">
        <v>549617</v>
      </c>
      <c r="AQ16">
        <v>21526</v>
      </c>
      <c r="AR16">
        <v>571115</v>
      </c>
      <c r="AS16">
        <v>5573438</v>
      </c>
      <c r="AT16">
        <v>168500</v>
      </c>
      <c r="AU16">
        <v>5742425</v>
      </c>
      <c r="AV16" s="30"/>
      <c r="AW16" s="17" t="s">
        <v>11</v>
      </c>
      <c r="AX16" s="30" t="e">
        <f t="shared" si="1"/>
        <v>#N/A</v>
      </c>
      <c r="AY16" s="30" t="e">
        <f t="shared" si="2"/>
        <v>#N/A</v>
      </c>
      <c r="AZ16" s="30" t="e">
        <f t="shared" si="3"/>
        <v>#N/A</v>
      </c>
      <c r="BA16" s="30" t="e">
        <f t="shared" si="4"/>
        <v>#N/A</v>
      </c>
      <c r="BB16" s="30" t="e">
        <f t="shared" si="5"/>
        <v>#N/A</v>
      </c>
      <c r="BC16" s="30" t="e">
        <f t="shared" si="6"/>
        <v>#N/A</v>
      </c>
      <c r="BD16" s="30" t="e">
        <f t="shared" si="7"/>
        <v>#N/A</v>
      </c>
      <c r="BE16" s="30" t="e">
        <f t="shared" si="8"/>
        <v>#N/A</v>
      </c>
      <c r="BG16" s="87">
        <v>45630</v>
      </c>
      <c r="BH16">
        <v>99227</v>
      </c>
      <c r="BI16">
        <v>3066</v>
      </c>
      <c r="BJ16">
        <v>102293</v>
      </c>
    </row>
    <row r="17" spans="6:62" x14ac:dyDescent="0.35">
      <c r="F17" s="30"/>
      <c r="G17" s="30">
        <f t="shared" si="9"/>
        <v>0</v>
      </c>
      <c r="H17" s="30">
        <f t="shared" si="11"/>
        <v>0</v>
      </c>
      <c r="I17" s="30">
        <f t="shared" si="10"/>
        <v>0</v>
      </c>
      <c r="J17" s="30"/>
      <c r="K17" s="30"/>
      <c r="L17" s="87">
        <v>45632</v>
      </c>
      <c r="M17">
        <v>99861</v>
      </c>
      <c r="N17">
        <v>2875</v>
      </c>
      <c r="O17">
        <v>102736</v>
      </c>
      <c r="P17" s="30"/>
      <c r="Q17" s="30"/>
      <c r="R17" s="30"/>
      <c r="S17" s="30"/>
      <c r="V17" s="30"/>
      <c r="AV17" s="30"/>
      <c r="AW17" s="17" t="s">
        <v>12</v>
      </c>
      <c r="AX17" s="30" t="e">
        <f t="shared" si="1"/>
        <v>#N/A</v>
      </c>
      <c r="AY17" s="30" t="e">
        <f t="shared" si="2"/>
        <v>#N/A</v>
      </c>
      <c r="AZ17" s="30" t="e">
        <f t="shared" si="3"/>
        <v>#N/A</v>
      </c>
      <c r="BA17" s="30" t="e">
        <f t="shared" si="4"/>
        <v>#N/A</v>
      </c>
      <c r="BB17" s="30" t="e">
        <f t="shared" si="5"/>
        <v>#N/A</v>
      </c>
      <c r="BC17" s="30" t="e">
        <f t="shared" si="6"/>
        <v>#N/A</v>
      </c>
      <c r="BD17" s="30" t="e">
        <f t="shared" si="7"/>
        <v>#N/A</v>
      </c>
      <c r="BE17" s="30" t="e">
        <f t="shared" si="8"/>
        <v>#N/A</v>
      </c>
      <c r="BG17" s="87">
        <v>45631</v>
      </c>
      <c r="BH17">
        <v>99225</v>
      </c>
      <c r="BI17">
        <v>3017</v>
      </c>
      <c r="BJ17">
        <v>102242</v>
      </c>
    </row>
    <row r="18" spans="6:62" x14ac:dyDescent="0.35">
      <c r="F18" s="30"/>
      <c r="G18" s="30">
        <f t="shared" si="9"/>
        <v>0</v>
      </c>
      <c r="H18" s="30">
        <f t="shared" si="11"/>
        <v>0</v>
      </c>
      <c r="I18" s="30">
        <f t="shared" si="10"/>
        <v>0</v>
      </c>
      <c r="J18" s="30"/>
      <c r="K18" s="30"/>
      <c r="L18" s="87">
        <v>45633</v>
      </c>
      <c r="M18">
        <v>99473</v>
      </c>
      <c r="N18">
        <v>2573</v>
      </c>
      <c r="O18">
        <v>102046</v>
      </c>
      <c r="P18" s="30"/>
      <c r="Q18" s="30"/>
      <c r="R18" s="30"/>
      <c r="S18" s="30"/>
      <c r="V18" s="30"/>
      <c r="AV18" s="30"/>
      <c r="AW18" s="17" t="s">
        <v>13</v>
      </c>
      <c r="AX18" s="30" t="e">
        <f t="shared" si="1"/>
        <v>#N/A</v>
      </c>
      <c r="AY18" s="30" t="e">
        <f t="shared" si="2"/>
        <v>#N/A</v>
      </c>
      <c r="AZ18" s="30" t="e">
        <f t="shared" si="3"/>
        <v>#N/A</v>
      </c>
      <c r="BA18" s="30" t="e">
        <f t="shared" si="4"/>
        <v>#N/A</v>
      </c>
      <c r="BB18" s="30" t="e">
        <f t="shared" si="5"/>
        <v>#N/A</v>
      </c>
      <c r="BC18" s="30" t="e">
        <f t="shared" si="6"/>
        <v>#N/A</v>
      </c>
      <c r="BD18" s="30" t="e">
        <f>(VLOOKUP(AW18,$W$8:$AU$1048576,2,FALSE))/7</f>
        <v>#N/A</v>
      </c>
      <c r="BE18" s="30" t="e">
        <f t="shared" si="8"/>
        <v>#N/A</v>
      </c>
      <c r="BG18" s="87">
        <v>45632</v>
      </c>
      <c r="BH18">
        <v>99861</v>
      </c>
      <c r="BI18">
        <v>2875</v>
      </c>
      <c r="BJ18">
        <v>102736</v>
      </c>
    </row>
    <row r="19" spans="6:62" x14ac:dyDescent="0.35">
      <c r="F19" s="30"/>
      <c r="G19" s="30">
        <f>C20/7</f>
        <v>0</v>
      </c>
      <c r="H19" s="30">
        <f>D20/7</f>
        <v>0</v>
      </c>
      <c r="I19" s="30">
        <f>E20/7</f>
        <v>0</v>
      </c>
      <c r="J19" s="30"/>
      <c r="K19" s="30"/>
      <c r="L19" s="87">
        <v>45634</v>
      </c>
      <c r="M19">
        <v>99074</v>
      </c>
      <c r="N19">
        <v>2646</v>
      </c>
      <c r="O19">
        <v>101720</v>
      </c>
      <c r="P19" s="30"/>
      <c r="Q19" s="30"/>
      <c r="R19" s="30"/>
      <c r="S19" s="30"/>
      <c r="V19" s="30"/>
      <c r="AV19" s="30"/>
      <c r="AW19" s="17" t="s">
        <v>14</v>
      </c>
      <c r="AX19" s="30" t="e">
        <f>(VLOOKUP(AW19,$W$8:$AU$1048576,23,FALSE))/7</f>
        <v>#N/A</v>
      </c>
      <c r="AY19" s="30" t="e">
        <f t="shared" si="2"/>
        <v>#N/A</v>
      </c>
      <c r="AZ19" s="30" t="e">
        <f t="shared" si="3"/>
        <v>#N/A</v>
      </c>
      <c r="BA19" s="30" t="e">
        <f t="shared" si="4"/>
        <v>#N/A</v>
      </c>
      <c r="BB19" s="30" t="e">
        <f t="shared" si="5"/>
        <v>#N/A</v>
      </c>
      <c r="BC19" s="30" t="e">
        <f t="shared" si="6"/>
        <v>#N/A</v>
      </c>
      <c r="BD19" s="30" t="e">
        <f>(VLOOKUP(AW19,$W$8:$AU$1048576,2,FALSE))/7</f>
        <v>#N/A</v>
      </c>
      <c r="BE19" s="30" t="e">
        <f t="shared" si="8"/>
        <v>#N/A</v>
      </c>
      <c r="BG19" s="87">
        <v>45633</v>
      </c>
      <c r="BH19">
        <v>99473</v>
      </c>
      <c r="BI19">
        <v>2573</v>
      </c>
      <c r="BJ19">
        <v>102046</v>
      </c>
    </row>
    <row r="20" spans="6:62" x14ac:dyDescent="0.35">
      <c r="F20" s="30"/>
      <c r="G20" s="30"/>
      <c r="H20" s="30"/>
      <c r="I20" s="30"/>
      <c r="J20" s="30"/>
      <c r="K20" s="30"/>
      <c r="L20" s="87">
        <v>45635</v>
      </c>
      <c r="M20">
        <v>99768</v>
      </c>
      <c r="N20">
        <v>2948</v>
      </c>
      <c r="O20">
        <v>102716</v>
      </c>
      <c r="P20" s="30"/>
      <c r="Q20" s="30"/>
      <c r="R20" s="30"/>
      <c r="S20" s="30"/>
      <c r="BG20" s="87">
        <v>45634</v>
      </c>
      <c r="BH20">
        <v>99074</v>
      </c>
      <c r="BI20">
        <v>2646</v>
      </c>
      <c r="BJ20">
        <v>101720</v>
      </c>
    </row>
    <row r="21" spans="6:62" x14ac:dyDescent="0.35">
      <c r="L21" s="87">
        <v>45636</v>
      </c>
      <c r="M21">
        <v>99949</v>
      </c>
      <c r="N21">
        <v>3080</v>
      </c>
      <c r="O21">
        <v>103029</v>
      </c>
      <c r="V21" s="8"/>
      <c r="AV21" s="8"/>
      <c r="AW21" s="8"/>
      <c r="AX21" s="8"/>
      <c r="AY21" s="8"/>
      <c r="AZ21" s="8"/>
      <c r="BA21" s="8"/>
      <c r="BB21" s="8"/>
      <c r="BC21" s="8"/>
      <c r="BD21" s="8"/>
      <c r="BE21" s="8"/>
      <c r="BG21" s="87">
        <v>45635</v>
      </c>
      <c r="BH21">
        <v>99768</v>
      </c>
      <c r="BI21">
        <v>2948</v>
      </c>
      <c r="BJ21">
        <v>102716</v>
      </c>
    </row>
    <row r="22" spans="6:62" x14ac:dyDescent="0.35">
      <c r="L22" s="87">
        <v>45637</v>
      </c>
      <c r="M22">
        <v>99250</v>
      </c>
      <c r="N22">
        <v>3074</v>
      </c>
      <c r="O22">
        <v>102324</v>
      </c>
      <c r="V22" s="30"/>
      <c r="AV22" s="30"/>
      <c r="AW22" s="31" t="s">
        <v>150</v>
      </c>
      <c r="AX22" t="s">
        <v>132</v>
      </c>
      <c r="AY22" s="8" t="s">
        <v>21</v>
      </c>
      <c r="AZ22" s="8" t="s">
        <v>22</v>
      </c>
      <c r="BA22" s="8" t="s">
        <v>25</v>
      </c>
      <c r="BB22" s="8" t="s">
        <v>27</v>
      </c>
      <c r="BC22" s="8" t="s">
        <v>28</v>
      </c>
      <c r="BD22" s="36" t="s">
        <v>133</v>
      </c>
      <c r="BE22" s="8" t="s">
        <v>37</v>
      </c>
      <c r="BG22" s="87">
        <v>45636</v>
      </c>
      <c r="BH22">
        <v>99949</v>
      </c>
      <c r="BI22">
        <v>3080</v>
      </c>
      <c r="BJ22">
        <v>103029</v>
      </c>
    </row>
    <row r="23" spans="6:62" x14ac:dyDescent="0.35">
      <c r="L23" s="87">
        <v>45638</v>
      </c>
      <c r="M23">
        <v>99533</v>
      </c>
      <c r="N23">
        <v>3037</v>
      </c>
      <c r="O23">
        <v>102570</v>
      </c>
      <c r="V23" s="30"/>
      <c r="W23" s="30"/>
      <c r="X23" s="30"/>
      <c r="Y23" s="30"/>
      <c r="Z23" s="30"/>
      <c r="AA23" s="30"/>
      <c r="AB23" s="30"/>
      <c r="AC23" s="30"/>
      <c r="AD23" s="30"/>
      <c r="AE23" s="30"/>
      <c r="AF23" s="30"/>
      <c r="AG23" s="30"/>
      <c r="AH23" s="30"/>
      <c r="AI23" s="30"/>
      <c r="AJ23" s="30"/>
      <c r="AK23" s="30"/>
      <c r="AL23" s="30"/>
      <c r="AM23" s="30"/>
      <c r="AN23" s="30"/>
      <c r="AO23" s="30"/>
      <c r="AP23" s="30"/>
      <c r="AQ23" s="30"/>
      <c r="AR23" s="30"/>
      <c r="AS23" s="30"/>
      <c r="AT23" s="30"/>
      <c r="AU23" s="30"/>
      <c r="AV23" s="30"/>
      <c r="AW23" s="8" t="s">
        <v>1</v>
      </c>
      <c r="AX23" s="30">
        <f>(VLOOKUP(AW23,$W$8:$AU$1048576,24,FALSE))/7</f>
        <v>2852.8571428571427</v>
      </c>
      <c r="AY23" s="30">
        <f>(VLOOKUP(AW23,$W$8:$AU$1048576,6,FALSE))/7</f>
        <v>338.28571428571428</v>
      </c>
      <c r="AZ23" s="30">
        <f>(VLOOKUP(AW23,$W$8:$AU$1048576,9,FALSE))/7</f>
        <v>562.57142857142856</v>
      </c>
      <c r="BA23" s="30">
        <f>(VLOOKUP(AW23,$W$8:$AU$1048576,12,FALSE))/7</f>
        <v>441.14285714285717</v>
      </c>
      <c r="BB23" s="30">
        <f>(VLOOKUP(AW23,$W$8:$AU$1048576,18,FALSE))/7</f>
        <v>516</v>
      </c>
      <c r="BC23" s="30">
        <f>(VLOOKUP(AW23,$W$8:$AU$1048576,21,FALSE))/7</f>
        <v>403.14285714285717</v>
      </c>
      <c r="BD23" s="30">
        <f>(VLOOKUP(AW23,$W$8:$AU$1048576,3,FALSE))/7</f>
        <v>403.85714285714283</v>
      </c>
      <c r="BE23" s="30">
        <f>(VLOOKUP(AW23,$W$8:$AU$1048576,15,FALSE))/7</f>
        <v>187.85714285714286</v>
      </c>
      <c r="BG23" s="87">
        <v>45637</v>
      </c>
      <c r="BH23">
        <v>99250</v>
      </c>
      <c r="BI23">
        <v>3074</v>
      </c>
      <c r="BJ23">
        <v>102324</v>
      </c>
    </row>
    <row r="24" spans="6:62" x14ac:dyDescent="0.35">
      <c r="L24" s="87">
        <v>45639</v>
      </c>
      <c r="M24">
        <v>99856</v>
      </c>
      <c r="N24">
        <v>2913</v>
      </c>
      <c r="O24">
        <v>102769</v>
      </c>
      <c r="V24" s="30"/>
      <c r="W24" s="30"/>
      <c r="X24" s="30"/>
      <c r="Y24" s="30"/>
      <c r="Z24" s="30"/>
      <c r="AA24" s="30"/>
      <c r="AB24" s="30"/>
      <c r="AC24" s="30"/>
      <c r="AD24" s="30"/>
      <c r="AE24" s="30"/>
      <c r="AF24" s="30"/>
      <c r="AG24" s="30"/>
      <c r="AH24" s="30"/>
      <c r="AI24" s="30"/>
      <c r="AJ24" s="30"/>
      <c r="AK24" s="30"/>
      <c r="AL24" s="30"/>
      <c r="AM24" s="30"/>
      <c r="AN24" s="30"/>
      <c r="AO24" s="30"/>
      <c r="AP24" s="30"/>
      <c r="AQ24" s="30"/>
      <c r="AR24" s="30"/>
      <c r="AS24" s="30"/>
      <c r="AT24" s="30"/>
      <c r="AU24" s="30"/>
      <c r="AV24" s="30"/>
      <c r="AW24" s="17" t="s">
        <v>2</v>
      </c>
      <c r="AX24" s="30">
        <f t="shared" ref="AX24:AX36" si="12">(VLOOKUP(AW24,$W$8:$AU$1048576,24,FALSE))/7</f>
        <v>2907.5714285714284</v>
      </c>
      <c r="AY24" s="30">
        <f t="shared" ref="AY24:AY36" si="13">(VLOOKUP(AW24,$W$8:$AU$1048576,6,FALSE))/7</f>
        <v>337</v>
      </c>
      <c r="AZ24" s="30">
        <f t="shared" ref="AZ24:AZ36" si="14">(VLOOKUP(AW24,$W$8:$AU$1048576,9,FALSE))/7</f>
        <v>584</v>
      </c>
      <c r="BA24" s="30">
        <f t="shared" ref="BA24:BA36" si="15">(VLOOKUP(AW24,$W$8:$AU$1048576,12,FALSE))/7</f>
        <v>460.42857142857144</v>
      </c>
      <c r="BB24" s="30">
        <f t="shared" ref="BB24:BB36" si="16">(VLOOKUP(AW24,$W$8:$AU$1048576,18,FALSE))/7</f>
        <v>539.71428571428567</v>
      </c>
      <c r="BC24" s="30">
        <f t="shared" ref="BC24:BC36" si="17">(VLOOKUP(AW24,$W$8:$AU$1048576,21,FALSE))/7</f>
        <v>386.14285714285717</v>
      </c>
      <c r="BD24" s="30">
        <f t="shared" ref="BD24:BD36" si="18">(VLOOKUP(AW24,$W$8:$AU$1048576,3,FALSE))/7</f>
        <v>419.71428571428572</v>
      </c>
      <c r="BE24" s="30">
        <f t="shared" ref="BE24:BE36" si="19">(VLOOKUP(AW24,$W$8:$AU$1048576,15,FALSE))/7</f>
        <v>180.57142857142858</v>
      </c>
      <c r="BG24" s="87">
        <v>45638</v>
      </c>
      <c r="BH24">
        <v>99533</v>
      </c>
      <c r="BI24">
        <v>3037</v>
      </c>
      <c r="BJ24">
        <v>102570</v>
      </c>
    </row>
    <row r="25" spans="6:62" x14ac:dyDescent="0.35">
      <c r="L25" s="87">
        <v>45640</v>
      </c>
      <c r="M25">
        <v>99357</v>
      </c>
      <c r="N25">
        <v>2490</v>
      </c>
      <c r="O25">
        <v>101847</v>
      </c>
      <c r="V25" s="30"/>
      <c r="W25" s="30"/>
      <c r="X25" s="30"/>
      <c r="Y25" s="30"/>
      <c r="Z25" s="30"/>
      <c r="AA25" s="30"/>
      <c r="AB25" s="30"/>
      <c r="AC25" s="30"/>
      <c r="AD25" s="30"/>
      <c r="AE25" s="30"/>
      <c r="AF25" s="30"/>
      <c r="AG25" s="30"/>
      <c r="AH25" s="30"/>
      <c r="AI25" s="30"/>
      <c r="AJ25" s="30"/>
      <c r="AK25" s="30"/>
      <c r="AL25" s="30"/>
      <c r="AM25" s="30"/>
      <c r="AN25" s="30"/>
      <c r="AO25" s="30"/>
      <c r="AP25" s="30"/>
      <c r="AQ25" s="30"/>
      <c r="AR25" s="30"/>
      <c r="AS25" s="30"/>
      <c r="AT25" s="30"/>
      <c r="AU25" s="30"/>
      <c r="AV25" s="30"/>
      <c r="AW25" s="17" t="s">
        <v>3</v>
      </c>
      <c r="AX25" s="30">
        <f t="shared" si="12"/>
        <v>2876</v>
      </c>
      <c r="AY25" s="30">
        <f t="shared" si="13"/>
        <v>354.14285714285717</v>
      </c>
      <c r="AZ25" s="30">
        <f t="shared" si="14"/>
        <v>558.57142857142856</v>
      </c>
      <c r="BA25" s="30">
        <f t="shared" si="15"/>
        <v>445.57142857142856</v>
      </c>
      <c r="BB25" s="30">
        <f t="shared" si="16"/>
        <v>529</v>
      </c>
      <c r="BC25" s="30">
        <f t="shared" si="17"/>
        <v>379.57142857142856</v>
      </c>
      <c r="BD25" s="30">
        <f t="shared" si="18"/>
        <v>413.28571428571428</v>
      </c>
      <c r="BE25" s="30">
        <f t="shared" si="19"/>
        <v>195.85714285714286</v>
      </c>
      <c r="BG25" s="87">
        <v>45639</v>
      </c>
      <c r="BH25">
        <v>99856</v>
      </c>
      <c r="BI25">
        <v>2913</v>
      </c>
      <c r="BJ25">
        <v>102769</v>
      </c>
    </row>
    <row r="26" spans="6:62" x14ac:dyDescent="0.35">
      <c r="L26" s="87">
        <v>45641</v>
      </c>
      <c r="M26">
        <v>99403</v>
      </c>
      <c r="N26">
        <v>2590</v>
      </c>
      <c r="O26">
        <v>101993</v>
      </c>
      <c r="V26" s="30"/>
      <c r="W26" s="30"/>
      <c r="X26" s="30"/>
      <c r="Y26" s="30"/>
      <c r="Z26" s="30"/>
      <c r="AA26" s="30"/>
      <c r="AB26" s="30"/>
      <c r="AC26" s="30"/>
      <c r="AD26" s="30"/>
      <c r="AE26" s="30"/>
      <c r="AF26" s="30"/>
      <c r="AG26" s="30"/>
      <c r="AH26" s="30"/>
      <c r="AI26" s="30"/>
      <c r="AJ26" s="30"/>
      <c r="AK26" s="30"/>
      <c r="AL26" s="30"/>
      <c r="AM26" s="30"/>
      <c r="AN26" s="30"/>
      <c r="AO26" s="30"/>
      <c r="AP26" s="30"/>
      <c r="AQ26" s="30"/>
      <c r="AR26" s="30"/>
      <c r="AS26" s="30"/>
      <c r="AT26" s="30"/>
      <c r="AU26" s="30"/>
      <c r="AV26" s="30"/>
      <c r="AW26" s="17" t="s">
        <v>4</v>
      </c>
      <c r="AX26" s="30">
        <f t="shared" si="12"/>
        <v>2834.2857142857142</v>
      </c>
      <c r="AY26" s="30">
        <f t="shared" si="13"/>
        <v>357.14285714285717</v>
      </c>
      <c r="AZ26" s="30">
        <f t="shared" si="14"/>
        <v>566.28571428571433</v>
      </c>
      <c r="BA26" s="30">
        <f t="shared" si="15"/>
        <v>472.85714285714283</v>
      </c>
      <c r="BB26" s="30">
        <f t="shared" si="16"/>
        <v>482.57142857142856</v>
      </c>
      <c r="BC26" s="30">
        <f t="shared" si="17"/>
        <v>374.28571428571428</v>
      </c>
      <c r="BD26" s="30">
        <f t="shared" si="18"/>
        <v>390.71428571428572</v>
      </c>
      <c r="BE26" s="30">
        <f t="shared" si="19"/>
        <v>190.42857142857142</v>
      </c>
      <c r="BG26" s="87">
        <v>45640</v>
      </c>
      <c r="BH26">
        <v>99357</v>
      </c>
      <c r="BI26">
        <v>2490</v>
      </c>
      <c r="BJ26">
        <v>101847</v>
      </c>
    </row>
    <row r="27" spans="6:62" x14ac:dyDescent="0.35">
      <c r="L27" s="87">
        <v>45642</v>
      </c>
      <c r="M27">
        <v>99807</v>
      </c>
      <c r="N27">
        <v>3010</v>
      </c>
      <c r="O27">
        <v>102817</v>
      </c>
      <c r="V27" s="30"/>
      <c r="W27" s="30"/>
      <c r="X27" s="30"/>
      <c r="Y27" s="30"/>
      <c r="Z27" s="30"/>
      <c r="AA27" s="30"/>
      <c r="AB27" s="30"/>
      <c r="AC27" s="30"/>
      <c r="AD27" s="30"/>
      <c r="AE27" s="30"/>
      <c r="AF27" s="30"/>
      <c r="AG27" s="30"/>
      <c r="AH27" s="30"/>
      <c r="AI27" s="30"/>
      <c r="AJ27" s="30"/>
      <c r="AK27" s="30"/>
      <c r="AL27" s="30"/>
      <c r="AM27" s="30"/>
      <c r="AN27" s="30"/>
      <c r="AO27" s="30"/>
      <c r="AP27" s="30"/>
      <c r="AQ27" s="30"/>
      <c r="AR27" s="30"/>
      <c r="AS27" s="30"/>
      <c r="AT27" s="30"/>
      <c r="AU27" s="30"/>
      <c r="AV27" s="30"/>
      <c r="AW27" s="17" t="s">
        <v>5</v>
      </c>
      <c r="AX27" s="30">
        <f t="shared" si="12"/>
        <v>2309.2857142857142</v>
      </c>
      <c r="AY27" s="30">
        <f t="shared" si="13"/>
        <v>273.71428571428572</v>
      </c>
      <c r="AZ27" s="30">
        <f t="shared" si="14"/>
        <v>526.57142857142856</v>
      </c>
      <c r="BA27" s="30">
        <f t="shared" si="15"/>
        <v>406.28571428571428</v>
      </c>
      <c r="BB27" s="30">
        <f t="shared" si="16"/>
        <v>390.28571428571428</v>
      </c>
      <c r="BC27" s="30">
        <f t="shared" si="17"/>
        <v>258.85714285714283</v>
      </c>
      <c r="BD27" s="30">
        <f t="shared" si="18"/>
        <v>320.57142857142856</v>
      </c>
      <c r="BE27" s="30">
        <f t="shared" si="19"/>
        <v>133</v>
      </c>
      <c r="BG27" s="87">
        <v>45641</v>
      </c>
      <c r="BH27">
        <v>99403</v>
      </c>
      <c r="BI27">
        <v>2590</v>
      </c>
      <c r="BJ27">
        <v>101993</v>
      </c>
    </row>
    <row r="28" spans="6:62" x14ac:dyDescent="0.35">
      <c r="L28" s="87">
        <v>45643</v>
      </c>
      <c r="M28">
        <v>99204</v>
      </c>
      <c r="N28">
        <v>3121</v>
      </c>
      <c r="O28">
        <v>102325</v>
      </c>
      <c r="V28" s="30"/>
      <c r="W28" s="30"/>
      <c r="X28" s="30"/>
      <c r="Y28" s="30"/>
      <c r="Z28" s="30"/>
      <c r="AA28" s="30"/>
      <c r="AB28" s="30"/>
      <c r="AC28" s="30"/>
      <c r="AD28" s="30"/>
      <c r="AE28" s="30"/>
      <c r="AF28" s="30"/>
      <c r="AG28" s="30"/>
      <c r="AH28" s="30"/>
      <c r="AI28" s="30"/>
      <c r="AJ28" s="30"/>
      <c r="AK28" s="30"/>
      <c r="AL28" s="30"/>
      <c r="AM28" s="30"/>
      <c r="AN28" s="30"/>
      <c r="AO28" s="30"/>
      <c r="AP28" s="30"/>
      <c r="AQ28" s="30"/>
      <c r="AR28" s="30"/>
      <c r="AS28" s="30"/>
      <c r="AT28" s="30"/>
      <c r="AU28" s="30"/>
      <c r="AV28" s="30"/>
      <c r="AW28" s="17" t="s">
        <v>6</v>
      </c>
      <c r="AX28" s="30">
        <f t="shared" si="12"/>
        <v>3285.2857142857142</v>
      </c>
      <c r="AY28" s="30">
        <f t="shared" si="13"/>
        <v>376.57142857142856</v>
      </c>
      <c r="AZ28" s="30">
        <f t="shared" si="14"/>
        <v>639.14285714285711</v>
      </c>
      <c r="BA28" s="30">
        <f t="shared" si="15"/>
        <v>545.28571428571433</v>
      </c>
      <c r="BB28" s="30">
        <f t="shared" si="16"/>
        <v>590.71428571428567</v>
      </c>
      <c r="BC28" s="30">
        <f t="shared" si="17"/>
        <v>442.42857142857144</v>
      </c>
      <c r="BD28" s="30">
        <f t="shared" si="18"/>
        <v>467.85714285714283</v>
      </c>
      <c r="BE28" s="30">
        <f t="shared" si="19"/>
        <v>223.28571428571428</v>
      </c>
      <c r="BG28" s="87">
        <v>45642</v>
      </c>
      <c r="BH28">
        <v>99807</v>
      </c>
      <c r="BI28">
        <v>3010</v>
      </c>
      <c r="BJ28">
        <v>102817</v>
      </c>
    </row>
    <row r="29" spans="6:62" x14ac:dyDescent="0.35">
      <c r="L29" s="87">
        <v>45644</v>
      </c>
      <c r="M29">
        <v>99976</v>
      </c>
      <c r="N29">
        <v>3103</v>
      </c>
      <c r="O29">
        <v>103079</v>
      </c>
      <c r="V29" s="30"/>
      <c r="W29" s="30"/>
      <c r="X29" s="30"/>
      <c r="Y29" s="30"/>
      <c r="Z29" s="30"/>
      <c r="AA29" s="30"/>
      <c r="AB29" s="30"/>
      <c r="AC29" s="30"/>
      <c r="AD29" s="30"/>
      <c r="AE29" s="30"/>
      <c r="AF29" s="30"/>
      <c r="AG29" s="30"/>
      <c r="AH29" s="30"/>
      <c r="AI29" s="30"/>
      <c r="AJ29" s="30"/>
      <c r="AK29" s="30"/>
      <c r="AL29" s="30"/>
      <c r="AM29" s="30"/>
      <c r="AN29" s="30"/>
      <c r="AO29" s="30"/>
      <c r="AP29" s="30"/>
      <c r="AQ29" s="30"/>
      <c r="AR29" s="30"/>
      <c r="AS29" s="30"/>
      <c r="AT29" s="30"/>
      <c r="AU29" s="30"/>
      <c r="AV29" s="30"/>
      <c r="AW29" s="17" t="s">
        <v>7</v>
      </c>
      <c r="AX29" s="30">
        <f t="shared" si="12"/>
        <v>3644.7142857142858</v>
      </c>
      <c r="AY29" s="30">
        <f t="shared" si="13"/>
        <v>423.57142857142856</v>
      </c>
      <c r="AZ29" s="30">
        <f t="shared" si="14"/>
        <v>703.28571428571433</v>
      </c>
      <c r="BA29" s="30">
        <f t="shared" si="15"/>
        <v>620.57142857142856</v>
      </c>
      <c r="BB29" s="30">
        <f t="shared" si="16"/>
        <v>714.28571428571433</v>
      </c>
      <c r="BC29" s="30">
        <f t="shared" si="17"/>
        <v>438.57142857142856</v>
      </c>
      <c r="BD29" s="30">
        <f t="shared" si="18"/>
        <v>476.57142857142856</v>
      </c>
      <c r="BE29" s="30">
        <f t="shared" si="19"/>
        <v>267.85714285714283</v>
      </c>
      <c r="BG29" s="87">
        <v>45643</v>
      </c>
      <c r="BH29">
        <v>99204</v>
      </c>
      <c r="BI29">
        <v>3121</v>
      </c>
      <c r="BJ29">
        <v>102325</v>
      </c>
    </row>
    <row r="30" spans="6:62" x14ac:dyDescent="0.35">
      <c r="L30" s="87">
        <v>45645</v>
      </c>
      <c r="M30">
        <v>99885</v>
      </c>
      <c r="N30">
        <v>2940</v>
      </c>
      <c r="O30">
        <v>102825</v>
      </c>
      <c r="V30" s="30"/>
      <c r="W30" s="30"/>
      <c r="X30" s="30"/>
      <c r="Y30" s="30"/>
      <c r="Z30" s="30"/>
      <c r="AA30" s="30"/>
      <c r="AB30" s="30"/>
      <c r="AC30" s="30"/>
      <c r="AD30" s="30"/>
      <c r="AE30" s="30"/>
      <c r="AF30" s="30"/>
      <c r="AG30" s="30"/>
      <c r="AH30" s="30"/>
      <c r="AI30" s="30"/>
      <c r="AJ30" s="30"/>
      <c r="AK30" s="30"/>
      <c r="AL30" s="30"/>
      <c r="AM30" s="30"/>
      <c r="AN30" s="30"/>
      <c r="AO30" s="30"/>
      <c r="AP30" s="30"/>
      <c r="AQ30" s="30"/>
      <c r="AR30" s="30"/>
      <c r="AS30" s="30"/>
      <c r="AT30" s="30"/>
      <c r="AU30" s="30"/>
      <c r="AV30" s="30"/>
      <c r="AW30" s="17" t="s">
        <v>8</v>
      </c>
      <c r="AX30" s="30">
        <f t="shared" si="12"/>
        <v>3361.4285714285716</v>
      </c>
      <c r="AY30" s="30">
        <f t="shared" si="13"/>
        <v>416.28571428571428</v>
      </c>
      <c r="AZ30" s="30">
        <f t="shared" si="14"/>
        <v>627.71428571428567</v>
      </c>
      <c r="BA30" s="30">
        <f t="shared" si="15"/>
        <v>601.28571428571433</v>
      </c>
      <c r="BB30" s="30">
        <f t="shared" si="16"/>
        <v>670.28571428571433</v>
      </c>
      <c r="BC30" s="30">
        <f t="shared" si="17"/>
        <v>392.14285714285717</v>
      </c>
      <c r="BD30" s="30">
        <f t="shared" si="18"/>
        <v>400.85714285714283</v>
      </c>
      <c r="BE30" s="30">
        <f t="shared" si="19"/>
        <v>252.85714285714286</v>
      </c>
      <c r="BG30" s="87">
        <v>45644</v>
      </c>
      <c r="BH30">
        <v>99976</v>
      </c>
      <c r="BI30">
        <v>3103</v>
      </c>
      <c r="BJ30">
        <v>103079</v>
      </c>
    </row>
    <row r="31" spans="6:62" x14ac:dyDescent="0.35">
      <c r="L31" s="87">
        <v>45646</v>
      </c>
      <c r="M31">
        <v>99884</v>
      </c>
      <c r="N31">
        <v>2805</v>
      </c>
      <c r="O31">
        <v>102689</v>
      </c>
      <c r="V31" s="30"/>
      <c r="W31" s="30"/>
      <c r="X31" s="30"/>
      <c r="Y31" s="30"/>
      <c r="Z31" s="30"/>
      <c r="AA31" s="30"/>
      <c r="AB31" s="30"/>
      <c r="AC31" s="30"/>
      <c r="AD31" s="30"/>
      <c r="AE31" s="30"/>
      <c r="AF31" s="30"/>
      <c r="AG31" s="30"/>
      <c r="AH31" s="30"/>
      <c r="AI31" s="30"/>
      <c r="AJ31" s="30"/>
      <c r="AK31" s="30"/>
      <c r="AL31" s="30"/>
      <c r="AM31" s="30"/>
      <c r="AN31" s="30"/>
      <c r="AO31" s="30"/>
      <c r="AP31" s="30"/>
      <c r="AQ31" s="30"/>
      <c r="AR31" s="30"/>
      <c r="AS31" s="30"/>
      <c r="AT31" s="30"/>
      <c r="AU31" s="30"/>
      <c r="AV31" s="30"/>
      <c r="AW31" s="17" t="s">
        <v>9</v>
      </c>
      <c r="AX31" s="30" t="e">
        <f t="shared" si="12"/>
        <v>#N/A</v>
      </c>
      <c r="AY31" s="30" t="e">
        <f t="shared" si="13"/>
        <v>#N/A</v>
      </c>
      <c r="AZ31" s="30" t="e">
        <f t="shared" si="14"/>
        <v>#N/A</v>
      </c>
      <c r="BA31" s="30" t="e">
        <f t="shared" si="15"/>
        <v>#N/A</v>
      </c>
      <c r="BB31" s="30" t="e">
        <f t="shared" si="16"/>
        <v>#N/A</v>
      </c>
      <c r="BC31" s="30" t="e">
        <f t="shared" si="17"/>
        <v>#N/A</v>
      </c>
      <c r="BD31" s="30" t="e">
        <f t="shared" si="18"/>
        <v>#N/A</v>
      </c>
      <c r="BE31" s="30" t="e">
        <f t="shared" si="19"/>
        <v>#N/A</v>
      </c>
      <c r="BG31" s="87">
        <v>45645</v>
      </c>
      <c r="BH31">
        <v>99885</v>
      </c>
      <c r="BI31">
        <v>2940</v>
      </c>
      <c r="BJ31">
        <v>102825</v>
      </c>
    </row>
    <row r="32" spans="6:62" x14ac:dyDescent="0.35">
      <c r="L32" s="87">
        <v>45647</v>
      </c>
      <c r="M32">
        <v>100161</v>
      </c>
      <c r="N32">
        <v>2410</v>
      </c>
      <c r="O32">
        <v>102571</v>
      </c>
      <c r="V32" s="30"/>
      <c r="W32" s="30"/>
      <c r="X32" s="30"/>
      <c r="Y32" s="30"/>
      <c r="Z32" s="30"/>
      <c r="AA32" s="30"/>
      <c r="AB32" s="30"/>
      <c r="AC32" s="30"/>
      <c r="AD32" s="30"/>
      <c r="AE32" s="30"/>
      <c r="AF32" s="30"/>
      <c r="AG32" s="30"/>
      <c r="AH32" s="30"/>
      <c r="AI32" s="30"/>
      <c r="AJ32" s="30"/>
      <c r="AK32" s="30"/>
      <c r="AL32" s="30"/>
      <c r="AM32" s="30"/>
      <c r="AN32" s="30"/>
      <c r="AO32" s="30"/>
      <c r="AP32" s="30"/>
      <c r="AQ32" s="30"/>
      <c r="AR32" s="30"/>
      <c r="AS32" s="30"/>
      <c r="AT32" s="30"/>
      <c r="AU32" s="30"/>
      <c r="AV32" s="30"/>
      <c r="AW32" s="17" t="s">
        <v>10</v>
      </c>
      <c r="AX32" s="30" t="e">
        <f t="shared" si="12"/>
        <v>#N/A</v>
      </c>
      <c r="AY32" s="30" t="e">
        <f>(VLOOKUP(AW32,$W$8:$AU$1048576,6,FALSE))/7</f>
        <v>#N/A</v>
      </c>
      <c r="AZ32" s="30" t="e">
        <f t="shared" si="14"/>
        <v>#N/A</v>
      </c>
      <c r="BA32" s="30" t="e">
        <f t="shared" si="15"/>
        <v>#N/A</v>
      </c>
      <c r="BB32" s="30" t="e">
        <f t="shared" si="16"/>
        <v>#N/A</v>
      </c>
      <c r="BC32" s="30" t="e">
        <f t="shared" si="17"/>
        <v>#N/A</v>
      </c>
      <c r="BD32" s="30" t="e">
        <f t="shared" si="18"/>
        <v>#N/A</v>
      </c>
      <c r="BE32" s="30" t="e">
        <f t="shared" si="19"/>
        <v>#N/A</v>
      </c>
      <c r="BG32" s="87">
        <v>45646</v>
      </c>
      <c r="BH32">
        <v>99884</v>
      </c>
      <c r="BI32">
        <v>2805</v>
      </c>
      <c r="BJ32">
        <v>102689</v>
      </c>
    </row>
    <row r="33" spans="12:62" x14ac:dyDescent="0.35">
      <c r="L33" s="87">
        <v>45648</v>
      </c>
      <c r="M33">
        <v>99470</v>
      </c>
      <c r="N33">
        <v>2451</v>
      </c>
      <c r="O33">
        <v>101921</v>
      </c>
      <c r="V33" s="30"/>
      <c r="W33" s="30"/>
      <c r="X33" s="30"/>
      <c r="Y33" s="30"/>
      <c r="Z33" s="30"/>
      <c r="AA33" s="30"/>
      <c r="AB33" s="30"/>
      <c r="AC33" s="30"/>
      <c r="AD33" s="30"/>
      <c r="AE33" s="30"/>
      <c r="AF33" s="30"/>
      <c r="AG33" s="30"/>
      <c r="AH33" s="30"/>
      <c r="AI33" s="30"/>
      <c r="AJ33" s="30"/>
      <c r="AK33" s="30"/>
      <c r="AL33" s="30"/>
      <c r="AM33" s="30"/>
      <c r="AN33" s="30"/>
      <c r="AO33" s="30"/>
      <c r="AP33" s="30"/>
      <c r="AQ33" s="30"/>
      <c r="AR33" s="30"/>
      <c r="AS33" s="30"/>
      <c r="AT33" s="30"/>
      <c r="AU33" s="30"/>
      <c r="AV33" s="30"/>
      <c r="AW33" s="17" t="s">
        <v>11</v>
      </c>
      <c r="AX33" s="30" t="e">
        <f t="shared" si="12"/>
        <v>#N/A</v>
      </c>
      <c r="AY33" s="30" t="e">
        <f t="shared" si="13"/>
        <v>#N/A</v>
      </c>
      <c r="AZ33" s="30" t="e">
        <f t="shared" si="14"/>
        <v>#N/A</v>
      </c>
      <c r="BA33" s="30" t="e">
        <f t="shared" si="15"/>
        <v>#N/A</v>
      </c>
      <c r="BB33" s="30" t="e">
        <f>(VLOOKUP(AW33,$W$8:$AU$1048576,18,FALSE))/7</f>
        <v>#N/A</v>
      </c>
      <c r="BC33" s="30" t="e">
        <f t="shared" si="17"/>
        <v>#N/A</v>
      </c>
      <c r="BD33" s="30" t="e">
        <f t="shared" si="18"/>
        <v>#N/A</v>
      </c>
      <c r="BE33" s="30" t="e">
        <f t="shared" si="19"/>
        <v>#N/A</v>
      </c>
      <c r="BG33" s="87">
        <v>45647</v>
      </c>
      <c r="BH33">
        <v>100161</v>
      </c>
      <c r="BI33">
        <v>2410</v>
      </c>
      <c r="BJ33">
        <v>102571</v>
      </c>
    </row>
    <row r="34" spans="12:62" x14ac:dyDescent="0.35">
      <c r="L34" s="87">
        <v>45649</v>
      </c>
      <c r="M34">
        <v>99463</v>
      </c>
      <c r="N34">
        <v>2665</v>
      </c>
      <c r="O34">
        <v>102128</v>
      </c>
      <c r="V34" s="30"/>
      <c r="W34" s="30"/>
      <c r="X34" s="30"/>
      <c r="Y34" s="30"/>
      <c r="Z34" s="30"/>
      <c r="AA34" s="30"/>
      <c r="AB34" s="30"/>
      <c r="AC34" s="30"/>
      <c r="AD34" s="30"/>
      <c r="AE34" s="30"/>
      <c r="AF34" s="30"/>
      <c r="AG34" s="30"/>
      <c r="AH34" s="30"/>
      <c r="AI34" s="30"/>
      <c r="AJ34" s="30"/>
      <c r="AK34" s="30"/>
      <c r="AL34" s="30"/>
      <c r="AM34" s="30"/>
      <c r="AN34" s="30"/>
      <c r="AO34" s="30"/>
      <c r="AP34" s="30"/>
      <c r="AQ34" s="30"/>
      <c r="AR34" s="30"/>
      <c r="AS34" s="30"/>
      <c r="AT34" s="30"/>
      <c r="AU34" s="30"/>
      <c r="AV34" s="30"/>
      <c r="AW34" s="17" t="s">
        <v>12</v>
      </c>
      <c r="AX34" s="30" t="e">
        <f t="shared" si="12"/>
        <v>#N/A</v>
      </c>
      <c r="AY34" s="30" t="e">
        <f t="shared" si="13"/>
        <v>#N/A</v>
      </c>
      <c r="AZ34" s="30" t="e">
        <f t="shared" si="14"/>
        <v>#N/A</v>
      </c>
      <c r="BA34" s="30" t="e">
        <f t="shared" si="15"/>
        <v>#N/A</v>
      </c>
      <c r="BB34" s="30" t="e">
        <f t="shared" si="16"/>
        <v>#N/A</v>
      </c>
      <c r="BC34" s="30" t="e">
        <f t="shared" si="17"/>
        <v>#N/A</v>
      </c>
      <c r="BD34" s="30" t="e">
        <f t="shared" si="18"/>
        <v>#N/A</v>
      </c>
      <c r="BE34" s="30" t="e">
        <f t="shared" si="19"/>
        <v>#N/A</v>
      </c>
      <c r="BG34" s="87">
        <v>45648</v>
      </c>
      <c r="BH34">
        <v>99470</v>
      </c>
      <c r="BI34">
        <v>2451</v>
      </c>
      <c r="BJ34">
        <v>101921</v>
      </c>
    </row>
    <row r="35" spans="12:62" x14ac:dyDescent="0.35">
      <c r="L35" s="87">
        <v>45650</v>
      </c>
      <c r="M35">
        <v>99236</v>
      </c>
      <c r="N35">
        <v>2436</v>
      </c>
      <c r="O35">
        <v>101672</v>
      </c>
      <c r="V35" s="30"/>
      <c r="W35" s="30"/>
      <c r="X35" s="30"/>
      <c r="Y35" s="30"/>
      <c r="Z35" s="30"/>
      <c r="AA35" s="30"/>
      <c r="AB35" s="30"/>
      <c r="AC35" s="30"/>
      <c r="AD35" s="30"/>
      <c r="AE35" s="30"/>
      <c r="AF35" s="30"/>
      <c r="AG35" s="30"/>
      <c r="AH35" s="30"/>
      <c r="AI35" s="30"/>
      <c r="AJ35" s="30"/>
      <c r="AK35" s="30"/>
      <c r="AL35" s="30"/>
      <c r="AM35" s="30"/>
      <c r="AN35" s="30"/>
      <c r="AO35" s="30"/>
      <c r="AP35" s="30"/>
      <c r="AQ35" s="30"/>
      <c r="AR35" s="30"/>
      <c r="AS35" s="30"/>
      <c r="AT35" s="30"/>
      <c r="AU35" s="30"/>
      <c r="AV35" s="30"/>
      <c r="AW35" s="17" t="s">
        <v>13</v>
      </c>
      <c r="AX35" s="30" t="e">
        <f t="shared" si="12"/>
        <v>#N/A</v>
      </c>
      <c r="AY35" s="30" t="e">
        <f t="shared" si="13"/>
        <v>#N/A</v>
      </c>
      <c r="AZ35" s="30" t="e">
        <f t="shared" si="14"/>
        <v>#N/A</v>
      </c>
      <c r="BA35" s="30" t="e">
        <f t="shared" si="15"/>
        <v>#N/A</v>
      </c>
      <c r="BB35" s="30" t="e">
        <f t="shared" si="16"/>
        <v>#N/A</v>
      </c>
      <c r="BC35" s="30" t="e">
        <f t="shared" si="17"/>
        <v>#N/A</v>
      </c>
      <c r="BD35" s="30" t="e">
        <f t="shared" si="18"/>
        <v>#N/A</v>
      </c>
      <c r="BE35" s="30" t="e">
        <f t="shared" si="19"/>
        <v>#N/A</v>
      </c>
      <c r="BG35" s="87">
        <v>45649</v>
      </c>
      <c r="BH35">
        <v>99463</v>
      </c>
      <c r="BI35">
        <v>2665</v>
      </c>
      <c r="BJ35">
        <v>102128</v>
      </c>
    </row>
    <row r="36" spans="12:62" x14ac:dyDescent="0.35">
      <c r="L36" s="87">
        <v>45651</v>
      </c>
      <c r="M36">
        <v>98725</v>
      </c>
      <c r="N36">
        <v>1822</v>
      </c>
      <c r="O36">
        <v>100547</v>
      </c>
      <c r="AW36" s="17" t="s">
        <v>14</v>
      </c>
      <c r="AX36" s="30" t="e">
        <f t="shared" si="12"/>
        <v>#N/A</v>
      </c>
      <c r="AY36" s="30" t="e">
        <f t="shared" si="13"/>
        <v>#N/A</v>
      </c>
      <c r="AZ36" s="30" t="e">
        <f t="shared" si="14"/>
        <v>#N/A</v>
      </c>
      <c r="BA36" s="30" t="e">
        <f t="shared" si="15"/>
        <v>#N/A</v>
      </c>
      <c r="BB36" s="30" t="e">
        <f t="shared" si="16"/>
        <v>#N/A</v>
      </c>
      <c r="BC36" s="30" t="e">
        <f t="shared" si="17"/>
        <v>#N/A</v>
      </c>
      <c r="BD36" s="30" t="e">
        <f t="shared" si="18"/>
        <v>#N/A</v>
      </c>
      <c r="BE36" s="30" t="e">
        <f t="shared" si="19"/>
        <v>#N/A</v>
      </c>
      <c r="BG36" s="87">
        <v>45650</v>
      </c>
      <c r="BH36">
        <v>99236</v>
      </c>
      <c r="BI36">
        <v>2436</v>
      </c>
      <c r="BJ36">
        <v>101672</v>
      </c>
    </row>
    <row r="37" spans="12:62" x14ac:dyDescent="0.35">
      <c r="L37" s="87">
        <v>45652</v>
      </c>
      <c r="M37">
        <v>98731</v>
      </c>
      <c r="N37">
        <v>1864</v>
      </c>
      <c r="O37">
        <v>100595</v>
      </c>
      <c r="V37" s="8"/>
      <c r="W37" s="8"/>
      <c r="X37" s="8"/>
      <c r="Y37" s="8"/>
      <c r="Z37" s="8"/>
      <c r="AA37" s="8"/>
      <c r="AB37" s="8"/>
      <c r="AC37" s="8"/>
      <c r="AD37" s="8"/>
      <c r="AE37" s="8"/>
      <c r="AF37" s="8"/>
      <c r="AG37" s="8"/>
      <c r="AH37" s="8"/>
      <c r="AI37" s="8"/>
      <c r="AJ37" s="8"/>
      <c r="AK37" s="8"/>
      <c r="AL37" s="8"/>
      <c r="AM37" s="8"/>
      <c r="AN37" s="8"/>
      <c r="AO37" s="8"/>
      <c r="AP37" s="8"/>
      <c r="AQ37" s="8"/>
      <c r="AR37" s="8"/>
      <c r="AS37" s="8"/>
      <c r="AT37" s="8"/>
      <c r="AU37" s="8"/>
      <c r="AV37" s="8"/>
      <c r="BC37" s="8"/>
      <c r="BD37" s="8"/>
      <c r="BE37" s="8"/>
      <c r="BG37" s="87">
        <v>45651</v>
      </c>
      <c r="BH37">
        <v>98725</v>
      </c>
      <c r="BI37">
        <v>1822</v>
      </c>
      <c r="BJ37">
        <v>100547</v>
      </c>
    </row>
    <row r="38" spans="12:62" x14ac:dyDescent="0.35">
      <c r="L38" s="87">
        <v>45653</v>
      </c>
      <c r="M38">
        <v>98888</v>
      </c>
      <c r="N38">
        <v>2205</v>
      </c>
      <c r="O38">
        <v>101093</v>
      </c>
      <c r="V38" s="30"/>
      <c r="W38" s="30"/>
      <c r="X38" s="30"/>
      <c r="Y38" s="30"/>
      <c r="Z38" s="30"/>
      <c r="AA38" s="30"/>
      <c r="AB38" s="30"/>
      <c r="AC38" s="30"/>
      <c r="AD38" s="30"/>
      <c r="AE38" s="30"/>
      <c r="AF38" s="30"/>
      <c r="AG38" s="30"/>
      <c r="AH38" s="30"/>
      <c r="AI38" s="30"/>
      <c r="AJ38" s="30"/>
      <c r="AK38" s="30"/>
      <c r="AL38" s="30"/>
      <c r="AM38" s="30"/>
      <c r="AN38" s="30"/>
      <c r="AO38" s="30"/>
      <c r="AP38" s="30"/>
      <c r="AQ38" s="30"/>
      <c r="AR38" s="30"/>
      <c r="AS38" s="30"/>
      <c r="AT38" s="30"/>
      <c r="AU38" s="30"/>
      <c r="AV38" s="30"/>
      <c r="AW38" s="31" t="s">
        <v>151</v>
      </c>
      <c r="AX38" t="s">
        <v>132</v>
      </c>
      <c r="AY38" s="8" t="s">
        <v>21</v>
      </c>
      <c r="AZ38" s="8" t="s">
        <v>22</v>
      </c>
      <c r="BA38" s="8" t="s">
        <v>25</v>
      </c>
      <c r="BB38" s="8" t="s">
        <v>27</v>
      </c>
      <c r="BC38" s="8" t="s">
        <v>28</v>
      </c>
      <c r="BD38" s="36" t="s">
        <v>133</v>
      </c>
      <c r="BE38" s="30" t="s">
        <v>37</v>
      </c>
      <c r="BG38" s="87">
        <v>45652</v>
      </c>
      <c r="BH38">
        <v>98731</v>
      </c>
      <c r="BI38">
        <v>1864</v>
      </c>
      <c r="BJ38">
        <v>100595</v>
      </c>
    </row>
    <row r="39" spans="12:62" x14ac:dyDescent="0.35">
      <c r="L39" s="87">
        <v>45654</v>
      </c>
      <c r="M39">
        <v>99007</v>
      </c>
      <c r="N39">
        <v>2411</v>
      </c>
      <c r="O39">
        <v>101418</v>
      </c>
      <c r="V39" s="30"/>
      <c r="W39" s="30"/>
      <c r="X39" s="30"/>
      <c r="Y39" s="30"/>
      <c r="Z39" s="30"/>
      <c r="AA39" s="30"/>
      <c r="AB39" s="30"/>
      <c r="AC39" s="30"/>
      <c r="AD39" s="30"/>
      <c r="AE39" s="30"/>
      <c r="AF39" s="30"/>
      <c r="AG39" s="30"/>
      <c r="AH39" s="30"/>
      <c r="AI39" s="30"/>
      <c r="AJ39" s="30"/>
      <c r="AK39" s="30"/>
      <c r="AL39" s="30"/>
      <c r="AM39" s="30"/>
      <c r="AN39" s="30"/>
      <c r="AO39" s="30"/>
      <c r="AP39" s="30"/>
      <c r="AQ39" s="30"/>
      <c r="AR39" s="30"/>
      <c r="AS39" s="30"/>
      <c r="AT39" s="30"/>
      <c r="AU39" s="30"/>
      <c r="AV39" s="30"/>
      <c r="AW39" s="8" t="s">
        <v>1</v>
      </c>
      <c r="AX39" s="30">
        <f>(VLOOKUP(AW39,$W$8:$AU$1048576,25,FALSE))/7</f>
        <v>102070</v>
      </c>
      <c r="AY39" s="30">
        <f>(VLOOKUP(AW39,$W$8:$AU$1048576,7,FALSE))/7</f>
        <v>15130.142857142857</v>
      </c>
      <c r="AZ39" s="30">
        <f>(VLOOKUP(AW39,$W$8:$AU$1048576,10,FALSE))/7</f>
        <v>19284</v>
      </c>
      <c r="BA39" s="30">
        <f>(VLOOKUP(AW39,$W$8:$AU$1048576,13,FALSE))/7</f>
        <v>17751.714285714286</v>
      </c>
      <c r="BB39" s="30">
        <f>(VLOOKUP(AW39,$W$8:$AU$1048576,19,FALSE))/7</f>
        <v>13702.428571428571</v>
      </c>
      <c r="BC39" s="30">
        <f>(VLOOKUP(AW39,$W$8:$AU$1048576,22,FALSE))/7</f>
        <v>10225</v>
      </c>
      <c r="BD39" s="30">
        <f>(VLOOKUP(AW39,$W$8:$AU$1048576,4,FALSE))/7</f>
        <v>10972.428571428571</v>
      </c>
      <c r="BE39" s="30">
        <f>(VLOOKUP(AW39,$W$8:$AU$1048576,16,FALSE))/7</f>
        <v>15004.285714285714</v>
      </c>
      <c r="BG39" s="87">
        <v>45653</v>
      </c>
      <c r="BH39">
        <v>98888</v>
      </c>
      <c r="BI39">
        <v>2205</v>
      </c>
      <c r="BJ39">
        <v>101093</v>
      </c>
    </row>
    <row r="40" spans="12:62" x14ac:dyDescent="0.35">
      <c r="L40" s="87">
        <v>45655</v>
      </c>
      <c r="M40">
        <v>98947</v>
      </c>
      <c r="N40">
        <v>2762</v>
      </c>
      <c r="O40">
        <v>101709</v>
      </c>
      <c r="V40" s="30"/>
      <c r="W40" s="30"/>
      <c r="X40" s="30"/>
      <c r="Y40" s="30"/>
      <c r="Z40" s="30"/>
      <c r="AA40" s="30"/>
      <c r="AB40" s="30"/>
      <c r="AC40" s="30"/>
      <c r="AD40" s="30"/>
      <c r="AE40" s="30"/>
      <c r="AF40" s="30"/>
      <c r="AG40" s="30"/>
      <c r="AH40" s="30"/>
      <c r="AI40" s="30"/>
      <c r="AJ40" s="30"/>
      <c r="AK40" s="30"/>
      <c r="AL40" s="30"/>
      <c r="AM40" s="30"/>
      <c r="AN40" s="30"/>
      <c r="AO40" s="30"/>
      <c r="AP40" s="30"/>
      <c r="AQ40" s="30"/>
      <c r="AR40" s="30"/>
      <c r="AS40" s="30"/>
      <c r="AT40" s="30"/>
      <c r="AU40" s="30"/>
      <c r="AV40" s="30"/>
      <c r="AW40" s="17" t="s">
        <v>2</v>
      </c>
      <c r="AX40" s="30">
        <f t="shared" ref="AX40:AX52" si="20">(VLOOKUP(AW40,$W$8:$AU$1048576,25,FALSE))/7</f>
        <v>102179.42857142857</v>
      </c>
      <c r="AY40" s="30">
        <f t="shared" ref="AY40:AY52" si="21">(VLOOKUP(AW40,$W$8:$AU$1048576,7,FALSE))/7</f>
        <v>15160.571428571429</v>
      </c>
      <c r="AZ40" s="30">
        <f t="shared" ref="AZ40:AZ52" si="22">(VLOOKUP(AW40,$W$8:$AU$1048576,10,FALSE))/7</f>
        <v>19448.714285714286</v>
      </c>
      <c r="BA40" s="30">
        <f t="shared" ref="BA40:BA52" si="23">(VLOOKUP(AW40,$W$8:$AU$1048576,13,FALSE))/7</f>
        <v>17775.285714285714</v>
      </c>
      <c r="BB40" s="30">
        <f t="shared" ref="BB40:BB52" si="24">(VLOOKUP(AW40,$W$8:$AU$1048576,19,FALSE))/7</f>
        <v>13725.714285714286</v>
      </c>
      <c r="BC40" s="30">
        <f t="shared" ref="BC40:BC52" si="25">(VLOOKUP(AW40,$W$8:$AU$1048576,22,FALSE))/7</f>
        <v>10220.571428571429</v>
      </c>
      <c r="BD40" s="30">
        <f t="shared" ref="BD40:BD52" si="26">(VLOOKUP(AW40,$W$8:$AU$1048576,4,FALSE))/7</f>
        <v>10938.571428571429</v>
      </c>
      <c r="BE40" s="30">
        <f t="shared" ref="BE40:BE52" si="27">(VLOOKUP(AW40,$W$8:$AU$1048576,16,FALSE))/7</f>
        <v>14910</v>
      </c>
      <c r="BG40" s="87">
        <v>45654</v>
      </c>
      <c r="BH40">
        <v>99007</v>
      </c>
      <c r="BI40">
        <v>2411</v>
      </c>
      <c r="BJ40">
        <v>101418</v>
      </c>
    </row>
    <row r="41" spans="12:62" x14ac:dyDescent="0.35">
      <c r="L41" s="87">
        <v>45656</v>
      </c>
      <c r="M41">
        <v>98641</v>
      </c>
      <c r="N41">
        <v>3305</v>
      </c>
      <c r="O41">
        <v>101946</v>
      </c>
      <c r="V41" s="30"/>
      <c r="W41" s="30"/>
      <c r="X41" s="30"/>
      <c r="Y41" s="30"/>
      <c r="Z41" s="30"/>
      <c r="AA41" s="30"/>
      <c r="AB41" s="30"/>
      <c r="AC41" s="30"/>
      <c r="AD41" s="30"/>
      <c r="AE41" s="30"/>
      <c r="AF41" s="30"/>
      <c r="AG41" s="30"/>
      <c r="AH41" s="30"/>
      <c r="AI41" s="30"/>
      <c r="AJ41" s="30"/>
      <c r="AK41" s="30"/>
      <c r="AL41" s="30"/>
      <c r="AM41" s="30"/>
      <c r="AN41" s="30"/>
      <c r="AO41" s="30"/>
      <c r="AP41" s="30"/>
      <c r="AQ41" s="30"/>
      <c r="AR41" s="30"/>
      <c r="AS41" s="30"/>
      <c r="AT41" s="30"/>
      <c r="AU41" s="30"/>
      <c r="AV41" s="30"/>
      <c r="AW41" s="17" t="s">
        <v>3</v>
      </c>
      <c r="AX41" s="30">
        <f t="shared" si="20"/>
        <v>102464</v>
      </c>
      <c r="AY41" s="30">
        <f t="shared" si="21"/>
        <v>15157.285714285714</v>
      </c>
      <c r="AZ41" s="30">
        <f t="shared" si="22"/>
        <v>19448.571428571428</v>
      </c>
      <c r="BA41" s="30">
        <f t="shared" si="23"/>
        <v>17718.571428571428</v>
      </c>
      <c r="BB41" s="30">
        <f t="shared" si="24"/>
        <v>13745.285714285714</v>
      </c>
      <c r="BC41" s="30">
        <f t="shared" si="25"/>
        <v>10202.142857142857</v>
      </c>
      <c r="BD41" s="30">
        <f t="shared" si="26"/>
        <v>10944</v>
      </c>
      <c r="BE41" s="30">
        <f t="shared" si="27"/>
        <v>15248.142857142857</v>
      </c>
      <c r="BG41" s="87">
        <v>45655</v>
      </c>
      <c r="BH41">
        <v>98947</v>
      </c>
      <c r="BI41">
        <v>2762</v>
      </c>
      <c r="BJ41">
        <v>101709</v>
      </c>
    </row>
    <row r="42" spans="12:62" x14ac:dyDescent="0.35">
      <c r="L42" s="87">
        <v>45657</v>
      </c>
      <c r="M42">
        <v>99619</v>
      </c>
      <c r="N42">
        <v>3428</v>
      </c>
      <c r="O42">
        <v>103047</v>
      </c>
      <c r="V42" s="30"/>
      <c r="W42" s="30"/>
      <c r="X42" s="30"/>
      <c r="Y42" s="30"/>
      <c r="Z42" s="30"/>
      <c r="AA42" s="30"/>
      <c r="AB42" s="30"/>
      <c r="AC42" s="30"/>
      <c r="AD42" s="30"/>
      <c r="AE42" s="30"/>
      <c r="AF42" s="30"/>
      <c r="AG42" s="30"/>
      <c r="AH42" s="30"/>
      <c r="AI42" s="30"/>
      <c r="AJ42" s="30"/>
      <c r="AK42" s="30"/>
      <c r="AL42" s="30"/>
      <c r="AM42" s="30"/>
      <c r="AN42" s="30"/>
      <c r="AO42" s="30"/>
      <c r="AP42" s="30"/>
      <c r="AQ42" s="30"/>
      <c r="AR42" s="30"/>
      <c r="AS42" s="30"/>
      <c r="AT42" s="30"/>
      <c r="AU42" s="30"/>
      <c r="AV42" s="30"/>
      <c r="AW42" s="17" t="s">
        <v>4</v>
      </c>
      <c r="AX42" s="30">
        <f t="shared" si="20"/>
        <v>102603.85714285714</v>
      </c>
      <c r="AY42" s="30">
        <f t="shared" si="21"/>
        <v>15210.142857142857</v>
      </c>
      <c r="AZ42" s="30">
        <f t="shared" si="22"/>
        <v>19447</v>
      </c>
      <c r="BA42" s="30">
        <f t="shared" si="23"/>
        <v>17752.571428571428</v>
      </c>
      <c r="BB42" s="30">
        <f t="shared" si="24"/>
        <v>13718.285714285714</v>
      </c>
      <c r="BC42" s="30">
        <f t="shared" si="25"/>
        <v>10219.714285714286</v>
      </c>
      <c r="BD42" s="30">
        <f t="shared" si="26"/>
        <v>10936.285714285714</v>
      </c>
      <c r="BE42" s="30">
        <f t="shared" si="27"/>
        <v>15319.857142857143</v>
      </c>
      <c r="BG42" s="87">
        <v>45656</v>
      </c>
      <c r="BH42">
        <v>98641</v>
      </c>
      <c r="BI42">
        <v>3305</v>
      </c>
      <c r="BJ42">
        <v>101946</v>
      </c>
    </row>
    <row r="43" spans="12:62" x14ac:dyDescent="0.35">
      <c r="L43" s="87">
        <v>45658</v>
      </c>
      <c r="M43">
        <v>98810</v>
      </c>
      <c r="N43">
        <v>3091</v>
      </c>
      <c r="O43">
        <v>101901</v>
      </c>
      <c r="V43" s="30"/>
      <c r="W43" s="30"/>
      <c r="X43" s="30"/>
      <c r="Y43" s="30"/>
      <c r="Z43" s="30"/>
      <c r="AA43" s="30"/>
      <c r="AB43" s="30"/>
      <c r="AC43" s="30"/>
      <c r="AD43" s="30"/>
      <c r="AE43" s="30"/>
      <c r="AF43" s="30"/>
      <c r="AG43" s="30"/>
      <c r="AH43" s="30"/>
      <c r="AI43" s="30"/>
      <c r="AJ43" s="30"/>
      <c r="AK43" s="30"/>
      <c r="AL43" s="30"/>
      <c r="AM43" s="30"/>
      <c r="AN43" s="30"/>
      <c r="AO43" s="30"/>
      <c r="AP43" s="30"/>
      <c r="AQ43" s="30"/>
      <c r="AR43" s="30"/>
      <c r="AS43" s="30"/>
      <c r="AT43" s="30"/>
      <c r="AU43" s="30"/>
      <c r="AV43" s="30"/>
      <c r="AW43" s="17" t="s">
        <v>5</v>
      </c>
      <c r="AX43" s="30">
        <f t="shared" si="20"/>
        <v>101308.85714285714</v>
      </c>
      <c r="AY43" s="30">
        <f t="shared" si="21"/>
        <v>15078.285714285714</v>
      </c>
      <c r="AZ43" s="30">
        <f t="shared" si="22"/>
        <v>19269.142857142859</v>
      </c>
      <c r="BA43" s="30">
        <f t="shared" si="23"/>
        <v>17513.857142857141</v>
      </c>
      <c r="BB43" s="30">
        <f t="shared" si="24"/>
        <v>13478.428571428571</v>
      </c>
      <c r="BC43" s="30">
        <f t="shared" si="25"/>
        <v>10009.428571428571</v>
      </c>
      <c r="BD43" s="30">
        <f t="shared" si="26"/>
        <v>10787.714285714286</v>
      </c>
      <c r="BE43" s="30">
        <f t="shared" si="27"/>
        <v>15172</v>
      </c>
      <c r="BG43" s="87">
        <v>45657</v>
      </c>
      <c r="BH43">
        <v>99619</v>
      </c>
      <c r="BI43">
        <v>3428</v>
      </c>
      <c r="BJ43">
        <v>103047</v>
      </c>
    </row>
    <row r="44" spans="12:62" x14ac:dyDescent="0.35">
      <c r="L44" s="87">
        <v>45659</v>
      </c>
      <c r="M44">
        <v>99687</v>
      </c>
      <c r="N44">
        <v>3198</v>
      </c>
      <c r="O44">
        <v>102885</v>
      </c>
      <c r="V44" s="30"/>
      <c r="W44" s="30"/>
      <c r="X44" s="30"/>
      <c r="Y44" s="30"/>
      <c r="Z44" s="30"/>
      <c r="AA44" s="30"/>
      <c r="AB44" s="30"/>
      <c r="AC44" s="30"/>
      <c r="AD44" s="30"/>
      <c r="AE44" s="30"/>
      <c r="AF44" s="30"/>
      <c r="AG44" s="30"/>
      <c r="AH44" s="30"/>
      <c r="AI44" s="30"/>
      <c r="AJ44" s="30"/>
      <c r="AK44" s="30"/>
      <c r="AL44" s="30"/>
      <c r="AM44" s="30"/>
      <c r="AN44" s="30"/>
      <c r="AO44" s="30"/>
      <c r="AP44" s="30"/>
      <c r="AQ44" s="30"/>
      <c r="AR44" s="30"/>
      <c r="AS44" s="30"/>
      <c r="AT44" s="30"/>
      <c r="AU44" s="30"/>
      <c r="AV44" s="30"/>
      <c r="AW44" s="17" t="s">
        <v>6</v>
      </c>
      <c r="AX44" s="30">
        <f t="shared" si="20"/>
        <v>102545.85714285714</v>
      </c>
      <c r="AY44" s="30">
        <f t="shared" si="21"/>
        <v>14902.428571428571</v>
      </c>
      <c r="AZ44" s="30">
        <f t="shared" si="22"/>
        <v>19490.428571428572</v>
      </c>
      <c r="BA44" s="30">
        <f t="shared" si="23"/>
        <v>17804.571428571428</v>
      </c>
      <c r="BB44" s="30">
        <f t="shared" si="24"/>
        <v>13773.714285714286</v>
      </c>
      <c r="BC44" s="30">
        <f t="shared" si="25"/>
        <v>10268.428571428571</v>
      </c>
      <c r="BD44" s="30">
        <f t="shared" si="26"/>
        <v>10985.428571428571</v>
      </c>
      <c r="BE44" s="30">
        <f t="shared" si="27"/>
        <v>15320.857142857143</v>
      </c>
      <c r="BG44" s="87">
        <v>45658</v>
      </c>
      <c r="BH44">
        <v>98810</v>
      </c>
      <c r="BI44">
        <v>3091</v>
      </c>
      <c r="BJ44">
        <v>101901</v>
      </c>
    </row>
    <row r="45" spans="12:62" x14ac:dyDescent="0.35">
      <c r="L45" s="87">
        <v>45660</v>
      </c>
      <c r="M45">
        <v>99912</v>
      </c>
      <c r="N45">
        <v>3385</v>
      </c>
      <c r="O45">
        <v>103297</v>
      </c>
      <c r="V45" s="30"/>
      <c r="W45" s="30"/>
      <c r="X45" s="30"/>
      <c r="Y45" s="30"/>
      <c r="Z45" s="30"/>
      <c r="AA45" s="30"/>
      <c r="AB45" s="30"/>
      <c r="AC45" s="30"/>
      <c r="AD45" s="30"/>
      <c r="AE45" s="30"/>
      <c r="AF45" s="30"/>
      <c r="AG45" s="30"/>
      <c r="AH45" s="30"/>
      <c r="AI45" s="30"/>
      <c r="AJ45" s="30"/>
      <c r="AK45" s="30"/>
      <c r="AL45" s="30"/>
      <c r="AM45" s="30"/>
      <c r="AN45" s="30"/>
      <c r="AO45" s="30"/>
      <c r="AP45" s="30"/>
      <c r="AQ45" s="30"/>
      <c r="AR45" s="30"/>
      <c r="AS45" s="30"/>
      <c r="AT45" s="30"/>
      <c r="AU45" s="30"/>
      <c r="AV45" s="30"/>
      <c r="AW45" s="17" t="s">
        <v>7</v>
      </c>
      <c r="AX45" s="30">
        <f t="shared" si="20"/>
        <v>103847</v>
      </c>
      <c r="AY45" s="30">
        <f t="shared" si="21"/>
        <v>15358.428571428571</v>
      </c>
      <c r="AZ45" s="30">
        <f t="shared" si="22"/>
        <v>19646.142857142859</v>
      </c>
      <c r="BA45" s="30">
        <f t="shared" si="23"/>
        <v>18103.142857142859</v>
      </c>
      <c r="BB45" s="30">
        <f t="shared" si="24"/>
        <v>14026.714285714286</v>
      </c>
      <c r="BC45" s="30">
        <f t="shared" si="25"/>
        <v>10283.142857142857</v>
      </c>
      <c r="BD45" s="30">
        <f t="shared" si="26"/>
        <v>10998.428571428571</v>
      </c>
      <c r="BE45" s="30">
        <f t="shared" si="27"/>
        <v>15431</v>
      </c>
      <c r="BG45" s="87">
        <v>45659</v>
      </c>
      <c r="BH45">
        <v>99687</v>
      </c>
      <c r="BI45">
        <v>3198</v>
      </c>
      <c r="BJ45">
        <v>102885</v>
      </c>
    </row>
    <row r="46" spans="12:62" x14ac:dyDescent="0.35">
      <c r="L46" s="87">
        <v>45661</v>
      </c>
      <c r="M46">
        <v>99543</v>
      </c>
      <c r="N46">
        <v>3168</v>
      </c>
      <c r="O46">
        <v>102711</v>
      </c>
      <c r="V46" s="30"/>
      <c r="W46" s="30"/>
      <c r="X46" s="30"/>
      <c r="Y46" s="30"/>
      <c r="Z46" s="30"/>
      <c r="AA46" s="30"/>
      <c r="AB46" s="30"/>
      <c r="AC46" s="30"/>
      <c r="AD46" s="30"/>
      <c r="AE46" s="30"/>
      <c r="AF46" s="30"/>
      <c r="AG46" s="30"/>
      <c r="AH46" s="30"/>
      <c r="AI46" s="30"/>
      <c r="AJ46" s="30"/>
      <c r="AK46" s="30"/>
      <c r="AL46" s="30"/>
      <c r="AM46" s="30"/>
      <c r="AN46" s="30"/>
      <c r="AO46" s="30"/>
      <c r="AP46" s="30"/>
      <c r="AQ46" s="30"/>
      <c r="AR46" s="30"/>
      <c r="AS46" s="30"/>
      <c r="AT46" s="30"/>
      <c r="AU46" s="30"/>
      <c r="AV46" s="30"/>
      <c r="AW46" s="17" t="s">
        <v>8</v>
      </c>
      <c r="AX46" s="30">
        <f t="shared" si="20"/>
        <v>103327.42857142857</v>
      </c>
      <c r="AY46" s="30">
        <f t="shared" si="21"/>
        <v>15205.714285714286</v>
      </c>
      <c r="AZ46" s="30">
        <f t="shared" si="22"/>
        <v>19578.571428571428</v>
      </c>
      <c r="BA46" s="30">
        <f t="shared" si="23"/>
        <v>18048.714285714286</v>
      </c>
      <c r="BB46" s="30">
        <f t="shared" si="24"/>
        <v>13961</v>
      </c>
      <c r="BC46" s="30">
        <f t="shared" si="25"/>
        <v>10159.428571428571</v>
      </c>
      <c r="BD46" s="30">
        <f t="shared" si="26"/>
        <v>10961.714285714286</v>
      </c>
      <c r="BE46" s="30">
        <f t="shared" si="27"/>
        <v>15412.285714285714</v>
      </c>
      <c r="BG46" s="87">
        <v>45660</v>
      </c>
      <c r="BH46">
        <v>99912</v>
      </c>
      <c r="BI46">
        <v>3385</v>
      </c>
      <c r="BJ46">
        <v>103297</v>
      </c>
    </row>
    <row r="47" spans="12:62" x14ac:dyDescent="0.35">
      <c r="L47" s="87">
        <v>45662</v>
      </c>
      <c r="M47">
        <v>98612</v>
      </c>
      <c r="N47">
        <v>3422</v>
      </c>
      <c r="O47">
        <v>102034</v>
      </c>
      <c r="V47" s="30"/>
      <c r="W47" s="30"/>
      <c r="X47" s="30"/>
      <c r="Y47" s="30"/>
      <c r="Z47" s="30"/>
      <c r="AA47" s="30"/>
      <c r="AB47" s="30"/>
      <c r="AC47" s="30"/>
      <c r="AD47" s="30"/>
      <c r="AE47" s="30"/>
      <c r="AF47" s="30"/>
      <c r="AG47" s="30"/>
      <c r="AH47" s="30"/>
      <c r="AI47" s="30"/>
      <c r="AJ47" s="30"/>
      <c r="AK47" s="30"/>
      <c r="AL47" s="30"/>
      <c r="AM47" s="30"/>
      <c r="AN47" s="30"/>
      <c r="AO47" s="30"/>
      <c r="AP47" s="30"/>
      <c r="AQ47" s="30"/>
      <c r="AR47" s="30"/>
      <c r="AS47" s="30"/>
      <c r="AT47" s="30"/>
      <c r="AU47" s="30"/>
      <c r="AV47" s="30"/>
      <c r="AW47" s="17" t="s">
        <v>9</v>
      </c>
      <c r="AX47" s="30" t="e">
        <f t="shared" si="20"/>
        <v>#N/A</v>
      </c>
      <c r="AY47" s="30" t="e">
        <f t="shared" si="21"/>
        <v>#N/A</v>
      </c>
      <c r="AZ47" s="30" t="e">
        <f t="shared" si="22"/>
        <v>#N/A</v>
      </c>
      <c r="BA47" s="30" t="e">
        <f t="shared" si="23"/>
        <v>#N/A</v>
      </c>
      <c r="BB47" s="30" t="e">
        <f t="shared" si="24"/>
        <v>#N/A</v>
      </c>
      <c r="BC47" s="30" t="e">
        <f t="shared" si="25"/>
        <v>#N/A</v>
      </c>
      <c r="BD47" s="30" t="e">
        <f t="shared" si="26"/>
        <v>#N/A</v>
      </c>
      <c r="BE47" s="30" t="e">
        <f t="shared" si="27"/>
        <v>#N/A</v>
      </c>
      <c r="BG47" s="87">
        <v>45661</v>
      </c>
      <c r="BH47">
        <v>99543</v>
      </c>
      <c r="BI47">
        <v>3168</v>
      </c>
      <c r="BJ47">
        <v>102711</v>
      </c>
    </row>
    <row r="48" spans="12:62" x14ac:dyDescent="0.35">
      <c r="L48" s="87">
        <v>45663</v>
      </c>
      <c r="M48">
        <v>100161</v>
      </c>
      <c r="N48">
        <v>3869</v>
      </c>
      <c r="O48">
        <v>104030</v>
      </c>
      <c r="V48" s="30"/>
      <c r="W48" s="30"/>
      <c r="X48" s="30"/>
      <c r="Y48" s="30"/>
      <c r="Z48" s="30"/>
      <c r="AA48" s="30"/>
      <c r="AB48" s="30"/>
      <c r="AC48" s="30"/>
      <c r="AD48" s="30"/>
      <c r="AE48" s="30"/>
      <c r="AF48" s="30"/>
      <c r="AG48" s="30"/>
      <c r="AH48" s="30"/>
      <c r="AI48" s="30"/>
      <c r="AJ48" s="30"/>
      <c r="AK48" s="30"/>
      <c r="AL48" s="30"/>
      <c r="AM48" s="30"/>
      <c r="AN48" s="30"/>
      <c r="AO48" s="30"/>
      <c r="AP48" s="30"/>
      <c r="AQ48" s="30"/>
      <c r="AR48" s="30"/>
      <c r="AS48" s="30"/>
      <c r="AT48" s="30"/>
      <c r="AU48" s="30"/>
      <c r="AV48" s="30"/>
      <c r="AW48" s="17" t="s">
        <v>10</v>
      </c>
      <c r="AX48" s="30" t="e">
        <f t="shared" si="20"/>
        <v>#N/A</v>
      </c>
      <c r="AY48" s="30" t="e">
        <f t="shared" si="21"/>
        <v>#N/A</v>
      </c>
      <c r="AZ48" s="30" t="e">
        <f t="shared" si="22"/>
        <v>#N/A</v>
      </c>
      <c r="BA48" s="30" t="e">
        <f t="shared" si="23"/>
        <v>#N/A</v>
      </c>
      <c r="BB48" s="30" t="e">
        <f t="shared" si="24"/>
        <v>#N/A</v>
      </c>
      <c r="BC48" s="30" t="e">
        <f t="shared" si="25"/>
        <v>#N/A</v>
      </c>
      <c r="BD48" s="30" t="e">
        <f t="shared" si="26"/>
        <v>#N/A</v>
      </c>
      <c r="BE48" s="30" t="e">
        <f t="shared" si="27"/>
        <v>#N/A</v>
      </c>
      <c r="BG48" s="87">
        <v>45662</v>
      </c>
      <c r="BH48">
        <v>98612</v>
      </c>
      <c r="BI48">
        <v>3422</v>
      </c>
      <c r="BJ48">
        <v>102034</v>
      </c>
    </row>
    <row r="49" spans="12:62" x14ac:dyDescent="0.35">
      <c r="L49" s="87">
        <v>45664</v>
      </c>
      <c r="M49">
        <v>99718</v>
      </c>
      <c r="N49">
        <v>4031</v>
      </c>
      <c r="O49">
        <v>103749</v>
      </c>
      <c r="V49" s="30"/>
      <c r="W49" s="30"/>
      <c r="X49" s="30"/>
      <c r="Y49" s="30"/>
      <c r="Z49" s="30"/>
      <c r="AA49" s="30"/>
      <c r="AB49" s="30"/>
      <c r="AC49" s="30"/>
      <c r="AD49" s="30"/>
      <c r="AE49" s="30"/>
      <c r="AF49" s="30"/>
      <c r="AG49" s="30"/>
      <c r="AH49" s="30"/>
      <c r="AI49" s="30"/>
      <c r="AJ49" s="30"/>
      <c r="AK49" s="30"/>
      <c r="AL49" s="30"/>
      <c r="AM49" s="30"/>
      <c r="AN49" s="30"/>
      <c r="AO49" s="30"/>
      <c r="AP49" s="30"/>
      <c r="AQ49" s="30"/>
      <c r="AR49" s="30"/>
      <c r="AS49" s="30"/>
      <c r="AT49" s="30"/>
      <c r="AU49" s="30"/>
      <c r="AV49" s="30"/>
      <c r="AW49" s="17" t="s">
        <v>11</v>
      </c>
      <c r="AX49" s="30" t="e">
        <f t="shared" si="20"/>
        <v>#N/A</v>
      </c>
      <c r="AY49" s="30" t="e">
        <f t="shared" si="21"/>
        <v>#N/A</v>
      </c>
      <c r="AZ49" s="30" t="e">
        <f t="shared" si="22"/>
        <v>#N/A</v>
      </c>
      <c r="BA49" s="30" t="e">
        <f t="shared" si="23"/>
        <v>#N/A</v>
      </c>
      <c r="BB49" s="30" t="e">
        <f t="shared" si="24"/>
        <v>#N/A</v>
      </c>
      <c r="BC49" s="30" t="e">
        <f t="shared" si="25"/>
        <v>#N/A</v>
      </c>
      <c r="BD49" s="30" t="e">
        <f>(VLOOKUP(AW49,$W$8:$AU$1048576,4,FALSE))/7</f>
        <v>#N/A</v>
      </c>
      <c r="BE49" s="30" t="e">
        <f t="shared" si="27"/>
        <v>#N/A</v>
      </c>
      <c r="BG49" s="87">
        <v>45663</v>
      </c>
      <c r="BH49">
        <v>100161</v>
      </c>
      <c r="BI49">
        <v>3869</v>
      </c>
      <c r="BJ49">
        <v>104030</v>
      </c>
    </row>
    <row r="50" spans="12:62" x14ac:dyDescent="0.35">
      <c r="L50" s="87">
        <v>45665</v>
      </c>
      <c r="M50">
        <v>100573</v>
      </c>
      <c r="N50">
        <v>4018</v>
      </c>
      <c r="O50">
        <v>104591</v>
      </c>
      <c r="V50" s="30"/>
      <c r="W50" s="30"/>
      <c r="X50" s="30"/>
      <c r="Y50" s="30"/>
      <c r="Z50" s="30"/>
      <c r="AA50" s="30"/>
      <c r="AB50" s="30"/>
      <c r="AC50" s="30"/>
      <c r="AD50" s="30"/>
      <c r="AE50" s="30"/>
      <c r="AF50" s="30"/>
      <c r="AG50" s="30"/>
      <c r="AH50" s="30"/>
      <c r="AI50" s="30"/>
      <c r="AJ50" s="30"/>
      <c r="AK50" s="30"/>
      <c r="AL50" s="30"/>
      <c r="AM50" s="30"/>
      <c r="AN50" s="30"/>
      <c r="AO50" s="30"/>
      <c r="AP50" s="30"/>
      <c r="AQ50" s="30"/>
      <c r="AR50" s="30"/>
      <c r="AS50" s="30"/>
      <c r="AT50" s="30"/>
      <c r="AU50" s="30"/>
      <c r="AV50" s="30"/>
      <c r="AW50" s="17" t="s">
        <v>12</v>
      </c>
      <c r="AX50" s="30" t="e">
        <f t="shared" si="20"/>
        <v>#N/A</v>
      </c>
      <c r="AY50" s="30" t="e">
        <f t="shared" si="21"/>
        <v>#N/A</v>
      </c>
      <c r="AZ50" s="30" t="e">
        <f t="shared" si="22"/>
        <v>#N/A</v>
      </c>
      <c r="BA50" s="30" t="e">
        <f t="shared" si="23"/>
        <v>#N/A</v>
      </c>
      <c r="BB50" s="30" t="e">
        <f t="shared" si="24"/>
        <v>#N/A</v>
      </c>
      <c r="BC50" s="30" t="e">
        <f t="shared" si="25"/>
        <v>#N/A</v>
      </c>
      <c r="BD50" s="30" t="e">
        <f t="shared" si="26"/>
        <v>#N/A</v>
      </c>
      <c r="BE50" s="30" t="e">
        <f t="shared" si="27"/>
        <v>#N/A</v>
      </c>
      <c r="BG50" s="87">
        <v>45664</v>
      </c>
      <c r="BH50">
        <v>99718</v>
      </c>
      <c r="BI50">
        <v>4031</v>
      </c>
      <c r="BJ50">
        <v>103749</v>
      </c>
    </row>
    <row r="51" spans="12:62" x14ac:dyDescent="0.35">
      <c r="L51" s="87">
        <v>45666</v>
      </c>
      <c r="M51">
        <v>100536</v>
      </c>
      <c r="N51">
        <v>3731</v>
      </c>
      <c r="O51">
        <v>104267</v>
      </c>
      <c r="V51" s="30"/>
      <c r="W51" s="30"/>
      <c r="X51" s="30"/>
      <c r="Y51" s="30"/>
      <c r="Z51" s="30"/>
      <c r="AA51" s="30"/>
      <c r="AB51" s="30"/>
      <c r="AC51" s="30"/>
      <c r="AD51" s="30"/>
      <c r="AE51" s="30"/>
      <c r="AF51" s="30"/>
      <c r="AG51" s="30"/>
      <c r="AH51" s="30"/>
      <c r="AI51" s="30"/>
      <c r="AJ51" s="30"/>
      <c r="AK51" s="30"/>
      <c r="AL51" s="30"/>
      <c r="AM51" s="30"/>
      <c r="AN51" s="30"/>
      <c r="AO51" s="30"/>
      <c r="AP51" s="30"/>
      <c r="AQ51" s="30"/>
      <c r="AR51" s="30"/>
      <c r="AS51" s="30"/>
      <c r="AT51" s="30"/>
      <c r="AU51" s="30"/>
      <c r="AV51" s="30"/>
      <c r="AW51" s="17" t="s">
        <v>13</v>
      </c>
      <c r="AX51" s="30" t="e">
        <f>(VLOOKUP(AW51,$W$8:$AU$1048576,25,FALSE))/7</f>
        <v>#N/A</v>
      </c>
      <c r="AY51" s="30" t="e">
        <f t="shared" si="21"/>
        <v>#N/A</v>
      </c>
      <c r="AZ51" s="30" t="e">
        <f t="shared" si="22"/>
        <v>#N/A</v>
      </c>
      <c r="BA51" s="30" t="e">
        <f t="shared" si="23"/>
        <v>#N/A</v>
      </c>
      <c r="BB51" s="30" t="e">
        <f t="shared" si="24"/>
        <v>#N/A</v>
      </c>
      <c r="BC51" s="30" t="e">
        <f t="shared" si="25"/>
        <v>#N/A</v>
      </c>
      <c r="BD51" s="30" t="e">
        <f t="shared" si="26"/>
        <v>#N/A</v>
      </c>
      <c r="BE51" s="30" t="e">
        <f t="shared" si="27"/>
        <v>#N/A</v>
      </c>
      <c r="BG51" s="87">
        <v>45665</v>
      </c>
      <c r="BH51">
        <v>100573</v>
      </c>
      <c r="BI51">
        <v>4018</v>
      </c>
      <c r="BJ51">
        <v>104591</v>
      </c>
    </row>
    <row r="52" spans="12:62" x14ac:dyDescent="0.35">
      <c r="L52" s="87">
        <v>45667</v>
      </c>
      <c r="M52">
        <v>100402</v>
      </c>
      <c r="N52">
        <v>3525</v>
      </c>
      <c r="O52">
        <v>103927</v>
      </c>
      <c r="AW52" s="17" t="s">
        <v>14</v>
      </c>
      <c r="AX52" s="30" t="e">
        <f t="shared" si="20"/>
        <v>#N/A</v>
      </c>
      <c r="AY52" s="30" t="e">
        <f t="shared" si="21"/>
        <v>#N/A</v>
      </c>
      <c r="AZ52" s="30" t="e">
        <f t="shared" si="22"/>
        <v>#N/A</v>
      </c>
      <c r="BA52" s="30" t="e">
        <f t="shared" si="23"/>
        <v>#N/A</v>
      </c>
      <c r="BB52" s="30" t="e">
        <f t="shared" si="24"/>
        <v>#N/A</v>
      </c>
      <c r="BC52" s="30" t="e">
        <f t="shared" si="25"/>
        <v>#N/A</v>
      </c>
      <c r="BD52" s="30" t="e">
        <f t="shared" si="26"/>
        <v>#N/A</v>
      </c>
      <c r="BE52" s="30" t="e">
        <f t="shared" si="27"/>
        <v>#N/A</v>
      </c>
      <c r="BG52" s="87">
        <v>45666</v>
      </c>
      <c r="BH52">
        <v>100536</v>
      </c>
      <c r="BI52">
        <v>3731</v>
      </c>
      <c r="BJ52">
        <v>104267</v>
      </c>
    </row>
    <row r="53" spans="12:62" x14ac:dyDescent="0.35">
      <c r="L53" s="87">
        <v>45668</v>
      </c>
      <c r="M53">
        <v>100071</v>
      </c>
      <c r="N53">
        <v>3114</v>
      </c>
      <c r="O53">
        <v>103185</v>
      </c>
      <c r="BG53" s="87">
        <v>45667</v>
      </c>
      <c r="BH53">
        <v>100402</v>
      </c>
      <c r="BI53">
        <v>3525</v>
      </c>
      <c r="BJ53">
        <v>103927</v>
      </c>
    </row>
    <row r="54" spans="12:62" x14ac:dyDescent="0.35">
      <c r="L54" s="87">
        <v>45669</v>
      </c>
      <c r="M54">
        <v>99955</v>
      </c>
      <c r="N54">
        <v>3225</v>
      </c>
      <c r="O54">
        <v>103180</v>
      </c>
      <c r="BG54" s="87">
        <v>45668</v>
      </c>
      <c r="BH54">
        <v>100071</v>
      </c>
      <c r="BI54">
        <v>3114</v>
      </c>
      <c r="BJ54">
        <v>103185</v>
      </c>
    </row>
    <row r="55" spans="12:62" x14ac:dyDescent="0.35">
      <c r="L55" s="87">
        <v>45670</v>
      </c>
      <c r="M55">
        <v>99598</v>
      </c>
      <c r="N55">
        <v>3654</v>
      </c>
      <c r="O55">
        <v>103739</v>
      </c>
      <c r="BG55" s="87">
        <v>45669</v>
      </c>
      <c r="BH55">
        <v>99955</v>
      </c>
      <c r="BI55">
        <v>3225</v>
      </c>
      <c r="BJ55">
        <v>103180</v>
      </c>
    </row>
    <row r="56" spans="12:62" x14ac:dyDescent="0.35">
      <c r="L56" s="87">
        <v>45671</v>
      </c>
      <c r="M56">
        <v>99598</v>
      </c>
      <c r="N56">
        <v>3654</v>
      </c>
      <c r="O56">
        <v>103252</v>
      </c>
      <c r="BG56" s="87">
        <v>45670</v>
      </c>
      <c r="BH56">
        <v>99598</v>
      </c>
      <c r="BI56">
        <v>3654</v>
      </c>
      <c r="BJ56">
        <v>103739</v>
      </c>
    </row>
    <row r="57" spans="12:62" x14ac:dyDescent="0.35">
      <c r="L57" s="87">
        <v>45672</v>
      </c>
      <c r="M57">
        <v>100069</v>
      </c>
      <c r="N57">
        <v>3481</v>
      </c>
      <c r="O57">
        <v>103550</v>
      </c>
      <c r="BG57" s="87">
        <v>45671</v>
      </c>
      <c r="BH57">
        <v>99598</v>
      </c>
      <c r="BI57">
        <v>3654</v>
      </c>
      <c r="BJ57">
        <v>103252</v>
      </c>
    </row>
    <row r="58" spans="12:62" x14ac:dyDescent="0.35">
      <c r="L58" s="87">
        <v>45673</v>
      </c>
      <c r="M58">
        <v>99681</v>
      </c>
      <c r="N58">
        <v>3383</v>
      </c>
      <c r="O58">
        <v>103064</v>
      </c>
      <c r="BG58" s="87">
        <v>45672</v>
      </c>
      <c r="BH58">
        <v>100069</v>
      </c>
      <c r="BI58">
        <v>3481</v>
      </c>
      <c r="BJ58">
        <v>103550</v>
      </c>
    </row>
    <row r="59" spans="12:62" x14ac:dyDescent="0.35">
      <c r="L59" s="87">
        <v>45674</v>
      </c>
      <c r="M59">
        <v>100029</v>
      </c>
      <c r="N59">
        <v>3259</v>
      </c>
      <c r="O59">
        <v>103288</v>
      </c>
      <c r="BG59" s="87">
        <v>45673</v>
      </c>
      <c r="BH59">
        <v>99681</v>
      </c>
      <c r="BI59">
        <v>3383</v>
      </c>
      <c r="BJ59">
        <v>103064</v>
      </c>
    </row>
    <row r="60" spans="12:62" x14ac:dyDescent="0.35">
      <c r="L60" s="87">
        <v>45675</v>
      </c>
      <c r="M60">
        <v>100198</v>
      </c>
      <c r="N60">
        <v>3067</v>
      </c>
      <c r="O60">
        <v>103265</v>
      </c>
      <c r="BG60" s="87">
        <v>45674</v>
      </c>
      <c r="BH60">
        <v>100029</v>
      </c>
      <c r="BI60">
        <v>3259</v>
      </c>
      <c r="BJ60">
        <v>103288</v>
      </c>
    </row>
    <row r="61" spans="12:62" x14ac:dyDescent="0.35">
      <c r="L61" s="87">
        <v>45676</v>
      </c>
      <c r="M61">
        <v>100102</v>
      </c>
      <c r="N61">
        <v>3032</v>
      </c>
      <c r="O61">
        <v>103134</v>
      </c>
      <c r="BG61" s="87">
        <v>45675</v>
      </c>
      <c r="BH61">
        <v>100198</v>
      </c>
      <c r="BI61">
        <v>3067</v>
      </c>
      <c r="BJ61">
        <v>103265</v>
      </c>
    </row>
    <row r="62" spans="12:62" x14ac:dyDescent="0.35">
      <c r="BG62" s="87">
        <v>45676</v>
      </c>
      <c r="BH62">
        <v>100102</v>
      </c>
      <c r="BI62">
        <v>3032</v>
      </c>
      <c r="BJ62">
        <v>103134</v>
      </c>
    </row>
  </sheetData>
  <mergeCells count="4">
    <mergeCell ref="W1:BD1"/>
    <mergeCell ref="G3:I3"/>
    <mergeCell ref="B1:I1"/>
    <mergeCell ref="L1:T1"/>
  </mergeCells>
  <pageMargins left="0.7" right="0.7" top="0.75" bottom="0.75" header="0.3" footer="0.3"/>
  <pageSetup paperSize="9" orientation="portrait" r:id="rId5"/>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EL569"/>
  <sheetViews>
    <sheetView topLeftCell="Y64" zoomScale="70" zoomScaleNormal="70" workbookViewId="0">
      <selection activeCell="AL6" sqref="AL6"/>
    </sheetView>
  </sheetViews>
  <sheetFormatPr defaultRowHeight="14.5" x14ac:dyDescent="0.35"/>
  <cols>
    <col min="1" max="1" width="3.7265625" customWidth="1"/>
    <col min="2" max="2" width="13.1796875" bestFit="1" customWidth="1"/>
    <col min="3" max="3" width="10.453125" bestFit="1" customWidth="1"/>
    <col min="4" max="4" width="8.54296875" bestFit="1" customWidth="1"/>
    <col min="9" max="9" width="13.1796875" bestFit="1" customWidth="1"/>
    <col min="10" max="10" width="15.81640625" bestFit="1" customWidth="1"/>
    <col min="11" max="11" width="8.54296875" bestFit="1" customWidth="1"/>
    <col min="12" max="12" width="8.453125" bestFit="1" customWidth="1"/>
    <col min="13" max="15" width="8.54296875" bestFit="1" customWidth="1"/>
    <col min="16" max="16" width="22" bestFit="1" customWidth="1"/>
    <col min="17" max="17" width="8.54296875" bestFit="1" customWidth="1"/>
    <col min="18" max="18" width="10.54296875" bestFit="1" customWidth="1"/>
    <col min="19" max="19" width="8.54296875" bestFit="1" customWidth="1"/>
    <col min="20" max="20" width="9.7265625" bestFit="1" customWidth="1"/>
    <col min="21" max="21" width="8.54296875" bestFit="1" customWidth="1"/>
    <col min="22" max="22" width="10.54296875" bestFit="1" customWidth="1"/>
    <col min="23" max="23" width="8.54296875" bestFit="1" customWidth="1"/>
    <col min="24" max="24" width="13.1796875" bestFit="1" customWidth="1"/>
    <col min="25" max="25" width="13.453125" bestFit="1" customWidth="1"/>
    <col min="38" max="38" width="76.54296875" bestFit="1" customWidth="1"/>
    <col min="39" max="39" width="15.81640625" bestFit="1" customWidth="1"/>
    <col min="40" max="40" width="7.7265625" bestFit="1" customWidth="1"/>
    <col min="41" max="41" width="8.26953125" bestFit="1" customWidth="1"/>
    <col min="42" max="42" width="6.81640625" bestFit="1" customWidth="1"/>
    <col min="43" max="43" width="8.54296875" bestFit="1" customWidth="1"/>
    <col min="44" max="44" width="7.7265625" bestFit="1" customWidth="1"/>
    <col min="45" max="45" width="10.54296875" bestFit="1" customWidth="1"/>
    <col min="46" max="46" width="11.81640625" bestFit="1" customWidth="1"/>
    <col min="47" max="47" width="8.81640625" bestFit="1" customWidth="1"/>
    <col min="48" max="48" width="7.7265625" bestFit="1" customWidth="1"/>
    <col min="49" max="49" width="8.26953125" bestFit="1" customWidth="1"/>
    <col min="50" max="50" width="6.81640625" bestFit="1" customWidth="1"/>
    <col min="51" max="51" width="8.54296875" bestFit="1" customWidth="1"/>
    <col min="52" max="52" width="7.7265625" bestFit="1" customWidth="1"/>
    <col min="53" max="53" width="10.54296875" bestFit="1" customWidth="1"/>
    <col min="54" max="54" width="11.81640625" bestFit="1" customWidth="1"/>
    <col min="55" max="55" width="8.81640625" bestFit="1" customWidth="1"/>
    <col min="56" max="56" width="7.7265625" bestFit="1" customWidth="1"/>
    <col min="57" max="57" width="8.26953125" bestFit="1" customWidth="1"/>
    <col min="58" max="58" width="6.81640625" bestFit="1" customWidth="1"/>
    <col min="59" max="59" width="8.54296875" bestFit="1" customWidth="1"/>
    <col min="60" max="60" width="7.7265625" bestFit="1" customWidth="1"/>
    <col min="61" max="61" width="10.54296875" bestFit="1" customWidth="1"/>
    <col min="62" max="62" width="11.81640625" bestFit="1" customWidth="1"/>
    <col min="63" max="63" width="8.81640625" bestFit="1" customWidth="1"/>
    <col min="64" max="64" width="7.7265625" bestFit="1" customWidth="1"/>
    <col min="65" max="65" width="8.26953125" bestFit="1" customWidth="1"/>
    <col min="66" max="66" width="6.81640625" bestFit="1" customWidth="1"/>
    <col min="67" max="67" width="8.54296875" bestFit="1" customWidth="1"/>
    <col min="68" max="68" width="7.7265625" bestFit="1" customWidth="1"/>
    <col min="69" max="69" width="10.54296875" bestFit="1" customWidth="1"/>
    <col min="70" max="70" width="11.81640625" bestFit="1" customWidth="1"/>
    <col min="71" max="71" width="8.81640625" bestFit="1" customWidth="1"/>
    <col min="72" max="72" width="7.7265625" bestFit="1" customWidth="1"/>
    <col min="73" max="73" width="8.26953125" bestFit="1" customWidth="1"/>
    <col min="74" max="74" width="6.81640625" bestFit="1" customWidth="1"/>
    <col min="75" max="75" width="8.54296875" bestFit="1" customWidth="1"/>
    <col min="76" max="76" width="7.7265625" bestFit="1" customWidth="1"/>
    <col min="77" max="77" width="10.54296875" bestFit="1" customWidth="1"/>
    <col min="78" max="78" width="11.81640625" bestFit="1" customWidth="1"/>
    <col min="79" max="79" width="8.81640625" bestFit="1" customWidth="1"/>
    <col min="80" max="80" width="7.7265625" bestFit="1" customWidth="1"/>
    <col min="81" max="81" width="8.26953125" bestFit="1" customWidth="1"/>
    <col min="82" max="82" width="7" bestFit="1" customWidth="1"/>
    <col min="83" max="83" width="8.54296875" bestFit="1" customWidth="1"/>
    <col min="84" max="84" width="7.7265625" bestFit="1" customWidth="1"/>
    <col min="85" max="85" width="10.54296875" bestFit="1" customWidth="1"/>
    <col min="86" max="86" width="11.81640625" bestFit="1" customWidth="1"/>
    <col min="87" max="87" width="8.81640625" bestFit="1" customWidth="1"/>
    <col min="88" max="88" width="7.7265625" bestFit="1" customWidth="1"/>
    <col min="89" max="89" width="8.26953125" bestFit="1" customWidth="1"/>
    <col min="90" max="90" width="7" bestFit="1" customWidth="1"/>
    <col min="91" max="91" width="8.54296875" bestFit="1" customWidth="1"/>
    <col min="92" max="92" width="7.7265625" bestFit="1" customWidth="1"/>
    <col min="93" max="93" width="10.54296875" bestFit="1" customWidth="1"/>
    <col min="94" max="94" width="12" bestFit="1" customWidth="1"/>
    <col min="95" max="95" width="8.81640625" bestFit="1" customWidth="1"/>
    <col min="96" max="96" width="7.7265625" bestFit="1" customWidth="1"/>
    <col min="97" max="97" width="8.26953125" bestFit="1" customWidth="1"/>
    <col min="98" max="98" width="7" bestFit="1" customWidth="1"/>
    <col min="99" max="99" width="8.54296875" bestFit="1" customWidth="1"/>
    <col min="100" max="100" width="7.7265625" bestFit="1" customWidth="1"/>
    <col min="101" max="101" width="10.54296875" bestFit="1" customWidth="1"/>
    <col min="102" max="102" width="11.81640625" bestFit="1" customWidth="1"/>
    <col min="103" max="103" width="8.81640625" bestFit="1" customWidth="1"/>
    <col min="104" max="104" width="7.7265625" bestFit="1" customWidth="1"/>
    <col min="105" max="105" width="8.26953125" bestFit="1" customWidth="1"/>
    <col min="106" max="106" width="7" bestFit="1" customWidth="1"/>
    <col min="107" max="107" width="8.54296875" bestFit="1" customWidth="1"/>
    <col min="108" max="108" width="7.7265625" bestFit="1" customWidth="1"/>
    <col min="109" max="109" width="10.54296875" bestFit="1" customWidth="1"/>
    <col min="110" max="110" width="11.81640625" bestFit="1" customWidth="1"/>
    <col min="111" max="111" width="9.81640625" bestFit="1" customWidth="1"/>
    <col min="112" max="112" width="8.453125" bestFit="1" customWidth="1"/>
    <col min="113" max="113" width="8.26953125" bestFit="1" customWidth="1"/>
    <col min="114" max="114" width="8" bestFit="1" customWidth="1"/>
    <col min="115" max="115" width="8.54296875" bestFit="1" customWidth="1"/>
    <col min="116" max="116" width="8" bestFit="1" customWidth="1"/>
    <col min="117" max="117" width="10.54296875" bestFit="1" customWidth="1"/>
    <col min="118" max="118" width="13.1796875" bestFit="1" customWidth="1"/>
    <col min="119" max="119" width="9.81640625" bestFit="1" customWidth="1"/>
    <col min="120" max="120" width="8" bestFit="1" customWidth="1"/>
    <col min="121" max="121" width="8.26953125" bestFit="1" customWidth="1"/>
    <col min="122" max="122" width="8" bestFit="1" customWidth="1"/>
    <col min="123" max="123" width="8.54296875" bestFit="1" customWidth="1"/>
    <col min="124" max="124" width="8" bestFit="1" customWidth="1"/>
    <col min="125" max="125" width="10.54296875" bestFit="1" customWidth="1"/>
    <col min="126" max="126" width="12.81640625" bestFit="1" customWidth="1"/>
    <col min="127" max="127" width="9.81640625" bestFit="1" customWidth="1"/>
    <col min="128" max="128" width="8" bestFit="1" customWidth="1"/>
    <col min="129" max="129" width="8.26953125" bestFit="1" customWidth="1"/>
    <col min="130" max="130" width="8" bestFit="1" customWidth="1"/>
    <col min="131" max="131" width="8.54296875" bestFit="1" customWidth="1"/>
    <col min="132" max="132" width="8" bestFit="1" customWidth="1"/>
    <col min="133" max="133" width="10.54296875" bestFit="1" customWidth="1"/>
    <col min="134" max="134" width="13.1796875" bestFit="1" customWidth="1"/>
    <col min="135" max="135" width="9.81640625" bestFit="1" customWidth="1"/>
    <col min="136" max="136" width="8" bestFit="1" customWidth="1"/>
    <col min="137" max="137" width="8.26953125" bestFit="1" customWidth="1"/>
    <col min="138" max="138" width="8" bestFit="1" customWidth="1"/>
    <col min="139" max="139" width="8.54296875" bestFit="1" customWidth="1"/>
    <col min="140" max="140" width="8" bestFit="1" customWidth="1"/>
    <col min="141" max="141" width="10.54296875" bestFit="1" customWidth="1"/>
    <col min="142" max="142" width="12.81640625" bestFit="1" customWidth="1"/>
    <col min="143" max="143" width="9.81640625" bestFit="1" customWidth="1"/>
    <col min="144" max="144" width="7.7265625" bestFit="1" customWidth="1"/>
    <col min="145" max="145" width="8.26953125" bestFit="1" customWidth="1"/>
    <col min="146" max="146" width="6.81640625" bestFit="1" customWidth="1"/>
    <col min="147" max="147" width="8.54296875" bestFit="1" customWidth="1"/>
    <col min="148" max="148" width="7.7265625" bestFit="1" customWidth="1"/>
    <col min="149" max="149" width="10.54296875" bestFit="1" customWidth="1"/>
    <col min="150" max="150" width="12.81640625" bestFit="1" customWidth="1"/>
  </cols>
  <sheetData>
    <row r="1" spans="2:142" s="14" customFormat="1" ht="14.5" customHeight="1" x14ac:dyDescent="0.35">
      <c r="B1" s="35" t="s">
        <v>152</v>
      </c>
      <c r="C1" s="34"/>
      <c r="D1" s="34"/>
      <c r="E1" s="34"/>
      <c r="F1" s="34"/>
      <c r="G1" s="34"/>
      <c r="H1" s="23"/>
      <c r="I1" s="169" t="s">
        <v>153</v>
      </c>
      <c r="J1" s="169"/>
      <c r="K1" s="169"/>
      <c r="L1" s="169"/>
      <c r="M1" s="169"/>
      <c r="N1" s="169"/>
      <c r="O1" s="169"/>
      <c r="P1" s="169"/>
      <c r="Q1" s="169"/>
      <c r="R1" s="169"/>
      <c r="S1" s="169"/>
      <c r="T1" s="169"/>
      <c r="U1" s="169"/>
      <c r="V1" s="169"/>
      <c r="W1" s="169"/>
      <c r="X1" s="169"/>
      <c r="Y1" s="169"/>
      <c r="Z1" s="169"/>
      <c r="AA1" s="169"/>
      <c r="AB1" s="169"/>
      <c r="AC1" s="169"/>
      <c r="AD1" s="169"/>
      <c r="AE1" s="34"/>
      <c r="AF1" s="34"/>
      <c r="AG1" s="34"/>
      <c r="AH1" s="34"/>
    </row>
    <row r="2" spans="2:142" x14ac:dyDescent="0.35">
      <c r="CI2">
        <v>7</v>
      </c>
      <c r="CJ2">
        <v>8</v>
      </c>
      <c r="CK2">
        <v>9</v>
      </c>
      <c r="CL2">
        <v>10</v>
      </c>
      <c r="CM2">
        <v>11</v>
      </c>
      <c r="CN2">
        <v>12</v>
      </c>
      <c r="CO2">
        <v>13</v>
      </c>
    </row>
    <row r="3" spans="2:142" x14ac:dyDescent="0.35">
      <c r="B3" s="15" t="s">
        <v>129</v>
      </c>
      <c r="C3" t="s" vm="1">
        <v>130</v>
      </c>
      <c r="I3" s="15" t="s">
        <v>129</v>
      </c>
      <c r="J3" t="s" vm="1">
        <v>130</v>
      </c>
      <c r="AB3" t="s">
        <v>132</v>
      </c>
      <c r="AC3" t="s">
        <v>21</v>
      </c>
      <c r="AD3" t="s">
        <v>22</v>
      </c>
      <c r="AE3" t="s">
        <v>25</v>
      </c>
      <c r="AF3" t="s">
        <v>27</v>
      </c>
      <c r="AG3" t="s">
        <v>28</v>
      </c>
      <c r="AH3" t="s">
        <v>133</v>
      </c>
      <c r="AI3" t="s">
        <v>37</v>
      </c>
      <c r="AL3" s="15" t="s">
        <v>129</v>
      </c>
      <c r="AM3" t="s" vm="1">
        <v>130</v>
      </c>
      <c r="CI3" t="s">
        <v>154</v>
      </c>
      <c r="CJ3" t="s">
        <v>155</v>
      </c>
      <c r="CK3" t="s">
        <v>156</v>
      </c>
      <c r="CL3" t="s">
        <v>157</v>
      </c>
      <c r="CM3" t="s">
        <v>158</v>
      </c>
      <c r="CN3" t="s">
        <v>159</v>
      </c>
      <c r="CO3" t="s">
        <v>160</v>
      </c>
    </row>
    <row r="4" spans="2:142" x14ac:dyDescent="0.35">
      <c r="AA4" s="8" t="s">
        <v>1</v>
      </c>
      <c r="AB4" s="2">
        <f>(VLOOKUP($AA4,$I$8:$Y$1048576,17,FALSE)/VLOOKUP($AA4,$I$8:$Y$1048576,16,FALSE))</f>
        <v>0.94628476255790839</v>
      </c>
      <c r="AC4" s="2">
        <f>(VLOOKUP($AA4,$I$8:$Y$1048576,5,FALSE)/VLOOKUP($AA4,$I$8:$Y$1048576,4,FALSE))</f>
        <v>0.94317870664992309</v>
      </c>
      <c r="AD4" s="2">
        <f>(VLOOKUP($AA4,$I$8:$Y$1048576,7,FALSE)/VLOOKUP($AA4,$I$8:$Y$1048576,6,FALSE))</f>
        <v>0.95374403650694872</v>
      </c>
      <c r="AE4" s="2">
        <f>(VLOOKUP($AA4,$I$8:$Y$1048576,9,FALSE)/VLOOKUP($AA4,$I$8:$Y$1048576,8,FALSE))</f>
        <v>0.93963560863337148</v>
      </c>
      <c r="AF4" s="2">
        <f>(VLOOKUP($AA4,$I$8:$Y$1048576,13,FALSE)/VLOOKUP($AA4,$I$8:$Y$1048576,12,FALSE))</f>
        <v>0.94912267898287062</v>
      </c>
      <c r="AG4" s="2">
        <f>(VLOOKUP($AA4,$I$8:$Y$1048576,15,FALSE)/VLOOKUP($AA4,$I$8:$Y$1048576,14,FALSE))</f>
        <v>0.9431505413901502</v>
      </c>
      <c r="AH4" s="2">
        <f>(VLOOKUP($AA4,$I$8:$Y$1048576,3,FALSE)/VLOOKUP($AA4,$I$8:$Y$1048576,2,FALSE))</f>
        <v>0.94962698712356952</v>
      </c>
      <c r="AI4" s="2">
        <f>(VLOOKUP($AA4,$I$8:$Y$1048576,11,FALSE)/VLOOKUP($AA4,$I$8:$Y$1048576,10,FALSE))</f>
        <v>0.94479672474531085</v>
      </c>
      <c r="AJ4" s="2"/>
      <c r="CA4" t="s">
        <v>6</v>
      </c>
      <c r="CB4" t="s">
        <v>6</v>
      </c>
      <c r="CC4" t="s">
        <v>6</v>
      </c>
      <c r="CD4" t="s">
        <v>6</v>
      </c>
      <c r="CE4" t="s">
        <v>6</v>
      </c>
      <c r="CF4" t="s">
        <v>6</v>
      </c>
      <c r="CG4" t="s">
        <v>6</v>
      </c>
      <c r="CH4" s="14" t="s">
        <v>161</v>
      </c>
      <c r="CI4" t="s">
        <v>7</v>
      </c>
      <c r="CJ4" t="s">
        <v>7</v>
      </c>
      <c r="CK4" t="s">
        <v>7</v>
      </c>
      <c r="CL4" t="s">
        <v>7</v>
      </c>
      <c r="CM4" t="s">
        <v>7</v>
      </c>
      <c r="CN4" t="s">
        <v>7</v>
      </c>
      <c r="CO4" t="s">
        <v>7</v>
      </c>
      <c r="CP4" s="14" t="s">
        <v>162</v>
      </c>
      <c r="CQ4" t="s">
        <v>8</v>
      </c>
      <c r="CR4" t="s">
        <v>8</v>
      </c>
      <c r="CS4" t="s">
        <v>8</v>
      </c>
      <c r="CT4" t="s">
        <v>8</v>
      </c>
      <c r="CU4" t="s">
        <v>8</v>
      </c>
      <c r="CV4" t="s">
        <v>8</v>
      </c>
      <c r="CW4" t="s">
        <v>8</v>
      </c>
      <c r="CX4" s="14" t="s">
        <v>163</v>
      </c>
      <c r="CY4" t="s">
        <v>9</v>
      </c>
      <c r="CZ4" t="s">
        <v>9</v>
      </c>
      <c r="DA4" t="s">
        <v>9</v>
      </c>
      <c r="DB4" t="s">
        <v>9</v>
      </c>
      <c r="DC4" t="s">
        <v>9</v>
      </c>
      <c r="DD4" t="s">
        <v>9</v>
      </c>
      <c r="DE4" t="s">
        <v>9</v>
      </c>
      <c r="DF4" s="14" t="s">
        <v>164</v>
      </c>
      <c r="DG4" t="s">
        <v>165</v>
      </c>
      <c r="DH4" t="s">
        <v>165</v>
      </c>
      <c r="DI4" t="s">
        <v>10</v>
      </c>
      <c r="DJ4" t="s">
        <v>10</v>
      </c>
      <c r="DK4" t="s">
        <v>10</v>
      </c>
      <c r="DL4" t="s">
        <v>10</v>
      </c>
      <c r="DM4" t="s">
        <v>10</v>
      </c>
      <c r="DN4" s="14" t="s">
        <v>166</v>
      </c>
      <c r="DO4" t="s">
        <v>11</v>
      </c>
      <c r="DP4" t="s">
        <v>11</v>
      </c>
      <c r="DQ4" t="s">
        <v>11</v>
      </c>
      <c r="DR4" t="s">
        <v>11</v>
      </c>
      <c r="DS4" t="s">
        <v>11</v>
      </c>
      <c r="DT4" t="s">
        <v>11</v>
      </c>
      <c r="DU4" t="s">
        <v>11</v>
      </c>
      <c r="DV4" s="14" t="s">
        <v>167</v>
      </c>
      <c r="DW4" t="s">
        <v>12</v>
      </c>
      <c r="DX4" t="s">
        <v>12</v>
      </c>
      <c r="DY4" t="s">
        <v>12</v>
      </c>
      <c r="DZ4" t="s">
        <v>12</v>
      </c>
      <c r="EA4" t="s">
        <v>12</v>
      </c>
      <c r="EB4" t="s">
        <v>12</v>
      </c>
      <c r="EC4" t="s">
        <v>12</v>
      </c>
      <c r="ED4" s="14" t="s">
        <v>168</v>
      </c>
      <c r="EE4" t="s">
        <v>13</v>
      </c>
      <c r="EF4" t="s">
        <v>13</v>
      </c>
      <c r="EG4" t="s">
        <v>13</v>
      </c>
      <c r="EH4" t="s">
        <v>13</v>
      </c>
      <c r="EI4" t="s">
        <v>13</v>
      </c>
      <c r="EJ4" t="s">
        <v>13</v>
      </c>
      <c r="EK4" t="s">
        <v>13</v>
      </c>
      <c r="EL4" s="14" t="s">
        <v>169</v>
      </c>
    </row>
    <row r="5" spans="2:142" x14ac:dyDescent="0.35">
      <c r="B5" s="15" t="s">
        <v>134</v>
      </c>
      <c r="C5" t="s">
        <v>170</v>
      </c>
      <c r="D5" t="s">
        <v>171</v>
      </c>
      <c r="H5" s="2"/>
      <c r="J5" s="15" t="s">
        <v>136</v>
      </c>
      <c r="Z5" s="2"/>
      <c r="AA5" s="8" t="s">
        <v>2</v>
      </c>
      <c r="AB5" s="2">
        <f t="shared" ref="AB5:AB15" si="0">(VLOOKUP($AA5,$I$8:$Y$1048576,17,FALSE)/VLOOKUP($AA5,$I$8:$Y$1048576,16,FALSE))</f>
        <v>0.94599555963179616</v>
      </c>
      <c r="AC5" s="2">
        <f t="shared" ref="AC5:AC17" si="1">(VLOOKUP($AA5,$I$8:$Y$1048576,5,FALSE)/VLOOKUP($AA5,$I$8:$Y$1048576,4,FALSE))</f>
        <v>0.94247295616448679</v>
      </c>
      <c r="AD5" s="2">
        <f t="shared" ref="AD5:AD17" si="2">(VLOOKUP($AA5,$I$8:$Y$1048576,7,FALSE)/VLOOKUP($AA5,$I$8:$Y$1048576,6,FALSE))</f>
        <v>0.95336452648357217</v>
      </c>
      <c r="AE5" s="2">
        <f t="shared" ref="AE5:AE17" si="3">(VLOOKUP($AA5,$I$8:$Y$1048576,9,FALSE)/VLOOKUP($AA5,$I$8:$Y$1048576,8,FALSE))</f>
        <v>0.93713583064768902</v>
      </c>
      <c r="AF5" s="2">
        <f t="shared" ref="AF5:AF17" si="4">(VLOOKUP($AA5,$I$8:$Y$1048576,13,FALSE)/VLOOKUP($AA5,$I$8:$Y$1048576,12,FALSE))</f>
        <v>0.94460865945045791</v>
      </c>
      <c r="AG5" s="2">
        <f t="shared" ref="AG5:AG17" si="5">(VLOOKUP($AA5,$I$8:$Y$1048576,15,FALSE)/VLOOKUP($AA5,$I$8:$Y$1048576,14,FALSE))</f>
        <v>0.94512467851951243</v>
      </c>
      <c r="AH5" s="2">
        <f t="shared" ref="AH5:AH17" si="6">(VLOOKUP($AA5,$I$8:$Y$1048576,3,FALSE)/VLOOKUP($AA5,$I$8:$Y$1048576,2,FALSE))</f>
        <v>0.95331069609507635</v>
      </c>
      <c r="AI5" s="2">
        <f t="shared" ref="AI5:AI17" si="7">(VLOOKUP($AA5,$I$8:$Y$1048576,11,FALSE)/VLOOKUP($AA5,$I$8:$Y$1048576,10,FALSE))</f>
        <v>0.94703458848328059</v>
      </c>
      <c r="AL5" s="15" t="s">
        <v>172</v>
      </c>
      <c r="AM5" s="15" t="s">
        <v>136</v>
      </c>
    </row>
    <row r="6" spans="2:142" x14ac:dyDescent="0.35">
      <c r="B6" s="16">
        <v>1</v>
      </c>
      <c r="C6">
        <v>714490</v>
      </c>
      <c r="D6">
        <v>676111</v>
      </c>
      <c r="E6" s="2"/>
      <c r="F6" s="2">
        <f>D6/C6</f>
        <v>0.94628476255790839</v>
      </c>
      <c r="G6" s="2"/>
      <c r="H6" s="2"/>
      <c r="J6" t="s">
        <v>137</v>
      </c>
      <c r="L6" t="s">
        <v>21</v>
      </c>
      <c r="N6" t="s">
        <v>22</v>
      </c>
      <c r="P6" t="s">
        <v>138</v>
      </c>
      <c r="R6" t="s">
        <v>26</v>
      </c>
      <c r="T6" t="s">
        <v>27</v>
      </c>
      <c r="V6" t="s">
        <v>28</v>
      </c>
      <c r="X6" t="s">
        <v>173</v>
      </c>
      <c r="Y6" t="s">
        <v>174</v>
      </c>
      <c r="Z6" s="2"/>
      <c r="AA6" s="8" t="s">
        <v>3</v>
      </c>
      <c r="AB6" s="2">
        <f t="shared" si="0"/>
        <v>0.94087261309895598</v>
      </c>
      <c r="AC6" s="2">
        <f t="shared" si="1"/>
        <v>0.94148971263230319</v>
      </c>
      <c r="AD6" s="2">
        <f t="shared" si="2"/>
        <v>0.94388129866314086</v>
      </c>
      <c r="AE6" s="2">
        <f t="shared" si="3"/>
        <v>0.92896073530597434</v>
      </c>
      <c r="AF6" s="2">
        <f t="shared" si="4"/>
        <v>0.9398443102570232</v>
      </c>
      <c r="AG6" s="2">
        <f t="shared" si="5"/>
        <v>0.94149688440803758</v>
      </c>
      <c r="AH6" s="2">
        <f t="shared" si="6"/>
        <v>0.95176743943191311</v>
      </c>
      <c r="AI6" s="2">
        <f t="shared" si="7"/>
        <v>0.94295324020723836</v>
      </c>
      <c r="AM6" t="s">
        <v>1</v>
      </c>
      <c r="AT6" t="s">
        <v>175</v>
      </c>
      <c r="AU6" t="s">
        <v>2</v>
      </c>
      <c r="BB6" t="s">
        <v>176</v>
      </c>
      <c r="BC6" t="s">
        <v>3</v>
      </c>
      <c r="BJ6" t="s">
        <v>177</v>
      </c>
      <c r="BK6" t="s">
        <v>4</v>
      </c>
      <c r="BR6" t="s">
        <v>178</v>
      </c>
      <c r="BS6" t="s">
        <v>5</v>
      </c>
      <c r="BZ6" t="s">
        <v>179</v>
      </c>
      <c r="CA6" t="s">
        <v>6</v>
      </c>
      <c r="CH6" t="s">
        <v>180</v>
      </c>
      <c r="CI6" t="s">
        <v>7</v>
      </c>
      <c r="CP6" t="s">
        <v>181</v>
      </c>
      <c r="CQ6" t="s">
        <v>8</v>
      </c>
      <c r="CX6" t="s">
        <v>182</v>
      </c>
    </row>
    <row r="7" spans="2:142" x14ac:dyDescent="0.35">
      <c r="B7" s="16">
        <v>2</v>
      </c>
      <c r="C7">
        <v>715256</v>
      </c>
      <c r="D7">
        <v>676629</v>
      </c>
      <c r="E7" s="2"/>
      <c r="F7" s="2">
        <f>D7/C7</f>
        <v>0.94599555963179616</v>
      </c>
      <c r="G7" s="2"/>
      <c r="H7" s="2"/>
      <c r="I7" s="15" t="s">
        <v>134</v>
      </c>
      <c r="J7" t="s">
        <v>170</v>
      </c>
      <c r="K7" t="s">
        <v>171</v>
      </c>
      <c r="L7" t="s">
        <v>170</v>
      </c>
      <c r="M7" t="s">
        <v>171</v>
      </c>
      <c r="N7" t="s">
        <v>170</v>
      </c>
      <c r="O7" t="s">
        <v>171</v>
      </c>
      <c r="P7" t="s">
        <v>170</v>
      </c>
      <c r="Q7" t="s">
        <v>171</v>
      </c>
      <c r="R7" t="s">
        <v>170</v>
      </c>
      <c r="S7" t="s">
        <v>171</v>
      </c>
      <c r="T7" t="s">
        <v>170</v>
      </c>
      <c r="U7" t="s">
        <v>171</v>
      </c>
      <c r="V7" t="s">
        <v>170</v>
      </c>
      <c r="W7" t="s">
        <v>171</v>
      </c>
      <c r="Z7" s="2"/>
      <c r="AA7" s="8" t="s">
        <v>4</v>
      </c>
      <c r="AB7" s="2">
        <f t="shared" si="0"/>
        <v>0.93455690192654972</v>
      </c>
      <c r="AC7" s="2">
        <f t="shared" si="1"/>
        <v>0.93241352105268105</v>
      </c>
      <c r="AD7" s="2">
        <f t="shared" si="2"/>
        <v>0.93966017527492307</v>
      </c>
      <c r="AE7" s="2">
        <f t="shared" si="3"/>
        <v>0.92158882415424725</v>
      </c>
      <c r="AF7" s="2">
        <f t="shared" si="4"/>
        <v>0.93815345524222105</v>
      </c>
      <c r="AG7" s="2">
        <f t="shared" si="5"/>
        <v>0.93455226592859741</v>
      </c>
      <c r="AH7" s="2">
        <f t="shared" si="6"/>
        <v>0.94811505603887447</v>
      </c>
      <c r="AI7" s="2">
        <f t="shared" si="7"/>
        <v>0.93233804865767123</v>
      </c>
      <c r="AL7" s="15" t="s">
        <v>134</v>
      </c>
      <c r="AM7" t="s">
        <v>183</v>
      </c>
      <c r="AN7" t="s">
        <v>184</v>
      </c>
      <c r="AO7" t="s">
        <v>185</v>
      </c>
      <c r="AP7" t="s">
        <v>186</v>
      </c>
      <c r="AQ7" t="s">
        <v>187</v>
      </c>
      <c r="AR7" t="s">
        <v>188</v>
      </c>
      <c r="AS7" t="s">
        <v>189</v>
      </c>
      <c r="AU7" t="s">
        <v>183</v>
      </c>
      <c r="AV7" t="s">
        <v>184</v>
      </c>
      <c r="AW7" t="s">
        <v>185</v>
      </c>
      <c r="AX7" t="s">
        <v>186</v>
      </c>
      <c r="AY7" t="s">
        <v>187</v>
      </c>
      <c r="AZ7" t="s">
        <v>188</v>
      </c>
      <c r="BA7" t="s">
        <v>189</v>
      </c>
      <c r="BC7" t="s">
        <v>183</v>
      </c>
      <c r="BD7" t="s">
        <v>184</v>
      </c>
      <c r="BE7" t="s">
        <v>185</v>
      </c>
      <c r="BF7" t="s">
        <v>186</v>
      </c>
      <c r="BG7" t="s">
        <v>187</v>
      </c>
      <c r="BH7" t="s">
        <v>188</v>
      </c>
      <c r="BI7" t="s">
        <v>189</v>
      </c>
      <c r="BK7" t="s">
        <v>183</v>
      </c>
      <c r="BL7" t="s">
        <v>184</v>
      </c>
      <c r="BM7" t="s">
        <v>185</v>
      </c>
      <c r="BN7" t="s">
        <v>186</v>
      </c>
      <c r="BO7" t="s">
        <v>187</v>
      </c>
      <c r="BP7" t="s">
        <v>188</v>
      </c>
      <c r="BQ7" t="s">
        <v>189</v>
      </c>
      <c r="BS7" t="s">
        <v>183</v>
      </c>
      <c r="BT7" t="s">
        <v>184</v>
      </c>
      <c r="BU7" t="s">
        <v>185</v>
      </c>
      <c r="BV7" t="s">
        <v>186</v>
      </c>
      <c r="BW7" t="s">
        <v>187</v>
      </c>
      <c r="BX7" t="s">
        <v>188</v>
      </c>
      <c r="BY7" t="s">
        <v>189</v>
      </c>
      <c r="CA7" t="s">
        <v>183</v>
      </c>
      <c r="CB7" t="s">
        <v>184</v>
      </c>
      <c r="CC7" t="s">
        <v>185</v>
      </c>
      <c r="CD7" t="s">
        <v>186</v>
      </c>
      <c r="CE7" t="s">
        <v>187</v>
      </c>
      <c r="CF7" t="s">
        <v>188</v>
      </c>
      <c r="CG7" t="s">
        <v>189</v>
      </c>
      <c r="CI7" t="s">
        <v>183</v>
      </c>
      <c r="CJ7" t="s">
        <v>184</v>
      </c>
      <c r="CK7" t="s">
        <v>185</v>
      </c>
      <c r="CL7" t="s">
        <v>186</v>
      </c>
      <c r="CM7" t="s">
        <v>187</v>
      </c>
      <c r="CN7" t="s">
        <v>188</v>
      </c>
      <c r="CO7" t="s">
        <v>189</v>
      </c>
      <c r="CQ7" t="s">
        <v>183</v>
      </c>
      <c r="CR7" t="s">
        <v>184</v>
      </c>
      <c r="CS7" t="s">
        <v>185</v>
      </c>
      <c r="CT7" t="s">
        <v>186</v>
      </c>
      <c r="CU7" t="s">
        <v>187</v>
      </c>
      <c r="CV7" t="s">
        <v>188</v>
      </c>
      <c r="CW7" t="s">
        <v>189</v>
      </c>
    </row>
    <row r="8" spans="2:142" x14ac:dyDescent="0.35">
      <c r="B8" s="16">
        <v>3</v>
      </c>
      <c r="C8">
        <v>717248</v>
      </c>
      <c r="D8">
        <v>674839</v>
      </c>
      <c r="E8" s="2"/>
      <c r="F8" s="2">
        <f>D8/C8</f>
        <v>0.94087261309895598</v>
      </c>
      <c r="G8" s="2"/>
      <c r="H8" s="2"/>
      <c r="I8" s="16" t="s">
        <v>1</v>
      </c>
      <c r="J8">
        <v>76807</v>
      </c>
      <c r="K8">
        <v>72938</v>
      </c>
      <c r="L8">
        <v>105911</v>
      </c>
      <c r="M8">
        <v>99893</v>
      </c>
      <c r="N8">
        <v>134988</v>
      </c>
      <c r="O8">
        <v>128744</v>
      </c>
      <c r="P8">
        <v>124262</v>
      </c>
      <c r="Q8">
        <v>116761</v>
      </c>
      <c r="R8">
        <v>105030</v>
      </c>
      <c r="S8">
        <v>99232</v>
      </c>
      <c r="T8">
        <v>95917</v>
      </c>
      <c r="U8">
        <v>91037</v>
      </c>
      <c r="V8">
        <v>71575</v>
      </c>
      <c r="W8">
        <v>67506</v>
      </c>
      <c r="X8">
        <v>714490</v>
      </c>
      <c r="Y8">
        <v>676111</v>
      </c>
      <c r="Z8" s="2"/>
      <c r="AA8" s="8" t="s">
        <v>5</v>
      </c>
      <c r="AB8" s="2">
        <f>(VLOOKUP($AA8,$I$8:$Y$1048576,17,FALSE)/VLOOKUP($AA8,$I$8:$Y$1048576,16,FALSE))</f>
        <v>0.89034804459347794</v>
      </c>
      <c r="AC8" s="2">
        <f t="shared" si="1"/>
        <v>0.87879448213135258</v>
      </c>
      <c r="AD8" s="2">
        <f t="shared" si="2"/>
        <v>0.8967483170724474</v>
      </c>
      <c r="AE8" s="2">
        <f t="shared" si="3"/>
        <v>0.87322691419855303</v>
      </c>
      <c r="AF8" s="2">
        <f t="shared" si="4"/>
        <v>0.90076206425081351</v>
      </c>
      <c r="AG8" s="2">
        <f t="shared" si="5"/>
        <v>0.895869608654697</v>
      </c>
      <c r="AH8" s="2">
        <f t="shared" si="6"/>
        <v>0.91674391503562258</v>
      </c>
      <c r="AI8" s="2">
        <f t="shared" si="7"/>
        <v>0.88180294527513092</v>
      </c>
      <c r="AL8" s="16" t="s">
        <v>190</v>
      </c>
      <c r="AM8" s="27">
        <v>0.9662921348314607</v>
      </c>
      <c r="AN8" s="27">
        <v>0.96666666666666667</v>
      </c>
      <c r="AO8" s="27">
        <v>0.96327683615819204</v>
      </c>
      <c r="AP8" s="27">
        <v>0.96317280453257792</v>
      </c>
      <c r="AQ8" s="27">
        <v>0.97222222222222221</v>
      </c>
      <c r="AR8" s="27">
        <v>0.97540983606557374</v>
      </c>
      <c r="AS8" s="27">
        <v>0.97245179063360887</v>
      </c>
      <c r="AT8" s="27">
        <v>0.96849889873004336</v>
      </c>
      <c r="AU8" s="27">
        <v>0.9888579387186629</v>
      </c>
      <c r="AV8" s="27">
        <v>0.96368715083798884</v>
      </c>
      <c r="AW8" s="27">
        <v>0.96338028169014089</v>
      </c>
      <c r="AX8" s="27">
        <v>0.96368715083798884</v>
      </c>
      <c r="AY8" s="27">
        <v>0.9889196675900277</v>
      </c>
      <c r="AZ8" s="27">
        <v>0.97527472527472525</v>
      </c>
      <c r="BA8" s="27">
        <v>0.96111111111111114</v>
      </c>
      <c r="BB8" s="27">
        <v>0.97213114658009214</v>
      </c>
      <c r="BC8" s="27">
        <v>0.9745042492917847</v>
      </c>
      <c r="BD8" s="27">
        <v>0.9719101123595506</v>
      </c>
      <c r="BE8" s="27">
        <v>0.94586894586894588</v>
      </c>
      <c r="BF8" s="27">
        <v>0.94301994301994307</v>
      </c>
      <c r="BG8" s="27">
        <v>0.97175141242937857</v>
      </c>
      <c r="BH8" s="27">
        <v>0.97752808988764039</v>
      </c>
      <c r="BI8" s="27">
        <v>0.9719101123595506</v>
      </c>
      <c r="BJ8" s="27">
        <v>0.96521326645954197</v>
      </c>
      <c r="BK8" s="27">
        <v>0.94692737430167595</v>
      </c>
      <c r="BL8" s="27">
        <v>0.94871794871794868</v>
      </c>
      <c r="BM8" s="27">
        <v>0.90463215258855589</v>
      </c>
      <c r="BN8" s="27">
        <v>0.8828337874659401</v>
      </c>
      <c r="BO8" s="27">
        <v>0.952247191011236</v>
      </c>
      <c r="BP8" s="27">
        <v>0.96033994334277617</v>
      </c>
      <c r="BQ8" s="27">
        <v>0.9578651685393258</v>
      </c>
      <c r="BR8" s="27">
        <v>0.93622336656677985</v>
      </c>
      <c r="BS8" s="27">
        <v>0.90835579514824794</v>
      </c>
      <c r="BT8" s="27">
        <v>0.91032608695652173</v>
      </c>
      <c r="BU8" s="27">
        <v>0.93513513513513513</v>
      </c>
      <c r="BV8" s="27">
        <v>0.90861618798955612</v>
      </c>
      <c r="BW8" s="27">
        <v>0.85597826086956519</v>
      </c>
      <c r="BX8" s="27">
        <v>0.86413043478260865</v>
      </c>
      <c r="BY8" s="27">
        <v>0.79076086956521741</v>
      </c>
      <c r="BZ8" s="27">
        <v>0.88190039577812163</v>
      </c>
      <c r="CA8" s="27">
        <v>0.95959595959595956</v>
      </c>
      <c r="CB8" s="27">
        <v>0.9375</v>
      </c>
      <c r="CC8" s="27">
        <v>0.92327365728900257</v>
      </c>
      <c r="CD8" s="27">
        <v>0.93216080402010049</v>
      </c>
      <c r="CE8" s="27">
        <v>0.96907216494845361</v>
      </c>
      <c r="CF8" s="27">
        <v>0.93573264781491006</v>
      </c>
      <c r="CG8" s="27">
        <v>0.93211488250652741</v>
      </c>
      <c r="CH8" s="27">
        <v>0.94135001659642203</v>
      </c>
      <c r="CI8" s="27">
        <v>0.95285359801488834</v>
      </c>
      <c r="CJ8" s="27">
        <v>0.94074074074074077</v>
      </c>
      <c r="CK8" s="27">
        <v>0.88636363636363635</v>
      </c>
      <c r="CL8" s="27">
        <v>0.8908629441624365</v>
      </c>
      <c r="CM8" s="27">
        <v>0.97029702970297027</v>
      </c>
      <c r="CN8" s="27">
        <v>0.9580246913580247</v>
      </c>
      <c r="CO8" s="27">
        <v>0.97277227722772275</v>
      </c>
      <c r="CP8" s="27">
        <v>0.9388449882243457</v>
      </c>
      <c r="CQ8" s="27">
        <v>0.9689119170984456</v>
      </c>
      <c r="CR8" s="27">
        <v>0.91139240506329111</v>
      </c>
      <c r="CS8" s="27">
        <v>0.95918367346938771</v>
      </c>
      <c r="CT8" s="27">
        <v>0.96183206106870234</v>
      </c>
      <c r="CU8" s="27">
        <v>0.98481012658227851</v>
      </c>
      <c r="CV8" s="27">
        <v>0.95629820051413883</v>
      </c>
      <c r="CW8" s="27">
        <v>0.95641025641025645</v>
      </c>
      <c r="CX8" s="27">
        <v>0.95697694860092863</v>
      </c>
    </row>
    <row r="9" spans="2:142" x14ac:dyDescent="0.35">
      <c r="B9" s="16">
        <v>4</v>
      </c>
      <c r="C9">
        <v>718227</v>
      </c>
      <c r="D9">
        <v>671224</v>
      </c>
      <c r="E9" s="2"/>
      <c r="F9" s="2">
        <f t="shared" ref="F9:F20" si="8">D9/C9</f>
        <v>0.93455690192654972</v>
      </c>
      <c r="G9" s="2"/>
      <c r="H9" s="2"/>
      <c r="I9" s="16" t="s">
        <v>2</v>
      </c>
      <c r="J9">
        <v>76570</v>
      </c>
      <c r="K9">
        <v>72995</v>
      </c>
      <c r="L9">
        <v>106124</v>
      </c>
      <c r="M9">
        <v>100019</v>
      </c>
      <c r="N9">
        <v>136141</v>
      </c>
      <c r="O9">
        <v>129792</v>
      </c>
      <c r="P9">
        <v>124427</v>
      </c>
      <c r="Q9">
        <v>116605</v>
      </c>
      <c r="R9">
        <v>104370</v>
      </c>
      <c r="S9">
        <v>98842</v>
      </c>
      <c r="T9">
        <v>96080</v>
      </c>
      <c r="U9">
        <v>90758</v>
      </c>
      <c r="V9">
        <v>71544</v>
      </c>
      <c r="W9">
        <v>67618</v>
      </c>
      <c r="X9">
        <v>715256</v>
      </c>
      <c r="Y9">
        <v>676629</v>
      </c>
      <c r="Z9" s="2"/>
      <c r="AA9" s="17" t="s">
        <v>6</v>
      </c>
      <c r="AB9" s="2">
        <f t="shared" si="0"/>
        <v>0.92795975598373415</v>
      </c>
      <c r="AC9" s="2">
        <f t="shared" si="1"/>
        <v>0.90848088039341623</v>
      </c>
      <c r="AD9" s="2">
        <f t="shared" si="2"/>
        <v>0.93512566607785508</v>
      </c>
      <c r="AE9" s="2">
        <f t="shared" si="3"/>
        <v>0.91787020989793955</v>
      </c>
      <c r="AF9" s="2">
        <f t="shared" si="4"/>
        <v>0.93912836043810155</v>
      </c>
      <c r="AG9" s="2">
        <f t="shared" si="5"/>
        <v>0.93127339000264331</v>
      </c>
      <c r="AH9" s="2">
        <f t="shared" si="6"/>
        <v>0.94988166142162345</v>
      </c>
      <c r="AI9" s="2">
        <f t="shared" si="7"/>
        <v>0.92153553512485309</v>
      </c>
      <c r="AL9" s="16" t="s">
        <v>191</v>
      </c>
      <c r="AM9" s="27">
        <v>0.87439613526570048</v>
      </c>
      <c r="AN9" s="27">
        <v>0.76811594202898548</v>
      </c>
      <c r="AO9" s="27">
        <v>0.81642512077294682</v>
      </c>
      <c r="AP9" s="27">
        <v>0.72463768115942029</v>
      </c>
      <c r="AQ9" s="27">
        <v>0.85507246376811596</v>
      </c>
      <c r="AR9" s="27">
        <v>0.76328502415458932</v>
      </c>
      <c r="AS9" s="27">
        <v>0.76328502415458932</v>
      </c>
      <c r="AT9" s="27">
        <v>0.79503105590062106</v>
      </c>
      <c r="AU9" s="27">
        <v>0.88405797101449279</v>
      </c>
      <c r="AV9" s="27">
        <v>0.73913043478260865</v>
      </c>
      <c r="AW9" s="27">
        <v>0.83091787439613529</v>
      </c>
      <c r="AX9" s="27">
        <v>0.81159420289855078</v>
      </c>
      <c r="AY9" s="27">
        <v>0.83574879227053145</v>
      </c>
      <c r="AZ9" s="27">
        <v>0.77777777777777779</v>
      </c>
      <c r="BA9" s="27">
        <v>0.86956521739130432</v>
      </c>
      <c r="BB9" s="27">
        <v>0.82125603864734309</v>
      </c>
      <c r="BC9" s="27">
        <v>0.83091787439613529</v>
      </c>
      <c r="BD9" s="27">
        <v>0.82125603864734298</v>
      </c>
      <c r="BE9" s="27">
        <v>0.78260869565217395</v>
      </c>
      <c r="BF9" s="27">
        <v>0.74879227053140096</v>
      </c>
      <c r="BG9" s="27">
        <v>0.84541062801932365</v>
      </c>
      <c r="BH9" s="27">
        <v>0.84057971014492749</v>
      </c>
      <c r="BI9" s="27">
        <v>0.82125603864734298</v>
      </c>
      <c r="BJ9" s="27">
        <v>0.81297446514837823</v>
      </c>
      <c r="BK9" s="27">
        <v>0.81642512077294682</v>
      </c>
      <c r="BL9" s="27">
        <v>0.70531400966183577</v>
      </c>
      <c r="BM9" s="27">
        <v>0.78260869565217395</v>
      </c>
      <c r="BN9" s="27">
        <v>0.7931034482758621</v>
      </c>
      <c r="BO9" s="27">
        <v>0.83091787439613529</v>
      </c>
      <c r="BP9" s="27">
        <v>0.72946859903381644</v>
      </c>
      <c r="BQ9" s="27">
        <v>0.77294685990338163</v>
      </c>
      <c r="BR9" s="27">
        <v>0.77582637252802178</v>
      </c>
      <c r="BS9" s="27">
        <v>0.61576354679802958</v>
      </c>
      <c r="BT9" s="27">
        <v>0.76354679802955661</v>
      </c>
      <c r="BU9" s="27">
        <v>0.66502463054187189</v>
      </c>
      <c r="BV9" s="27">
        <v>0.71921182266009853</v>
      </c>
      <c r="BW9" s="27">
        <v>0.60098522167487689</v>
      </c>
      <c r="BX9" s="27">
        <v>0.75862068965517238</v>
      </c>
      <c r="BY9" s="27">
        <v>0.59113300492610843</v>
      </c>
      <c r="BZ9" s="27">
        <v>0.67346938775510201</v>
      </c>
      <c r="CA9" s="27">
        <v>0.64039408866995073</v>
      </c>
      <c r="CB9" s="27">
        <v>0.7142857142857143</v>
      </c>
      <c r="CC9" s="27">
        <v>0.68472906403940892</v>
      </c>
      <c r="CD9" s="27">
        <v>0.66995073891625612</v>
      </c>
      <c r="CE9" s="27">
        <v>0.61083743842364535</v>
      </c>
      <c r="CF9" s="27">
        <v>0.70935960591133007</v>
      </c>
      <c r="CG9" s="27">
        <v>0.67487684729064035</v>
      </c>
      <c r="CH9" s="27">
        <v>0.67206192821956379</v>
      </c>
      <c r="CI9" s="27">
        <v>0.8719211822660099</v>
      </c>
      <c r="CJ9" s="27">
        <v>0.64532019704433496</v>
      </c>
      <c r="CK9" s="27">
        <v>0.82758620689655171</v>
      </c>
      <c r="CL9" s="27">
        <v>0.84729064039408863</v>
      </c>
      <c r="CM9" s="27">
        <v>0.7931034482758621</v>
      </c>
      <c r="CN9" s="27">
        <v>0.68965517241379315</v>
      </c>
      <c r="CO9" s="27">
        <v>0.78325123152709364</v>
      </c>
      <c r="CP9" s="27">
        <v>0.77973258268824774</v>
      </c>
      <c r="CQ9" s="27">
        <v>0.75862068965517238</v>
      </c>
      <c r="CR9" s="27">
        <v>0.81773399014778325</v>
      </c>
      <c r="CS9" s="27">
        <v>0.81280788177339902</v>
      </c>
      <c r="CT9" s="27">
        <v>0.83251231527093594</v>
      </c>
      <c r="CU9" s="27">
        <v>0.81773399014778325</v>
      </c>
      <c r="CV9" s="27">
        <v>0.81280788177339902</v>
      </c>
      <c r="CW9" s="27">
        <v>0.81773399014778325</v>
      </c>
      <c r="CX9" s="27">
        <v>0.80999296270232235</v>
      </c>
    </row>
    <row r="10" spans="2:142" x14ac:dyDescent="0.35">
      <c r="B10" s="16">
        <v>5</v>
      </c>
      <c r="C10">
        <v>709162</v>
      </c>
      <c r="D10">
        <v>631401</v>
      </c>
      <c r="E10" s="2"/>
      <c r="F10" s="2">
        <f t="shared" si="8"/>
        <v>0.89034804459347794</v>
      </c>
      <c r="G10" s="2"/>
      <c r="H10" s="2"/>
      <c r="I10" s="16" t="s">
        <v>3</v>
      </c>
      <c r="J10">
        <v>76608</v>
      </c>
      <c r="K10">
        <v>72913</v>
      </c>
      <c r="L10">
        <v>106101</v>
      </c>
      <c r="M10">
        <v>99893</v>
      </c>
      <c r="N10">
        <v>136140</v>
      </c>
      <c r="O10">
        <v>128500</v>
      </c>
      <c r="P10">
        <v>124030</v>
      </c>
      <c r="Q10">
        <v>115219</v>
      </c>
      <c r="R10">
        <v>106737</v>
      </c>
      <c r="S10">
        <v>100648</v>
      </c>
      <c r="T10">
        <v>96217</v>
      </c>
      <c r="U10">
        <v>90429</v>
      </c>
      <c r="V10">
        <v>71415</v>
      </c>
      <c r="W10">
        <v>67237</v>
      </c>
      <c r="X10">
        <v>717248</v>
      </c>
      <c r="Y10">
        <v>674839</v>
      </c>
      <c r="Z10" s="2"/>
      <c r="AA10" s="17" t="s">
        <v>7</v>
      </c>
      <c r="AB10" s="2">
        <f t="shared" si="0"/>
        <v>0.94019085770412236</v>
      </c>
      <c r="AC10" s="2">
        <f>(VLOOKUP($AA10,$I$8:$Y$1048576,5,FALSE)/VLOOKUP($AA10,$I$8:$Y$1048576,4,FALSE))</f>
        <v>0.92875015115013626</v>
      </c>
      <c r="AD10" s="2">
        <f t="shared" si="2"/>
        <v>0.94872130479992434</v>
      </c>
      <c r="AE10" s="2">
        <f t="shared" si="3"/>
        <v>0.9375798993071448</v>
      </c>
      <c r="AF10" s="2">
        <f t="shared" si="4"/>
        <v>0.93959485471600113</v>
      </c>
      <c r="AG10" s="2">
        <f t="shared" si="5"/>
        <v>0.93666472173598958</v>
      </c>
      <c r="AH10" s="2">
        <f t="shared" si="6"/>
        <v>0.95286339606956838</v>
      </c>
      <c r="AI10" s="2">
        <f t="shared" si="7"/>
        <v>0.93763944564281543</v>
      </c>
      <c r="AL10" s="16" t="s">
        <v>192</v>
      </c>
      <c r="AM10" s="27">
        <v>0.95227272727272727</v>
      </c>
      <c r="AN10" s="27">
        <v>0.97368421052631582</v>
      </c>
      <c r="AO10" s="27">
        <v>0.96487119437939106</v>
      </c>
      <c r="AP10" s="27">
        <v>0.94199535962877035</v>
      </c>
      <c r="AQ10" s="27">
        <v>0.92954545454545456</v>
      </c>
      <c r="AR10" s="27">
        <v>0.91868131868131864</v>
      </c>
      <c r="AS10" s="27">
        <v>0.94247787610619471</v>
      </c>
      <c r="AT10" s="27">
        <v>0.94621830587716749</v>
      </c>
      <c r="AU10" s="27">
        <v>0.94481236203090513</v>
      </c>
      <c r="AV10" s="27">
        <v>0.95581395348837206</v>
      </c>
      <c r="AW10" s="27">
        <v>0.91460674157303368</v>
      </c>
      <c r="AX10" s="27">
        <v>0.92342342342342343</v>
      </c>
      <c r="AY10" s="27">
        <v>0.95594713656387664</v>
      </c>
      <c r="AZ10" s="27">
        <v>0.9376391982182628</v>
      </c>
      <c r="BA10" s="27">
        <v>0.94323144104803491</v>
      </c>
      <c r="BB10" s="27">
        <v>0.93935346519227281</v>
      </c>
      <c r="BC10" s="27">
        <v>0.96566523605150212</v>
      </c>
      <c r="BD10" s="27">
        <v>0.9308035714285714</v>
      </c>
      <c r="BE10" s="27">
        <v>0.9419642857142857</v>
      </c>
      <c r="BF10" s="27">
        <v>0.9129464285714286</v>
      </c>
      <c r="BG10" s="27">
        <v>0.95053763440860217</v>
      </c>
      <c r="BH10" s="27">
        <v>0.9464285714285714</v>
      </c>
      <c r="BI10" s="27">
        <v>0.95824175824175828</v>
      </c>
      <c r="BJ10" s="27">
        <v>0.94379821226353144</v>
      </c>
      <c r="BK10" s="27">
        <v>0.9572072072072072</v>
      </c>
      <c r="BL10" s="27">
        <v>0.93873085339168494</v>
      </c>
      <c r="BM10" s="27">
        <v>0.93023255813953487</v>
      </c>
      <c r="BN10" s="27">
        <v>0.91916859122401851</v>
      </c>
      <c r="BO10" s="27">
        <v>0.94052863436123346</v>
      </c>
      <c r="BP10" s="27">
        <v>0.94553376906318087</v>
      </c>
      <c r="BQ10" s="27">
        <v>0.9540481400437637</v>
      </c>
      <c r="BR10" s="27">
        <v>0.94077853620437479</v>
      </c>
      <c r="BS10" s="27">
        <v>0.95883777239709445</v>
      </c>
      <c r="BT10" s="27">
        <v>0.98062953995157387</v>
      </c>
      <c r="BU10" s="27">
        <v>0.9149425287356322</v>
      </c>
      <c r="BV10" s="27">
        <v>0.93736017897091728</v>
      </c>
      <c r="BW10" s="27">
        <v>0.93658536585365859</v>
      </c>
      <c r="BX10" s="27">
        <v>0.93446601941747576</v>
      </c>
      <c r="BY10" s="27">
        <v>0.90441176470588236</v>
      </c>
      <c r="BZ10" s="27">
        <v>0.9381761671474621</v>
      </c>
      <c r="CA10" s="27">
        <v>0.97902097902097907</v>
      </c>
      <c r="CB10" s="27">
        <v>0.99529411764705877</v>
      </c>
      <c r="CC10" s="27">
        <v>0.94394618834080712</v>
      </c>
      <c r="CD10" s="27">
        <v>0.96803652968036524</v>
      </c>
      <c r="CE10" s="27">
        <v>0.96445497630331756</v>
      </c>
      <c r="CF10" s="27">
        <v>0.98826291079812212</v>
      </c>
      <c r="CG10" s="27">
        <v>0.96235294117647063</v>
      </c>
      <c r="CH10" s="27">
        <v>0.9716240918524458</v>
      </c>
      <c r="CI10" s="27">
        <v>0.93492407809110634</v>
      </c>
      <c r="CJ10" s="27">
        <v>0.98663697104677062</v>
      </c>
      <c r="CK10" s="27">
        <v>0.9386363636363636</v>
      </c>
      <c r="CL10" s="27">
        <v>0.8954545454545455</v>
      </c>
      <c r="CM10" s="27">
        <v>0.96514161220043571</v>
      </c>
      <c r="CN10" s="27">
        <v>0.93404255319148932</v>
      </c>
      <c r="CO10" s="27">
        <v>0.94526315789473681</v>
      </c>
      <c r="CP10" s="27">
        <v>0.94287132593077827</v>
      </c>
      <c r="CQ10" s="27">
        <v>0.95565410199556544</v>
      </c>
      <c r="CR10" s="27">
        <v>0.90625</v>
      </c>
      <c r="CS10" s="27">
        <v>0.95011337868480727</v>
      </c>
      <c r="CT10" s="27">
        <v>0.90432801822323461</v>
      </c>
      <c r="CU10" s="27">
        <v>0.9330357142857143</v>
      </c>
      <c r="CV10" s="27">
        <v>0.92</v>
      </c>
      <c r="CW10" s="27">
        <v>0.91868131868131864</v>
      </c>
      <c r="CX10" s="27">
        <v>0.92686607598152015</v>
      </c>
    </row>
    <row r="11" spans="2:142" x14ac:dyDescent="0.35">
      <c r="B11" s="16">
        <v>6</v>
      </c>
      <c r="C11">
        <v>717821</v>
      </c>
      <c r="D11">
        <v>666109</v>
      </c>
      <c r="E11" s="2"/>
      <c r="F11" s="2">
        <f t="shared" si="8"/>
        <v>0.92795975598373415</v>
      </c>
      <c r="G11" s="2"/>
      <c r="H11" s="2"/>
      <c r="I11" s="16" t="s">
        <v>4</v>
      </c>
      <c r="J11">
        <v>76554</v>
      </c>
      <c r="K11">
        <v>72582</v>
      </c>
      <c r="L11">
        <v>106471</v>
      </c>
      <c r="M11">
        <v>99275</v>
      </c>
      <c r="N11">
        <v>136129</v>
      </c>
      <c r="O11">
        <v>127915</v>
      </c>
      <c r="P11">
        <v>124268</v>
      </c>
      <c r="Q11">
        <v>114524</v>
      </c>
      <c r="R11">
        <v>107239</v>
      </c>
      <c r="S11">
        <v>99983</v>
      </c>
      <c r="T11">
        <v>96028</v>
      </c>
      <c r="U11">
        <v>90089</v>
      </c>
      <c r="V11">
        <v>71538</v>
      </c>
      <c r="W11">
        <v>66856</v>
      </c>
      <c r="X11">
        <v>718227</v>
      </c>
      <c r="Y11">
        <v>671224</v>
      </c>
      <c r="Z11" s="2"/>
      <c r="AA11" s="17" t="s">
        <v>8</v>
      </c>
      <c r="AB11" s="2">
        <f t="shared" si="0"/>
        <v>0.93982513286473512</v>
      </c>
      <c r="AC11" s="2">
        <f t="shared" si="1"/>
        <v>0.93497745208568206</v>
      </c>
      <c r="AD11" s="2">
        <f t="shared" si="2"/>
        <v>0.94550164173659246</v>
      </c>
      <c r="AE11" s="2">
        <f t="shared" si="3"/>
        <v>0.93399608994704808</v>
      </c>
      <c r="AF11" s="2">
        <f t="shared" si="4"/>
        <v>0.94085564889948525</v>
      </c>
      <c r="AG11" s="2">
        <f t="shared" si="5"/>
        <v>0.93659654648742896</v>
      </c>
      <c r="AH11" s="2">
        <f t="shared" si="6"/>
        <v>0.95189751342334361</v>
      </c>
      <c r="AI11" s="2">
        <f t="shared" si="7"/>
        <v>0.93683147025564018</v>
      </c>
      <c r="AL11" s="16" t="s">
        <v>193</v>
      </c>
      <c r="AM11" s="27">
        <v>0.88461538461538458</v>
      </c>
      <c r="AN11" s="27">
        <v>0.91104294478527603</v>
      </c>
      <c r="AO11" s="27">
        <v>0.91633858267716539</v>
      </c>
      <c r="AP11" s="27">
        <v>0.92035398230088494</v>
      </c>
      <c r="AQ11" s="27">
        <v>0.94001966568338247</v>
      </c>
      <c r="AR11" s="27">
        <v>0.94129353233830848</v>
      </c>
      <c r="AS11" s="27">
        <v>0.9640718562874252</v>
      </c>
      <c r="AT11" s="27">
        <v>0.9253908498125466</v>
      </c>
      <c r="AU11" s="27">
        <v>0.95495495495495497</v>
      </c>
      <c r="AV11" s="27">
        <v>0.92330383480825962</v>
      </c>
      <c r="AW11" s="27">
        <v>0.94199999999999995</v>
      </c>
      <c r="AX11" s="27">
        <v>0.95575221238938057</v>
      </c>
      <c r="AY11" s="27">
        <v>0.92879256965944268</v>
      </c>
      <c r="AZ11" s="27">
        <v>0.9213372664700098</v>
      </c>
      <c r="BA11" s="27">
        <v>0.94011976047904189</v>
      </c>
      <c r="BB11" s="27">
        <v>0.93803722839444137</v>
      </c>
      <c r="BC11" s="27">
        <v>0.95099999999999996</v>
      </c>
      <c r="BD11" s="27">
        <v>0.93700000000000006</v>
      </c>
      <c r="BE11" s="27">
        <v>0.92192192192192191</v>
      </c>
      <c r="BF11" s="27">
        <v>0.92992992992992995</v>
      </c>
      <c r="BG11" s="27">
        <v>0.96170839469808544</v>
      </c>
      <c r="BH11" s="27">
        <v>0.93693693693693691</v>
      </c>
      <c r="BI11" s="27">
        <v>0.90654205607476634</v>
      </c>
      <c r="BJ11" s="27">
        <v>0.93500560565166302</v>
      </c>
      <c r="BK11" s="27">
        <v>0.92700000000000005</v>
      </c>
      <c r="BL11" s="27">
        <v>0.93600000000000005</v>
      </c>
      <c r="BM11" s="27">
        <v>0.91200000000000003</v>
      </c>
      <c r="BN11" s="27">
        <v>0.92600000000000005</v>
      </c>
      <c r="BO11" s="27">
        <v>0.95195195195195192</v>
      </c>
      <c r="BP11" s="27">
        <v>0.94392523364485981</v>
      </c>
      <c r="BQ11" s="27">
        <v>0.96399999999999997</v>
      </c>
      <c r="BR11" s="27">
        <v>0.93726816937097301</v>
      </c>
      <c r="BS11" s="27">
        <v>0.91791791791791788</v>
      </c>
      <c r="BT11" s="27">
        <v>0.93500000000000005</v>
      </c>
      <c r="BU11" s="27">
        <v>0.92192192192192191</v>
      </c>
      <c r="BV11" s="27">
        <v>0.9238476953907816</v>
      </c>
      <c r="BW11" s="27">
        <v>0.88700000000000001</v>
      </c>
      <c r="BX11" s="27">
        <v>0.93799999999999994</v>
      </c>
      <c r="BY11" s="27">
        <v>0.877</v>
      </c>
      <c r="BZ11" s="27">
        <v>0.91438393360437453</v>
      </c>
      <c r="CA11" s="27">
        <v>0.92800000000000005</v>
      </c>
      <c r="CB11" s="27">
        <v>0.89719626168224298</v>
      </c>
      <c r="CC11" s="27">
        <v>0.9169169169169169</v>
      </c>
      <c r="CD11" s="27">
        <v>0.86604361370716509</v>
      </c>
      <c r="CE11" s="27">
        <v>0.92</v>
      </c>
      <c r="CF11" s="27">
        <v>0.92778335005015045</v>
      </c>
      <c r="CG11" s="27">
        <v>0.84112149532710279</v>
      </c>
      <c r="CH11" s="27">
        <v>0.89958023395479703</v>
      </c>
      <c r="CI11" s="27">
        <v>0.93593593593593594</v>
      </c>
      <c r="CJ11" s="27">
        <v>0.93486973947895791</v>
      </c>
      <c r="CK11" s="27">
        <v>0.9</v>
      </c>
      <c r="CL11" s="27">
        <v>0.90050761421319792</v>
      </c>
      <c r="CM11" s="27">
        <v>0.93899999999999995</v>
      </c>
      <c r="CN11" s="27">
        <v>0.92211838006230529</v>
      </c>
      <c r="CO11" s="27">
        <v>0.94894894894894899</v>
      </c>
      <c r="CP11" s="27">
        <v>0.92591151694847806</v>
      </c>
      <c r="CQ11" s="27">
        <v>0.94837758112094395</v>
      </c>
      <c r="CR11" s="27">
        <v>0.94094094094094094</v>
      </c>
      <c r="CS11" s="27">
        <v>0.92100000000000004</v>
      </c>
      <c r="CT11" s="27">
        <v>0.92700000000000005</v>
      </c>
      <c r="CU11" s="27">
        <v>0.89408099688473519</v>
      </c>
      <c r="CV11" s="27">
        <v>0.91588785046728971</v>
      </c>
      <c r="CW11" s="27">
        <v>0.96318114874815908</v>
      </c>
      <c r="CX11" s="27">
        <v>0.93006693116601002</v>
      </c>
    </row>
    <row r="12" spans="2:142" x14ac:dyDescent="0.35">
      <c r="B12" s="16">
        <v>7</v>
      </c>
      <c r="C12">
        <v>726929</v>
      </c>
      <c r="D12">
        <v>683452</v>
      </c>
      <c r="E12" s="2"/>
      <c r="F12" s="2">
        <f>D12/C12</f>
        <v>0.94019085770412236</v>
      </c>
      <c r="G12" s="2"/>
      <c r="H12" s="2"/>
      <c r="I12" s="16" t="s">
        <v>5</v>
      </c>
      <c r="J12">
        <v>75514</v>
      </c>
      <c r="K12">
        <v>69227</v>
      </c>
      <c r="L12">
        <v>105548</v>
      </c>
      <c r="M12">
        <v>92755</v>
      </c>
      <c r="N12">
        <v>134884</v>
      </c>
      <c r="O12">
        <v>120957</v>
      </c>
      <c r="P12">
        <v>122597</v>
      </c>
      <c r="Q12">
        <v>107055</v>
      </c>
      <c r="R12">
        <v>106204</v>
      </c>
      <c r="S12">
        <v>93651</v>
      </c>
      <c r="T12">
        <v>94349</v>
      </c>
      <c r="U12">
        <v>84986</v>
      </c>
      <c r="V12">
        <v>70066</v>
      </c>
      <c r="W12">
        <v>62770</v>
      </c>
      <c r="X12">
        <v>709162</v>
      </c>
      <c r="Y12">
        <v>631401</v>
      </c>
      <c r="Z12" s="2"/>
      <c r="AA12" s="17" t="s">
        <v>9</v>
      </c>
      <c r="AB12" s="2" t="e">
        <f t="shared" si="0"/>
        <v>#N/A</v>
      </c>
      <c r="AC12" s="2" t="e">
        <f t="shared" si="1"/>
        <v>#N/A</v>
      </c>
      <c r="AD12" s="2" t="e">
        <f t="shared" si="2"/>
        <v>#N/A</v>
      </c>
      <c r="AE12" s="2" t="e">
        <f t="shared" si="3"/>
        <v>#N/A</v>
      </c>
      <c r="AF12" s="2" t="e">
        <f t="shared" si="4"/>
        <v>#N/A</v>
      </c>
      <c r="AG12" s="2" t="e">
        <f t="shared" si="5"/>
        <v>#N/A</v>
      </c>
      <c r="AH12" s="2" t="e">
        <f t="shared" si="6"/>
        <v>#N/A</v>
      </c>
      <c r="AI12" s="2" t="e">
        <f t="shared" si="7"/>
        <v>#N/A</v>
      </c>
      <c r="AL12" s="16" t="s">
        <v>194</v>
      </c>
      <c r="AM12" s="27">
        <v>0.97929606625258803</v>
      </c>
      <c r="AN12" s="27">
        <v>0.98353909465020573</v>
      </c>
      <c r="AO12" s="27">
        <v>0.94758909853249473</v>
      </c>
      <c r="AP12" s="27">
        <v>0.97040169133192389</v>
      </c>
      <c r="AQ12" s="27">
        <v>0.99178644763860369</v>
      </c>
      <c r="AR12" s="27">
        <v>0.98178137651821862</v>
      </c>
      <c r="AS12" s="27">
        <v>0.9897750511247444</v>
      </c>
      <c r="AT12" s="27">
        <v>0.9777384037212542</v>
      </c>
      <c r="AU12" s="27">
        <v>0.9575371549893843</v>
      </c>
      <c r="AV12" s="27">
        <v>0.98983739837398377</v>
      </c>
      <c r="AW12" s="27">
        <v>0.89416846652267823</v>
      </c>
      <c r="AX12" s="27">
        <v>0.92008639308855289</v>
      </c>
      <c r="AY12" s="27">
        <v>0.96257796257796258</v>
      </c>
      <c r="AZ12" s="27">
        <v>0.99195171026156936</v>
      </c>
      <c r="BA12" s="27">
        <v>0.9691991786447639</v>
      </c>
      <c r="BB12" s="27">
        <v>0.95505118063698513</v>
      </c>
      <c r="BC12" s="27">
        <v>0.9603340292275574</v>
      </c>
      <c r="BD12" s="27">
        <v>0.96382978723404256</v>
      </c>
      <c r="BE12" s="27">
        <v>0.93697478991596639</v>
      </c>
      <c r="BF12" s="27">
        <v>0.95833333333333337</v>
      </c>
      <c r="BG12" s="27">
        <v>0.96868475991649272</v>
      </c>
      <c r="BH12" s="27">
        <v>0.96861924686192469</v>
      </c>
      <c r="BI12" s="27">
        <v>0.98336798336798337</v>
      </c>
      <c r="BJ12" s="27">
        <v>0.96287770426532859</v>
      </c>
      <c r="BK12" s="27">
        <v>0.95348837209302328</v>
      </c>
      <c r="BL12" s="27">
        <v>0.98132780082987547</v>
      </c>
      <c r="BM12" s="27">
        <v>0.93855932203389836</v>
      </c>
      <c r="BN12" s="27">
        <v>0.93644067796610164</v>
      </c>
      <c r="BO12" s="27">
        <v>0.9795501022494888</v>
      </c>
      <c r="BP12" s="27">
        <v>0.96951219512195119</v>
      </c>
      <c r="BQ12" s="27">
        <v>0.95306122448979591</v>
      </c>
      <c r="BR12" s="27">
        <v>0.95884852782630481</v>
      </c>
      <c r="BS12" s="27">
        <v>0.94080338266384778</v>
      </c>
      <c r="BT12" s="27">
        <v>0.98109243697478987</v>
      </c>
      <c r="BU12" s="27">
        <v>0.9308176100628931</v>
      </c>
      <c r="BV12" s="27">
        <v>0.97717842323651449</v>
      </c>
      <c r="BW12" s="27">
        <v>0.97452229299363058</v>
      </c>
      <c r="BX12" s="27">
        <v>0.96405919661733619</v>
      </c>
      <c r="BY12" s="27">
        <v>0.97452229299363058</v>
      </c>
      <c r="BZ12" s="27">
        <v>0.96328509079180602</v>
      </c>
      <c r="CA12" s="27">
        <v>0.97556008146639506</v>
      </c>
      <c r="CB12" s="27">
        <v>0.97755102040816322</v>
      </c>
      <c r="CC12" s="27">
        <v>0.9758551307847082</v>
      </c>
      <c r="CD12" s="27">
        <v>0.969758064516129</v>
      </c>
      <c r="CE12" s="27">
        <v>0.99605522682445757</v>
      </c>
      <c r="CF12" s="27">
        <v>0.99171842650103514</v>
      </c>
      <c r="CG12" s="27">
        <v>0.97211155378486058</v>
      </c>
      <c r="CH12" s="27">
        <v>0.97980135775510691</v>
      </c>
      <c r="CI12" s="27">
        <v>0.98960498960498966</v>
      </c>
      <c r="CJ12" s="27">
        <v>0.98773006134969321</v>
      </c>
      <c r="CK12" s="27">
        <v>0.94154488517745305</v>
      </c>
      <c r="CL12" s="27">
        <v>0.975103734439834</v>
      </c>
      <c r="CM12" s="27">
        <v>0.99171842650103514</v>
      </c>
      <c r="CN12" s="27">
        <v>0.99380165289256195</v>
      </c>
      <c r="CO12" s="27">
        <v>0.99180327868852458</v>
      </c>
      <c r="CP12" s="27">
        <v>0.9816152898077275</v>
      </c>
      <c r="CQ12" s="27">
        <v>0.98329853862212946</v>
      </c>
      <c r="CR12" s="27">
        <v>0.98752598752598753</v>
      </c>
      <c r="CS12" s="27">
        <v>0.9543568464730291</v>
      </c>
      <c r="CT12" s="27">
        <v>0.95807127882599585</v>
      </c>
      <c r="CU12" s="27">
        <v>0.97494780793319413</v>
      </c>
      <c r="CV12" s="27">
        <v>0.97302904564315351</v>
      </c>
      <c r="CW12" s="27">
        <v>0.98132780082987547</v>
      </c>
      <c r="CX12" s="27">
        <v>0.97322247226476644</v>
      </c>
    </row>
    <row r="13" spans="2:142" x14ac:dyDescent="0.35">
      <c r="B13" s="16">
        <v>8</v>
      </c>
      <c r="C13">
        <v>723292</v>
      </c>
      <c r="D13">
        <v>679768</v>
      </c>
      <c r="E13" s="2"/>
      <c r="F13" s="2">
        <f t="shared" si="8"/>
        <v>0.93982513286473512</v>
      </c>
      <c r="G13" s="2"/>
      <c r="H13" s="2"/>
      <c r="I13" s="16" t="s">
        <v>6</v>
      </c>
      <c r="J13">
        <v>76898</v>
      </c>
      <c r="K13">
        <v>73044</v>
      </c>
      <c r="L13">
        <v>104317</v>
      </c>
      <c r="M13">
        <v>94770</v>
      </c>
      <c r="N13">
        <v>136433</v>
      </c>
      <c r="O13">
        <v>127582</v>
      </c>
      <c r="P13">
        <v>124632</v>
      </c>
      <c r="Q13">
        <v>114396</v>
      </c>
      <c r="R13">
        <v>107246</v>
      </c>
      <c r="S13">
        <v>98831</v>
      </c>
      <c r="T13">
        <v>96416</v>
      </c>
      <c r="U13">
        <v>90547</v>
      </c>
      <c r="V13">
        <v>71879</v>
      </c>
      <c r="W13">
        <v>66939</v>
      </c>
      <c r="X13">
        <v>717821</v>
      </c>
      <c r="Y13">
        <v>666109</v>
      </c>
      <c r="Z13" s="2"/>
      <c r="AA13" s="17" t="s">
        <v>10</v>
      </c>
      <c r="AB13" s="2" t="e">
        <f t="shared" si="0"/>
        <v>#N/A</v>
      </c>
      <c r="AC13" s="2" t="e">
        <f t="shared" si="1"/>
        <v>#N/A</v>
      </c>
      <c r="AD13" s="2" t="e">
        <f>(VLOOKUP($AA13,$I$8:$Y$1048576,7,FALSE)/VLOOKUP($AA13,$I$8:$Y$1048576,6,FALSE))</f>
        <v>#N/A</v>
      </c>
      <c r="AE13" s="2" t="e">
        <f t="shared" si="3"/>
        <v>#N/A</v>
      </c>
      <c r="AF13" s="2" t="e">
        <f t="shared" si="4"/>
        <v>#N/A</v>
      </c>
      <c r="AG13" s="2" t="e">
        <f t="shared" si="5"/>
        <v>#N/A</v>
      </c>
      <c r="AH13" s="2" t="e">
        <f t="shared" si="6"/>
        <v>#N/A</v>
      </c>
      <c r="AI13" s="2" t="e">
        <f t="shared" si="7"/>
        <v>#N/A</v>
      </c>
      <c r="AL13" s="16" t="s">
        <v>195</v>
      </c>
      <c r="AM13" s="27">
        <v>0.93140153755174449</v>
      </c>
      <c r="AN13" s="27">
        <v>0.93448481238832637</v>
      </c>
      <c r="AO13" s="27">
        <v>0.92303137951450565</v>
      </c>
      <c r="AP13" s="27">
        <v>0.919047619047619</v>
      </c>
      <c r="AQ13" s="27">
        <v>0.93908929627439386</v>
      </c>
      <c r="AR13" s="27">
        <v>0.94497041420118344</v>
      </c>
      <c r="AS13" s="27">
        <v>0.95502958579881658</v>
      </c>
      <c r="AT13" s="27">
        <v>0.93529352068236993</v>
      </c>
      <c r="AU13" s="27">
        <v>0.92085056113408148</v>
      </c>
      <c r="AV13" s="27">
        <v>0.91864608076009502</v>
      </c>
      <c r="AW13" s="27">
        <v>0.91181763647270542</v>
      </c>
      <c r="AX13" s="27">
        <v>0.90174804098854733</v>
      </c>
      <c r="AY13" s="27">
        <v>0.92655699177438311</v>
      </c>
      <c r="AZ13" s="27">
        <v>0.92566371681415927</v>
      </c>
      <c r="BA13" s="27">
        <v>0.92266824085005905</v>
      </c>
      <c r="BB13" s="27">
        <v>0.91827875268486159</v>
      </c>
      <c r="BC13" s="27">
        <v>0.91504424778761062</v>
      </c>
      <c r="BD13" s="27">
        <v>0.90593169562612341</v>
      </c>
      <c r="BE13" s="27">
        <v>0.9099582587954681</v>
      </c>
      <c r="BF13" s="27">
        <v>0.9045317220543807</v>
      </c>
      <c r="BG13" s="27">
        <v>0.91809074837949323</v>
      </c>
      <c r="BH13" s="27">
        <v>0.91273584905660377</v>
      </c>
      <c r="BI13" s="27">
        <v>0.91957421643997639</v>
      </c>
      <c r="BJ13" s="27">
        <v>0.91226667687709373</v>
      </c>
      <c r="BK13" s="27">
        <v>0.89911504424778765</v>
      </c>
      <c r="BL13" s="27">
        <v>0.91301739652069591</v>
      </c>
      <c r="BM13" s="27">
        <v>0.88829787234042556</v>
      </c>
      <c r="BN13" s="27">
        <v>0.88479809976247026</v>
      </c>
      <c r="BO13" s="27">
        <v>0.91027154663518295</v>
      </c>
      <c r="BP13" s="27">
        <v>0.92106824925816022</v>
      </c>
      <c r="BQ13" s="27">
        <v>0.91912632821723728</v>
      </c>
      <c r="BR13" s="27">
        <v>0.90509921956885131</v>
      </c>
      <c r="BS13" s="27">
        <v>0.85191846522781778</v>
      </c>
      <c r="BT13" s="27">
        <v>0.86654804270462638</v>
      </c>
      <c r="BU13" s="27">
        <v>0.86407185628742511</v>
      </c>
      <c r="BV13" s="27">
        <v>0.85218432076600836</v>
      </c>
      <c r="BW13" s="27">
        <v>0.82722832722832718</v>
      </c>
      <c r="BX13" s="27">
        <v>0.86821705426356588</v>
      </c>
      <c r="BY13" s="27">
        <v>0.8365853658536585</v>
      </c>
      <c r="BZ13" s="27">
        <v>0.85239334747591844</v>
      </c>
      <c r="CA13" s="27">
        <v>0.87018375815056315</v>
      </c>
      <c r="CB13" s="27">
        <v>0.8769414575866189</v>
      </c>
      <c r="CC13" s="27">
        <v>0.88207266229898751</v>
      </c>
      <c r="CD13" s="27">
        <v>0.88729016786570747</v>
      </c>
      <c r="CE13" s="27">
        <v>0.87290167865707435</v>
      </c>
      <c r="CF13" s="27">
        <v>0.87522388059701495</v>
      </c>
      <c r="CG13" s="27">
        <v>0.86031175059952036</v>
      </c>
      <c r="CH13" s="27">
        <v>0.87498933653649791</v>
      </c>
      <c r="CI13" s="27">
        <v>0.88811594202898547</v>
      </c>
      <c r="CJ13" s="27">
        <v>0.8981042654028436</v>
      </c>
      <c r="CK13" s="27">
        <v>0.88551401869158874</v>
      </c>
      <c r="CL13" s="27">
        <v>0.88256018790369939</v>
      </c>
      <c r="CM13" s="27">
        <v>0.90997706422018354</v>
      </c>
      <c r="CN13" s="27">
        <v>0.90395809080325962</v>
      </c>
      <c r="CO13" s="27">
        <v>0.89947704822777452</v>
      </c>
      <c r="CP13" s="27">
        <v>0.89538665961119068</v>
      </c>
      <c r="CQ13" s="27">
        <v>0.89577301679212507</v>
      </c>
      <c r="CR13" s="27">
        <v>0.8820093457943925</v>
      </c>
      <c r="CS13" s="27">
        <v>0.88644264194669753</v>
      </c>
      <c r="CT13" s="27">
        <v>0.87158628704241725</v>
      </c>
      <c r="CU13" s="27">
        <v>0.90133488102147419</v>
      </c>
      <c r="CV13" s="27">
        <v>0.90192644483362527</v>
      </c>
      <c r="CW13" s="27">
        <v>0.90935502614758856</v>
      </c>
      <c r="CX13" s="27">
        <v>0.89263252051118858</v>
      </c>
    </row>
    <row r="14" spans="2:142" x14ac:dyDescent="0.35">
      <c r="B14" s="16" t="s">
        <v>139</v>
      </c>
      <c r="C14">
        <v>5742425</v>
      </c>
      <c r="D14">
        <v>5359533</v>
      </c>
      <c r="E14" s="2"/>
      <c r="F14" s="2">
        <f t="shared" si="8"/>
        <v>0.93332224626355587</v>
      </c>
      <c r="G14" s="2"/>
      <c r="H14" s="2"/>
      <c r="I14" s="16" t="s">
        <v>7</v>
      </c>
      <c r="J14">
        <v>76989</v>
      </c>
      <c r="K14">
        <v>73360</v>
      </c>
      <c r="L14">
        <v>107509</v>
      </c>
      <c r="M14">
        <v>99849</v>
      </c>
      <c r="N14">
        <v>137523</v>
      </c>
      <c r="O14">
        <v>130471</v>
      </c>
      <c r="P14">
        <v>126722</v>
      </c>
      <c r="Q14">
        <v>118812</v>
      </c>
      <c r="R14">
        <v>108017</v>
      </c>
      <c r="S14">
        <v>101281</v>
      </c>
      <c r="T14">
        <v>98187</v>
      </c>
      <c r="U14">
        <v>92256</v>
      </c>
      <c r="V14">
        <v>71982</v>
      </c>
      <c r="W14">
        <v>67423</v>
      </c>
      <c r="X14">
        <v>726929</v>
      </c>
      <c r="Y14">
        <v>683452</v>
      </c>
      <c r="Z14" s="2"/>
      <c r="AA14" s="17" t="s">
        <v>11</v>
      </c>
      <c r="AB14" s="2" t="e">
        <f t="shared" si="0"/>
        <v>#N/A</v>
      </c>
      <c r="AC14" s="2" t="e">
        <f t="shared" si="1"/>
        <v>#N/A</v>
      </c>
      <c r="AD14" s="2" t="e">
        <f t="shared" si="2"/>
        <v>#N/A</v>
      </c>
      <c r="AE14" s="2" t="e">
        <f t="shared" si="3"/>
        <v>#N/A</v>
      </c>
      <c r="AF14" s="2" t="e">
        <f t="shared" si="4"/>
        <v>#N/A</v>
      </c>
      <c r="AG14" s="2" t="e">
        <f t="shared" si="5"/>
        <v>#N/A</v>
      </c>
      <c r="AH14" s="2" t="e">
        <f t="shared" si="6"/>
        <v>#N/A</v>
      </c>
      <c r="AI14" s="2" t="e">
        <f t="shared" si="7"/>
        <v>#N/A</v>
      </c>
      <c r="AL14" s="16" t="s">
        <v>196</v>
      </c>
      <c r="AM14" s="27">
        <v>0.95094339622641511</v>
      </c>
      <c r="AN14" s="27">
        <v>0.97016274864376129</v>
      </c>
      <c r="AO14" s="27">
        <v>0.95138226882745469</v>
      </c>
      <c r="AP14" s="27">
        <v>0.97201492537313428</v>
      </c>
      <c r="AQ14" s="27">
        <v>0.95202952029520294</v>
      </c>
      <c r="AR14" s="27">
        <v>0.96579657965796584</v>
      </c>
      <c r="AS14" s="27">
        <v>0.95346715328467158</v>
      </c>
      <c r="AT14" s="27">
        <v>0.95939951318694361</v>
      </c>
      <c r="AU14" s="27">
        <v>0.9751838235294118</v>
      </c>
      <c r="AV14" s="27">
        <v>0.96519285042333025</v>
      </c>
      <c r="AW14" s="27">
        <v>0.94981412639405205</v>
      </c>
      <c r="AX14" s="27">
        <v>0.95954844778927562</v>
      </c>
      <c r="AY14" s="27">
        <v>0.96245421245421248</v>
      </c>
      <c r="AZ14" s="27">
        <v>0.95899347623485554</v>
      </c>
      <c r="BA14" s="27">
        <v>0.96074766355140184</v>
      </c>
      <c r="BB14" s="27">
        <v>0.96170494291093434</v>
      </c>
      <c r="BC14" s="27">
        <v>0.96150320806599454</v>
      </c>
      <c r="BD14" s="27">
        <v>0.9424528301886792</v>
      </c>
      <c r="BE14" s="27">
        <v>0.9465791940018744</v>
      </c>
      <c r="BF14" s="27">
        <v>0.9524253731343284</v>
      </c>
      <c r="BG14" s="27">
        <v>0.96551724137931039</v>
      </c>
      <c r="BH14" s="27">
        <v>0.95121951219512191</v>
      </c>
      <c r="BI14" s="27">
        <v>0.94085532302092811</v>
      </c>
      <c r="BJ14" s="27">
        <v>0.9515075259980339</v>
      </c>
      <c r="BK14" s="27">
        <v>0.96391263057929721</v>
      </c>
      <c r="BL14" s="27">
        <v>0.95299539170506908</v>
      </c>
      <c r="BM14" s="27">
        <v>0.9384902143522833</v>
      </c>
      <c r="BN14" s="27">
        <v>0.95291902071563084</v>
      </c>
      <c r="BO14" s="27">
        <v>0.95958646616541354</v>
      </c>
      <c r="BP14" s="27">
        <v>0.96103896103896103</v>
      </c>
      <c r="BQ14" s="27">
        <v>0.956959706959707</v>
      </c>
      <c r="BR14" s="27">
        <v>0.95512891307376602</v>
      </c>
      <c r="BS14" s="27">
        <v>0.93988549618320616</v>
      </c>
      <c r="BT14" s="27">
        <v>0.96344892221180878</v>
      </c>
      <c r="BU14" s="27">
        <v>0.9415041782729805</v>
      </c>
      <c r="BV14" s="27">
        <v>0.91879562043795615</v>
      </c>
      <c r="BW14" s="27">
        <v>0.92718446601941751</v>
      </c>
      <c r="BX14" s="27">
        <v>0.94428706326723322</v>
      </c>
      <c r="BY14" s="27">
        <v>0.90434782608695652</v>
      </c>
      <c r="BZ14" s="27">
        <v>0.93420765321136556</v>
      </c>
      <c r="CA14" s="27">
        <v>0.97454545454545449</v>
      </c>
      <c r="CB14" s="27">
        <v>0.96465116279069762</v>
      </c>
      <c r="CC14" s="27">
        <v>0.9641214351425943</v>
      </c>
      <c r="CD14" s="27">
        <v>0.96900638103919778</v>
      </c>
      <c r="CE14" s="27">
        <v>0.97438243366880151</v>
      </c>
      <c r="CF14" s="27">
        <v>0.95365418894830656</v>
      </c>
      <c r="CG14" s="27">
        <v>0.96483318304779075</v>
      </c>
      <c r="CH14" s="27">
        <v>0.9664563198832633</v>
      </c>
      <c r="CI14" s="27">
        <v>0.94927536231884058</v>
      </c>
      <c r="CJ14" s="27">
        <v>0.96925858951175403</v>
      </c>
      <c r="CK14" s="27">
        <v>0.9342465753424658</v>
      </c>
      <c r="CL14" s="27">
        <v>0.95067264573991028</v>
      </c>
      <c r="CM14" s="27">
        <v>0.94660633484162893</v>
      </c>
      <c r="CN14" s="27">
        <v>0.97209720972097213</v>
      </c>
      <c r="CO14" s="27">
        <v>0.94614003590664275</v>
      </c>
      <c r="CP14" s="27">
        <v>0.95261382191174504</v>
      </c>
      <c r="CQ14" s="27">
        <v>0.96441605839416056</v>
      </c>
      <c r="CR14" s="27">
        <v>0.95</v>
      </c>
      <c r="CS14" s="27">
        <v>0.93048128342245995</v>
      </c>
      <c r="CT14" s="27">
        <v>0.9488584474885845</v>
      </c>
      <c r="CU14" s="27">
        <v>0.9463276836158192</v>
      </c>
      <c r="CV14" s="27">
        <v>0.9738503155996393</v>
      </c>
      <c r="CW14" s="27">
        <v>0.94499549143372408</v>
      </c>
      <c r="CX14" s="27">
        <v>0.9512756114220553</v>
      </c>
    </row>
    <row r="15" spans="2:142" x14ac:dyDescent="0.35">
      <c r="E15" s="2"/>
      <c r="F15" s="2" t="e">
        <f t="shared" si="8"/>
        <v>#DIV/0!</v>
      </c>
      <c r="G15" s="2"/>
      <c r="H15" s="2"/>
      <c r="I15" s="16" t="s">
        <v>8</v>
      </c>
      <c r="J15">
        <v>76732</v>
      </c>
      <c r="K15">
        <v>73041</v>
      </c>
      <c r="L15">
        <v>106440</v>
      </c>
      <c r="M15">
        <v>99519</v>
      </c>
      <c r="N15">
        <v>137050</v>
      </c>
      <c r="O15">
        <v>129581</v>
      </c>
      <c r="P15">
        <v>126341</v>
      </c>
      <c r="Q15">
        <v>118002</v>
      </c>
      <c r="R15">
        <v>107886</v>
      </c>
      <c r="S15">
        <v>101071</v>
      </c>
      <c r="T15">
        <v>97727</v>
      </c>
      <c r="U15">
        <v>91947</v>
      </c>
      <c r="V15">
        <v>71116</v>
      </c>
      <c r="W15">
        <v>66607</v>
      </c>
      <c r="X15">
        <v>723292</v>
      </c>
      <c r="Y15">
        <v>679768</v>
      </c>
      <c r="Z15" s="2"/>
      <c r="AA15" s="17" t="s">
        <v>12</v>
      </c>
      <c r="AB15" s="2" t="e">
        <f t="shared" si="0"/>
        <v>#N/A</v>
      </c>
      <c r="AC15" s="2" t="e">
        <f t="shared" si="1"/>
        <v>#N/A</v>
      </c>
      <c r="AD15" s="2" t="e">
        <f t="shared" si="2"/>
        <v>#N/A</v>
      </c>
      <c r="AE15" s="2" t="e">
        <f t="shared" si="3"/>
        <v>#N/A</v>
      </c>
      <c r="AF15" s="2" t="e">
        <f t="shared" si="4"/>
        <v>#N/A</v>
      </c>
      <c r="AG15" s="2" t="e">
        <f t="shared" si="5"/>
        <v>#N/A</v>
      </c>
      <c r="AH15" s="2" t="e">
        <f t="shared" si="6"/>
        <v>#N/A</v>
      </c>
      <c r="AI15" s="2" t="e">
        <f>(VLOOKUP($AA15,$I$8:$Y$1048576,11,FALSE)/VLOOKUP($AA15,$I$8:$Y$1048576,10,FALSE))</f>
        <v>#N/A</v>
      </c>
      <c r="AL15" s="16" t="s">
        <v>197</v>
      </c>
      <c r="AM15" s="27">
        <v>0.81756756756756754</v>
      </c>
      <c r="AN15" s="27">
        <v>0.90333333333333332</v>
      </c>
      <c r="AO15" s="27">
        <v>0.7857142857142857</v>
      </c>
      <c r="AP15" s="27">
        <v>0.76086956521739135</v>
      </c>
      <c r="AQ15" s="27">
        <v>0.85666666666666669</v>
      </c>
      <c r="AR15" s="27">
        <v>0.90268456375838924</v>
      </c>
      <c r="AS15" s="27">
        <v>0.9</v>
      </c>
      <c r="AT15" s="27">
        <v>0.84669085460823346</v>
      </c>
      <c r="AU15" s="27">
        <v>0.86054421768707479</v>
      </c>
      <c r="AV15" s="27">
        <v>0.81481481481481477</v>
      </c>
      <c r="AW15" s="27">
        <v>0.83448275862068966</v>
      </c>
      <c r="AX15" s="27">
        <v>0.82116788321167888</v>
      </c>
      <c r="AY15" s="27">
        <v>0.86348122866894195</v>
      </c>
      <c r="AZ15" s="27">
        <v>0.87878787878787878</v>
      </c>
      <c r="BA15" s="27">
        <v>0.89189189189189189</v>
      </c>
      <c r="BB15" s="27">
        <v>0.8521672390975672</v>
      </c>
      <c r="BC15" s="27">
        <v>0.81506849315068497</v>
      </c>
      <c r="BD15" s="27">
        <v>0.80405405405405406</v>
      </c>
      <c r="BE15" s="27">
        <v>0.82078853046594979</v>
      </c>
      <c r="BF15" s="27">
        <v>0.75789473684210529</v>
      </c>
      <c r="BG15" s="27">
        <v>0.80067567567567566</v>
      </c>
      <c r="BH15" s="27">
        <v>0.84482758620689657</v>
      </c>
      <c r="BI15" s="27">
        <v>0.84848484848484851</v>
      </c>
      <c r="BJ15" s="27">
        <v>0.81311341784003066</v>
      </c>
      <c r="BK15" s="27">
        <v>0.81849315068493156</v>
      </c>
      <c r="BL15" s="27">
        <v>0.78451178451178449</v>
      </c>
      <c r="BM15" s="27">
        <v>0.76223776223776218</v>
      </c>
      <c r="BN15" s="27">
        <v>0.76595744680851063</v>
      </c>
      <c r="BO15" s="27">
        <v>0.78716216216216217</v>
      </c>
      <c r="BP15" s="27">
        <v>0.8321917808219178</v>
      </c>
      <c r="BQ15" s="27">
        <v>0.79797979797979801</v>
      </c>
      <c r="BR15" s="27">
        <v>0.79264769788669531</v>
      </c>
      <c r="BS15" s="27">
        <v>0.66423357664233573</v>
      </c>
      <c r="BT15" s="27">
        <v>0.734006734006734</v>
      </c>
      <c r="BU15" s="27">
        <v>0.71527777777777779</v>
      </c>
      <c r="BV15" s="27">
        <v>0.75373134328358204</v>
      </c>
      <c r="BW15" s="27">
        <v>0.66926070038910501</v>
      </c>
      <c r="BX15" s="27">
        <v>0.7192982456140351</v>
      </c>
      <c r="BY15" s="27">
        <v>0.66412213740458015</v>
      </c>
      <c r="BZ15" s="27">
        <v>0.70284721644545001</v>
      </c>
      <c r="CA15" s="27">
        <v>0.85135135135135132</v>
      </c>
      <c r="CB15" s="27">
        <v>0.72542372881355932</v>
      </c>
      <c r="CC15" s="27">
        <v>0.74551971326164879</v>
      </c>
      <c r="CD15" s="27">
        <v>0.7216117216117216</v>
      </c>
      <c r="CE15" s="27">
        <v>0.73630136986301364</v>
      </c>
      <c r="CF15" s="27">
        <v>0.76632302405498287</v>
      </c>
      <c r="CG15" s="27">
        <v>0.72101449275362317</v>
      </c>
      <c r="CH15" s="27">
        <v>0.75250648595855729</v>
      </c>
      <c r="CI15" s="27">
        <v>0.78378378378378377</v>
      </c>
      <c r="CJ15" s="27">
        <v>0.70568561872909696</v>
      </c>
      <c r="CK15" s="27">
        <v>0.78021978021978022</v>
      </c>
      <c r="CL15" s="27">
        <v>0.78228782287822873</v>
      </c>
      <c r="CM15" s="27">
        <v>0.79530201342281881</v>
      </c>
      <c r="CN15" s="27">
        <v>0.83848797250859108</v>
      </c>
      <c r="CO15" s="27">
        <v>0.89347079037800692</v>
      </c>
      <c r="CP15" s="27">
        <v>0.79703396884575795</v>
      </c>
      <c r="CQ15" s="27">
        <v>0.84722222222222221</v>
      </c>
      <c r="CR15" s="27">
        <v>0.74237288135593216</v>
      </c>
      <c r="CS15" s="27">
        <v>0.8498168498168498</v>
      </c>
      <c r="CT15" s="27">
        <v>0.81985294117647056</v>
      </c>
      <c r="CU15" s="27">
        <v>0.80902777777777779</v>
      </c>
      <c r="CV15" s="27">
        <v>0.81849315068493156</v>
      </c>
      <c r="CW15" s="27">
        <v>0.8122866894197952</v>
      </c>
      <c r="CX15" s="27">
        <v>0.81415321606485413</v>
      </c>
    </row>
    <row r="16" spans="2:142" x14ac:dyDescent="0.35">
      <c r="E16" s="2"/>
      <c r="F16" s="2" t="e">
        <f t="shared" si="8"/>
        <v>#DIV/0!</v>
      </c>
      <c r="G16" s="2"/>
      <c r="H16" s="2"/>
      <c r="I16" s="16" t="s">
        <v>139</v>
      </c>
      <c r="J16">
        <v>612672</v>
      </c>
      <c r="K16">
        <v>580100</v>
      </c>
      <c r="L16">
        <v>848421</v>
      </c>
      <c r="M16">
        <v>785973</v>
      </c>
      <c r="N16">
        <v>1089288</v>
      </c>
      <c r="O16">
        <v>1023542</v>
      </c>
      <c r="P16">
        <v>997279</v>
      </c>
      <c r="Q16">
        <v>921374</v>
      </c>
      <c r="R16">
        <v>852729</v>
      </c>
      <c r="S16">
        <v>793539</v>
      </c>
      <c r="T16">
        <v>770921</v>
      </c>
      <c r="U16">
        <v>722049</v>
      </c>
      <c r="V16">
        <v>571115</v>
      </c>
      <c r="W16">
        <v>532956</v>
      </c>
      <c r="X16">
        <v>5742425</v>
      </c>
      <c r="Y16">
        <v>5359533</v>
      </c>
      <c r="Z16" s="2"/>
      <c r="AA16" s="17" t="s">
        <v>13</v>
      </c>
      <c r="AB16" s="2" t="e">
        <f>(VLOOKUP($AA16,$I$8:$Y$1048576,17,FALSE)/VLOOKUP($AA16,$I$8:$Y$1048576,16,FALSE))</f>
        <v>#N/A</v>
      </c>
      <c r="AC16" s="2" t="e">
        <f t="shared" si="1"/>
        <v>#N/A</v>
      </c>
      <c r="AD16" s="2" t="e">
        <f t="shared" si="2"/>
        <v>#N/A</v>
      </c>
      <c r="AE16" s="2" t="e">
        <f t="shared" si="3"/>
        <v>#N/A</v>
      </c>
      <c r="AF16" s="2" t="e">
        <f t="shared" si="4"/>
        <v>#N/A</v>
      </c>
      <c r="AG16" s="2" t="e">
        <f t="shared" si="5"/>
        <v>#N/A</v>
      </c>
      <c r="AH16" s="2" t="e">
        <f t="shared" si="6"/>
        <v>#N/A</v>
      </c>
      <c r="AI16" s="2" t="e">
        <f t="shared" si="7"/>
        <v>#N/A</v>
      </c>
      <c r="AL16" s="16" t="s">
        <v>198</v>
      </c>
      <c r="AM16" s="27">
        <v>0.94049159120310477</v>
      </c>
      <c r="AN16" s="27">
        <v>0.94005102040816324</v>
      </c>
      <c r="AO16" s="27">
        <v>0.93856209150326797</v>
      </c>
      <c r="AP16" s="27">
        <v>0.9453125</v>
      </c>
      <c r="AQ16" s="27">
        <v>0.95601552393272959</v>
      </c>
      <c r="AR16" s="27">
        <v>0.94608472400513477</v>
      </c>
      <c r="AS16" s="27">
        <v>0.94904458598726116</v>
      </c>
      <c r="AT16" s="27">
        <v>0.94508029100566593</v>
      </c>
      <c r="AU16" s="27">
        <v>0.94245524296675187</v>
      </c>
      <c r="AV16" s="27">
        <v>0.95512820512820518</v>
      </c>
      <c r="AW16" s="27">
        <v>0.94056847545219635</v>
      </c>
      <c r="AX16" s="27">
        <v>0.94736842105263153</v>
      </c>
      <c r="AY16" s="27">
        <v>0.95121951219512191</v>
      </c>
      <c r="AZ16" s="27">
        <v>0.95518565941101152</v>
      </c>
      <c r="BA16" s="27">
        <v>0.94608472400513477</v>
      </c>
      <c r="BB16" s="27">
        <v>0.94828717717300759</v>
      </c>
      <c r="BC16" s="27">
        <v>0.94049159120310477</v>
      </c>
      <c r="BD16" s="27">
        <v>0.94790343074968231</v>
      </c>
      <c r="BE16" s="27">
        <v>0.94018205461638493</v>
      </c>
      <c r="BF16" s="27">
        <v>0.93619791666666663</v>
      </c>
      <c r="BG16" s="27">
        <v>0.95128205128205123</v>
      </c>
      <c r="BH16" s="27">
        <v>0.94050632911392407</v>
      </c>
      <c r="BI16" s="27">
        <v>0.94871794871794868</v>
      </c>
      <c r="BJ16" s="27">
        <v>0.9436116174785375</v>
      </c>
      <c r="BK16" s="27">
        <v>0.94437257438551103</v>
      </c>
      <c r="BL16" s="27">
        <v>0.94777070063694269</v>
      </c>
      <c r="BM16" s="27">
        <v>0.93514915693904022</v>
      </c>
      <c r="BN16" s="27">
        <v>0.93202614379084969</v>
      </c>
      <c r="BO16" s="27">
        <v>0.9420103092783505</v>
      </c>
      <c r="BP16" s="27">
        <v>0.94622279129321385</v>
      </c>
      <c r="BQ16" s="27">
        <v>0.94458762886597936</v>
      </c>
      <c r="BR16" s="27">
        <v>0.94173418645569817</v>
      </c>
      <c r="BS16" s="27">
        <v>0.9140625</v>
      </c>
      <c r="BT16" s="27">
        <v>0.93041237113402064</v>
      </c>
      <c r="BU16" s="27">
        <v>0.93229166666666663</v>
      </c>
      <c r="BV16" s="27">
        <v>0.93685567010309279</v>
      </c>
      <c r="BW16" s="27">
        <v>0.88289473684210529</v>
      </c>
      <c r="BX16" s="27">
        <v>0.9211563731931669</v>
      </c>
      <c r="BY16" s="27">
        <v>0.85111989459815551</v>
      </c>
      <c r="BZ16" s="27">
        <v>0.90982760179102973</v>
      </c>
      <c r="CA16" s="27">
        <v>0.94967741935483874</v>
      </c>
      <c r="CB16" s="27">
        <v>0.95322376738305947</v>
      </c>
      <c r="CC16" s="27">
        <v>0.95025510204081631</v>
      </c>
      <c r="CD16" s="27">
        <v>0.95849056603773586</v>
      </c>
      <c r="CE16" s="27">
        <v>0.95547073791348602</v>
      </c>
      <c r="CF16" s="27">
        <v>0.95443037974683542</v>
      </c>
      <c r="CG16" s="27">
        <v>0.94656488549618323</v>
      </c>
      <c r="CH16" s="27">
        <v>0.95258755113899363</v>
      </c>
      <c r="CI16" s="27">
        <v>0.94696969696969702</v>
      </c>
      <c r="CJ16" s="27">
        <v>0.96650124069478904</v>
      </c>
      <c r="CK16" s="27">
        <v>0.95489690721649489</v>
      </c>
      <c r="CL16" s="27">
        <v>0.95524296675191811</v>
      </c>
      <c r="CM16" s="27">
        <v>0.96401985111662536</v>
      </c>
      <c r="CN16" s="27">
        <v>0.95771144278606968</v>
      </c>
      <c r="CO16" s="27">
        <v>0.95226130653266328</v>
      </c>
      <c r="CP16" s="27">
        <v>0.95680048743832236</v>
      </c>
      <c r="CQ16" s="27">
        <v>0.93112244897959184</v>
      </c>
      <c r="CR16" s="27">
        <v>0.95050761421319796</v>
      </c>
      <c r="CS16" s="27">
        <v>0.91743119266055051</v>
      </c>
      <c r="CT16" s="27">
        <v>0.92428198433420361</v>
      </c>
      <c r="CU16" s="27">
        <v>0.94501278772378516</v>
      </c>
      <c r="CV16" s="27">
        <v>0.94622279129321385</v>
      </c>
      <c r="CW16" s="27">
        <v>0.94529262086513999</v>
      </c>
      <c r="CX16" s="27">
        <v>0.93712449143852616</v>
      </c>
    </row>
    <row r="17" spans="2:102" x14ac:dyDescent="0.35">
      <c r="E17" s="2"/>
      <c r="F17" s="2" t="e">
        <f t="shared" si="8"/>
        <v>#DIV/0!</v>
      </c>
      <c r="G17" s="2"/>
      <c r="H17" s="2"/>
      <c r="Z17" s="2"/>
      <c r="AA17" s="17" t="s">
        <v>14</v>
      </c>
      <c r="AB17" s="2" t="e">
        <f>(VLOOKUP($AA17,$I$8:$Y$1048576,17,FALSE)/VLOOKUP($AA17,$I$8:$Y$1048576,16,FALSE))</f>
        <v>#N/A</v>
      </c>
      <c r="AC17" s="2" t="e">
        <f t="shared" si="1"/>
        <v>#N/A</v>
      </c>
      <c r="AD17" s="2" t="e">
        <f t="shared" si="2"/>
        <v>#N/A</v>
      </c>
      <c r="AE17" s="2" t="e">
        <f t="shared" si="3"/>
        <v>#N/A</v>
      </c>
      <c r="AF17" s="2" t="e">
        <f t="shared" si="4"/>
        <v>#N/A</v>
      </c>
      <c r="AG17" s="2" t="e">
        <f t="shared" si="5"/>
        <v>#N/A</v>
      </c>
      <c r="AH17" s="2" t="e">
        <f t="shared" si="6"/>
        <v>#N/A</v>
      </c>
      <c r="AI17" s="2" t="e">
        <f t="shared" si="7"/>
        <v>#N/A</v>
      </c>
      <c r="AL17" s="16" t="s">
        <v>199</v>
      </c>
      <c r="AM17" s="27">
        <v>0.93223140495867773</v>
      </c>
      <c r="AN17" s="27">
        <v>0.96095076400679114</v>
      </c>
      <c r="AO17" s="27">
        <v>0.93062605752961081</v>
      </c>
      <c r="AP17" s="27">
        <v>0.9285714285714286</v>
      </c>
      <c r="AQ17" s="27">
        <v>0.92964824120603018</v>
      </c>
      <c r="AR17" s="27">
        <v>0.96357615894039739</v>
      </c>
      <c r="AS17" s="27">
        <v>0.96482412060301503</v>
      </c>
      <c r="AT17" s="27">
        <v>0.94434688225942154</v>
      </c>
      <c r="AU17" s="27">
        <v>0.92988313856427374</v>
      </c>
      <c r="AV17" s="27">
        <v>0.93877551020408168</v>
      </c>
      <c r="AW17" s="27">
        <v>0.92893401015228427</v>
      </c>
      <c r="AX17" s="27">
        <v>0.94057724957555178</v>
      </c>
      <c r="AY17" s="27">
        <v>0.94871794871794868</v>
      </c>
      <c r="AZ17" s="27">
        <v>0.94684385382059799</v>
      </c>
      <c r="BA17" s="27">
        <v>0.94932432432432434</v>
      </c>
      <c r="BB17" s="27">
        <v>0.940436576479866</v>
      </c>
      <c r="BC17" s="27">
        <v>0.92904290429042902</v>
      </c>
      <c r="BD17" s="27">
        <v>0.93791946308724827</v>
      </c>
      <c r="BE17" s="27">
        <v>0.90862944162436543</v>
      </c>
      <c r="BF17" s="27">
        <v>0.92163543441226581</v>
      </c>
      <c r="BG17" s="27">
        <v>0.95379537953795379</v>
      </c>
      <c r="BH17" s="27">
        <v>0.93553719008264458</v>
      </c>
      <c r="BI17" s="27">
        <v>0.94719471947194722</v>
      </c>
      <c r="BJ17" s="27">
        <v>0.9333935046438363</v>
      </c>
      <c r="BK17" s="27">
        <v>0.94585448392554994</v>
      </c>
      <c r="BL17" s="27">
        <v>0.93333333333333335</v>
      </c>
      <c r="BM17" s="27">
        <v>0.91952054794520544</v>
      </c>
      <c r="BN17" s="27">
        <v>0.89527027027027029</v>
      </c>
      <c r="BO17" s="27">
        <v>0.93132328308207701</v>
      </c>
      <c r="BP17" s="27">
        <v>0.93996569468267577</v>
      </c>
      <c r="BQ17" s="27">
        <v>0.97133220910623941</v>
      </c>
      <c r="BR17" s="27">
        <v>0.93379997462076436</v>
      </c>
      <c r="BS17" s="27">
        <v>0.93456375838926176</v>
      </c>
      <c r="BT17" s="27">
        <v>0.89965986394557829</v>
      </c>
      <c r="BU17" s="27">
        <v>0.90338983050847455</v>
      </c>
      <c r="BV17" s="27">
        <v>0.89852700490998361</v>
      </c>
      <c r="BW17" s="27">
        <v>0.87113402061855671</v>
      </c>
      <c r="BX17" s="27">
        <v>0.90588235294117647</v>
      </c>
      <c r="BY17" s="27">
        <v>0.86643835616438358</v>
      </c>
      <c r="BZ17" s="27">
        <v>0.8970850267824878</v>
      </c>
      <c r="CA17" s="27">
        <v>0.94249201277955275</v>
      </c>
      <c r="CB17" s="27">
        <v>0.92996742671009769</v>
      </c>
      <c r="CC17" s="27">
        <v>0.91909385113268605</v>
      </c>
      <c r="CD17" s="27">
        <v>0.90938511326860838</v>
      </c>
      <c r="CE17" s="27">
        <v>0.92706645056726089</v>
      </c>
      <c r="CF17" s="27">
        <v>0.92833876221498368</v>
      </c>
      <c r="CG17" s="27">
        <v>0.8964401294498382</v>
      </c>
      <c r="CH17" s="27">
        <v>0.92182624944614688</v>
      </c>
      <c r="CI17" s="27">
        <v>0.93630573248407645</v>
      </c>
      <c r="CJ17" s="27">
        <v>0.91866028708133973</v>
      </c>
      <c r="CK17" s="27">
        <v>0.89600000000000002</v>
      </c>
      <c r="CL17" s="27">
        <v>0.89759999999999995</v>
      </c>
      <c r="CM17" s="27">
        <v>0.92332268370607029</v>
      </c>
      <c r="CN17" s="27">
        <v>0.92197452229299359</v>
      </c>
      <c r="CO17" s="27">
        <v>0.9140127388535032</v>
      </c>
      <c r="CP17" s="27">
        <v>0.91541085205971184</v>
      </c>
      <c r="CQ17" s="27">
        <v>0.91558441558441561</v>
      </c>
      <c r="CR17" s="27">
        <v>0.88480000000000003</v>
      </c>
      <c r="CS17" s="27">
        <v>0.91219512195121955</v>
      </c>
      <c r="CT17" s="27">
        <v>0.90761750405186381</v>
      </c>
      <c r="CU17" s="27">
        <v>0.91085899513776336</v>
      </c>
      <c r="CV17" s="27">
        <v>0.92382495948136145</v>
      </c>
      <c r="CW17" s="27">
        <v>0.91247974068071314</v>
      </c>
      <c r="CX17" s="27">
        <v>0.90962296241247664</v>
      </c>
    </row>
    <row r="18" spans="2:102" x14ac:dyDescent="0.35">
      <c r="E18" s="2"/>
      <c r="F18" s="2" t="e">
        <f t="shared" si="8"/>
        <v>#DIV/0!</v>
      </c>
      <c r="G18" s="2"/>
      <c r="H18" s="2"/>
      <c r="Z18" s="2"/>
      <c r="AA18" s="2"/>
      <c r="AB18" s="2"/>
      <c r="AC18" s="2"/>
      <c r="AD18" s="2"/>
      <c r="AE18" s="2"/>
      <c r="AF18" s="2"/>
      <c r="AG18" s="2"/>
      <c r="AH18" s="2"/>
      <c r="AL18" s="16" t="s">
        <v>200</v>
      </c>
      <c r="AM18" s="27">
        <v>0.97745571658615138</v>
      </c>
      <c r="AN18" s="27">
        <v>0.94308943089430897</v>
      </c>
      <c r="AO18" s="27">
        <v>0.95974235104669892</v>
      </c>
      <c r="AP18" s="27">
        <v>0.93225806451612903</v>
      </c>
      <c r="AQ18" s="27">
        <v>0.9662379421221865</v>
      </c>
      <c r="AR18" s="27">
        <v>0.92431561996779388</v>
      </c>
      <c r="AS18" s="27">
        <v>0.9695024077046549</v>
      </c>
      <c r="AT18" s="27">
        <v>0.95322879040541764</v>
      </c>
      <c r="AU18" s="27">
        <v>0.93569131832797425</v>
      </c>
      <c r="AV18" s="27">
        <v>0.93558776167471824</v>
      </c>
      <c r="AW18" s="27">
        <v>0.92776886035313</v>
      </c>
      <c r="AX18" s="27">
        <v>0.9306451612903226</v>
      </c>
      <c r="AY18" s="27">
        <v>0.92926045016077174</v>
      </c>
      <c r="AZ18" s="27">
        <v>0.92592592592592593</v>
      </c>
      <c r="BA18" s="27">
        <v>0.93851132686084138</v>
      </c>
      <c r="BB18" s="27">
        <v>0.93191297208481205</v>
      </c>
      <c r="BC18" s="27">
        <v>0.90836012861736337</v>
      </c>
      <c r="BD18" s="27">
        <v>0.92258064516129035</v>
      </c>
      <c r="BE18" s="27">
        <v>0.90192926045016075</v>
      </c>
      <c r="BF18" s="27">
        <v>0.90192926045016075</v>
      </c>
      <c r="BG18" s="27">
        <v>0.88424437299035374</v>
      </c>
      <c r="BH18" s="27">
        <v>0.87299035369774924</v>
      </c>
      <c r="BI18" s="27">
        <v>0.85874799357945431</v>
      </c>
      <c r="BJ18" s="27">
        <v>0.89296885927807612</v>
      </c>
      <c r="BK18" s="27">
        <v>0.9085072231139647</v>
      </c>
      <c r="BL18" s="27">
        <v>0.9020866773675762</v>
      </c>
      <c r="BM18" s="27">
        <v>0.89210950080515294</v>
      </c>
      <c r="BN18" s="27">
        <v>0.88244766505636074</v>
      </c>
      <c r="BO18" s="27">
        <v>0.92765273311897101</v>
      </c>
      <c r="BP18" s="27">
        <v>0.893719806763285</v>
      </c>
      <c r="BQ18" s="27">
        <v>0.9212218649517685</v>
      </c>
      <c r="BR18" s="27">
        <v>0.90396363873958285</v>
      </c>
      <c r="BS18" s="27">
        <v>0.8354838709677419</v>
      </c>
      <c r="BT18" s="27">
        <v>0.88206785137318255</v>
      </c>
      <c r="BU18" s="27">
        <v>0.85161290322580641</v>
      </c>
      <c r="BV18" s="27">
        <v>0.88045234248788373</v>
      </c>
      <c r="BW18" s="27">
        <v>0.83252032520325203</v>
      </c>
      <c r="BX18" s="27">
        <v>0.887459807073955</v>
      </c>
      <c r="BY18" s="27">
        <v>0.85874799357945431</v>
      </c>
      <c r="BZ18" s="27">
        <v>0.86119215627303947</v>
      </c>
      <c r="CA18" s="27">
        <v>0.92776886035313</v>
      </c>
      <c r="CB18" s="27">
        <v>0.90791599353796448</v>
      </c>
      <c r="CC18" s="27">
        <v>0.9309791332263242</v>
      </c>
      <c r="CD18" s="27">
        <v>0.9309791332263242</v>
      </c>
      <c r="CE18" s="27">
        <v>0.89389067524115751</v>
      </c>
      <c r="CF18" s="27">
        <v>0.90821256038647347</v>
      </c>
      <c r="CG18" s="27">
        <v>0.89067524115755625</v>
      </c>
      <c r="CH18" s="27">
        <v>0.91291737101841852</v>
      </c>
      <c r="CI18" s="27">
        <v>0.91800643086816724</v>
      </c>
      <c r="CJ18" s="27">
        <v>0.91961414790996787</v>
      </c>
      <c r="CK18" s="27">
        <v>0.9052969502407705</v>
      </c>
      <c r="CL18" s="27">
        <v>0.91948470209339772</v>
      </c>
      <c r="CM18" s="27">
        <v>0.89389067524115751</v>
      </c>
      <c r="CN18" s="27">
        <v>0.95659163987138263</v>
      </c>
      <c r="CO18" s="27">
        <v>0.9212218649517685</v>
      </c>
      <c r="CP18" s="27">
        <v>0.91915805873951595</v>
      </c>
      <c r="CQ18" s="27">
        <v>0.89228295819935688</v>
      </c>
      <c r="CR18" s="27">
        <v>0.91304347826086951</v>
      </c>
      <c r="CS18" s="27">
        <v>0.88387096774193552</v>
      </c>
      <c r="CT18" s="27">
        <v>0.89032258064516134</v>
      </c>
      <c r="CU18" s="27">
        <v>0.89067524115755625</v>
      </c>
      <c r="CV18" s="27">
        <v>0.90016103059581321</v>
      </c>
      <c r="CW18" s="27">
        <v>0.8828250401284109</v>
      </c>
      <c r="CX18" s="27">
        <v>0.89331161381844326</v>
      </c>
    </row>
    <row r="19" spans="2:102" x14ac:dyDescent="0.35">
      <c r="E19" s="2"/>
      <c r="F19" s="2" t="e">
        <f t="shared" si="8"/>
        <v>#DIV/0!</v>
      </c>
      <c r="G19" s="2"/>
      <c r="AL19" s="16" t="s">
        <v>201</v>
      </c>
      <c r="AM19" s="27">
        <v>0.89721627408993576</v>
      </c>
      <c r="AN19" s="27">
        <v>0.91991341991341991</v>
      </c>
      <c r="AO19" s="27">
        <v>0.87473002159827218</v>
      </c>
      <c r="AP19" s="27">
        <v>0.86304347826086958</v>
      </c>
      <c r="AQ19" s="27">
        <v>0.93361884368308357</v>
      </c>
      <c r="AR19" s="27">
        <v>0.94017094017094016</v>
      </c>
      <c r="AS19" s="27">
        <v>0.9334763948497854</v>
      </c>
      <c r="AT19" s="27">
        <v>0.90888133893804379</v>
      </c>
      <c r="AU19" s="27">
        <v>0.93790149892933616</v>
      </c>
      <c r="AV19" s="27">
        <v>0.90476190476190477</v>
      </c>
      <c r="AW19" s="27">
        <v>0.93361884368308357</v>
      </c>
      <c r="AX19" s="27">
        <v>0.8943965517241379</v>
      </c>
      <c r="AY19" s="27">
        <v>0.94505494505494503</v>
      </c>
      <c r="AZ19" s="27">
        <v>0.91163793103448276</v>
      </c>
      <c r="BA19" s="27">
        <v>0.93103448275862066</v>
      </c>
      <c r="BB19" s="27">
        <v>0.92262945113521588</v>
      </c>
      <c r="BC19" s="27">
        <v>0.9186295503211992</v>
      </c>
      <c r="BD19" s="27">
        <v>0.90064794816414684</v>
      </c>
      <c r="BE19" s="27">
        <v>0.90985324947589097</v>
      </c>
      <c r="BF19" s="27">
        <v>0.91684434968017059</v>
      </c>
      <c r="BG19" s="27">
        <v>0.92600422832980978</v>
      </c>
      <c r="BH19" s="27">
        <v>0.90336134453781514</v>
      </c>
      <c r="BI19" s="27">
        <v>0.90638297872340423</v>
      </c>
      <c r="BJ19" s="27">
        <v>0.91167480703320525</v>
      </c>
      <c r="BK19" s="27">
        <v>0.91759465478841873</v>
      </c>
      <c r="BL19" s="27">
        <v>0.89748953974895396</v>
      </c>
      <c r="BM19" s="27">
        <v>0.89059080962800874</v>
      </c>
      <c r="BN19" s="27">
        <v>0.90631808278867099</v>
      </c>
      <c r="BO19" s="27">
        <v>0.93881856540084385</v>
      </c>
      <c r="BP19" s="27">
        <v>0.9073684210526316</v>
      </c>
      <c r="BQ19" s="27">
        <v>0.93263157894736837</v>
      </c>
      <c r="BR19" s="27">
        <v>0.91297309319355657</v>
      </c>
      <c r="BS19" s="27">
        <v>0.87962962962962965</v>
      </c>
      <c r="BT19" s="27">
        <v>0.91943127962085303</v>
      </c>
      <c r="BU19" s="27">
        <v>0.87268518518518523</v>
      </c>
      <c r="BV19" s="27">
        <v>0.90022675736961455</v>
      </c>
      <c r="BW19" s="27">
        <v>0.86448598130841126</v>
      </c>
      <c r="BX19" s="27">
        <v>0.90740740740740744</v>
      </c>
      <c r="BY19" s="27">
        <v>0.85135135135135132</v>
      </c>
      <c r="BZ19" s="27">
        <v>0.88503108455320745</v>
      </c>
      <c r="CA19" s="27">
        <v>0.90732758620689657</v>
      </c>
      <c r="CB19" s="27">
        <v>0.92378752886836024</v>
      </c>
      <c r="CC19" s="27">
        <v>0.89721627408993576</v>
      </c>
      <c r="CD19" s="27">
        <v>0.86984815618221256</v>
      </c>
      <c r="CE19" s="27">
        <v>0.90045248868778283</v>
      </c>
      <c r="CF19" s="27">
        <v>0.81859410430838997</v>
      </c>
      <c r="CG19" s="27">
        <v>0.91627906976744189</v>
      </c>
      <c r="CH19" s="27">
        <v>0.89050074401585999</v>
      </c>
      <c r="CI19" s="27">
        <v>0.91249999999999998</v>
      </c>
      <c r="CJ19" s="27">
        <v>0.89451476793248941</v>
      </c>
      <c r="CK19" s="27">
        <v>0.92827004219409281</v>
      </c>
      <c r="CL19" s="27">
        <v>0.91239316239316237</v>
      </c>
      <c r="CM19" s="27">
        <v>0.92164948453608242</v>
      </c>
      <c r="CN19" s="27">
        <v>0.89812889812889818</v>
      </c>
      <c r="CO19" s="27">
        <v>0.89812889812889818</v>
      </c>
      <c r="CP19" s="27">
        <v>0.90936932190194608</v>
      </c>
      <c r="CQ19" s="27">
        <v>0.91754756871035936</v>
      </c>
      <c r="CR19" s="27">
        <v>0.94384449244060475</v>
      </c>
      <c r="CS19" s="27">
        <v>0.85833333333333328</v>
      </c>
      <c r="CT19" s="27">
        <v>0.9211087420042644</v>
      </c>
      <c r="CU19" s="27">
        <v>0.94623655913978499</v>
      </c>
      <c r="CV19" s="27">
        <v>0.94206008583690992</v>
      </c>
      <c r="CW19" s="27">
        <v>0.92116182572614103</v>
      </c>
      <c r="CX19" s="27">
        <v>0.92147037245591401</v>
      </c>
    </row>
    <row r="20" spans="2:102" x14ac:dyDescent="0.35">
      <c r="E20" s="2"/>
      <c r="F20" s="2" t="e">
        <f t="shared" si="8"/>
        <v>#DIV/0!</v>
      </c>
      <c r="G20" s="2"/>
      <c r="AL20" s="16" t="s">
        <v>202</v>
      </c>
      <c r="AM20" s="27">
        <v>0.96537396121883656</v>
      </c>
      <c r="AN20" s="27">
        <v>0.97919556171983357</v>
      </c>
      <c r="AO20" s="27">
        <v>0.96181046676096182</v>
      </c>
      <c r="AP20" s="27">
        <v>0.9634831460674157</v>
      </c>
      <c r="AQ20" s="27">
        <v>0.9803370786516854</v>
      </c>
      <c r="AR20" s="27">
        <v>0.97651933701657456</v>
      </c>
      <c r="AS20" s="27">
        <v>0.97083333333333333</v>
      </c>
      <c r="AT20" s="27">
        <v>0.9710789835383774</v>
      </c>
      <c r="AU20" s="27">
        <v>0.9620786516853933</v>
      </c>
      <c r="AV20" s="27">
        <v>0.96905766526019688</v>
      </c>
      <c r="AW20" s="27">
        <v>0.96028368794326247</v>
      </c>
      <c r="AX20" s="27">
        <v>0.94468085106382982</v>
      </c>
      <c r="AY20" s="27">
        <v>0.98044692737430172</v>
      </c>
      <c r="AZ20" s="27">
        <v>0.97777777777777775</v>
      </c>
      <c r="BA20" s="27">
        <v>0.97777777777777775</v>
      </c>
      <c r="BB20" s="27">
        <v>0.96744333412607719</v>
      </c>
      <c r="BC20" s="27">
        <v>0.965034965034965</v>
      </c>
      <c r="BD20" s="27">
        <v>0.96327683615819204</v>
      </c>
      <c r="BE20" s="27">
        <v>0.99158485273492281</v>
      </c>
      <c r="BF20" s="27">
        <v>0.967741935483871</v>
      </c>
      <c r="BG20" s="27">
        <v>0.98058252427184467</v>
      </c>
      <c r="BH20" s="27">
        <v>0.96508379888268159</v>
      </c>
      <c r="BI20" s="27">
        <v>0.97091412742382266</v>
      </c>
      <c r="BJ20" s="27">
        <v>0.9720312914271857</v>
      </c>
      <c r="BK20" s="27">
        <v>0.95966620305980532</v>
      </c>
      <c r="BL20" s="27">
        <v>0.98328690807799446</v>
      </c>
      <c r="BM20" s="27">
        <v>0.92231638418079098</v>
      </c>
      <c r="BN20" s="27">
        <v>0.93785310734463279</v>
      </c>
      <c r="BO20" s="27">
        <v>0.96542185338865838</v>
      </c>
      <c r="BP20" s="27">
        <v>0.973314606741573</v>
      </c>
      <c r="BQ20" s="27">
        <v>0.96948682385575591</v>
      </c>
      <c r="BR20" s="27">
        <v>0.95876369809274442</v>
      </c>
      <c r="BS20" s="27">
        <v>0.93575418994413406</v>
      </c>
      <c r="BT20" s="27">
        <v>0.96383866481223923</v>
      </c>
      <c r="BU20" s="27">
        <v>0.96270718232044195</v>
      </c>
      <c r="BV20" s="27">
        <v>0.95263870094722602</v>
      </c>
      <c r="BW20" s="27">
        <v>0.90883590462833097</v>
      </c>
      <c r="BX20" s="27">
        <v>0.95251396648044695</v>
      </c>
      <c r="BY20" s="27">
        <v>0.87535014005602241</v>
      </c>
      <c r="BZ20" s="27">
        <v>0.93594839274126307</v>
      </c>
      <c r="CA20" s="27">
        <v>0.955585464333782</v>
      </c>
      <c r="CB20" s="27">
        <v>0.95040214477211793</v>
      </c>
      <c r="CC20" s="27">
        <v>0.9703504043126685</v>
      </c>
      <c r="CD20" s="27">
        <v>0.95276653171390013</v>
      </c>
      <c r="CE20" s="27">
        <v>0.94878706199460916</v>
      </c>
      <c r="CF20" s="27">
        <v>0.95180722891566261</v>
      </c>
      <c r="CG20" s="27">
        <v>0.96900269541778972</v>
      </c>
      <c r="CH20" s="27">
        <v>0.95695736163721856</v>
      </c>
      <c r="CI20" s="27">
        <v>0.96241610738255035</v>
      </c>
      <c r="CJ20" s="27">
        <v>0.94899328859060406</v>
      </c>
      <c r="CK20" s="27">
        <v>0.9528936742934051</v>
      </c>
      <c r="CL20" s="27">
        <v>0.95006747638326583</v>
      </c>
      <c r="CM20" s="27">
        <v>0.96380697050938335</v>
      </c>
      <c r="CN20" s="27">
        <v>0.95436241610738259</v>
      </c>
      <c r="CO20" s="27">
        <v>0.96639784946236562</v>
      </c>
      <c r="CP20" s="27">
        <v>0.95699111181842256</v>
      </c>
      <c r="CQ20" s="27">
        <v>0.95167785234899327</v>
      </c>
      <c r="CR20" s="27">
        <v>0.94086021505376349</v>
      </c>
      <c r="CS20" s="27">
        <v>0.967741935483871</v>
      </c>
      <c r="CT20" s="27">
        <v>0.96107382550335574</v>
      </c>
      <c r="CU20" s="27">
        <v>0.9528936742934051</v>
      </c>
      <c r="CV20" s="27">
        <v>0.95308310991957101</v>
      </c>
      <c r="CW20" s="27">
        <v>0.95704697986577181</v>
      </c>
      <c r="CX20" s="27">
        <v>0.95491108463839025</v>
      </c>
    </row>
    <row r="21" spans="2:102" x14ac:dyDescent="0.35">
      <c r="F21" s="2"/>
      <c r="AL21" s="16" t="s">
        <v>203</v>
      </c>
      <c r="AM21" s="27">
        <v>0.93179634966378477</v>
      </c>
      <c r="AN21" s="27">
        <v>0.93560606060606055</v>
      </c>
      <c r="AO21" s="27">
        <v>0.92456479690522242</v>
      </c>
      <c r="AP21" s="27">
        <v>0.91241578440808468</v>
      </c>
      <c r="AQ21" s="27">
        <v>0.93236714975845414</v>
      </c>
      <c r="AR21" s="27">
        <v>0.93850520340586563</v>
      </c>
      <c r="AS21" s="27">
        <v>0.93545279383429669</v>
      </c>
      <c r="AT21" s="27">
        <v>0.93010116265453835</v>
      </c>
      <c r="AU21" s="27">
        <v>0.9490874159462056</v>
      </c>
      <c r="AV21" s="27">
        <v>0.92870905587668595</v>
      </c>
      <c r="AW21" s="27">
        <v>0.93352601156069359</v>
      </c>
      <c r="AX21" s="27">
        <v>0.92454632282712512</v>
      </c>
      <c r="AY21" s="27">
        <v>0.94318181818181823</v>
      </c>
      <c r="AZ21" s="27">
        <v>0.92454632282712512</v>
      </c>
      <c r="BA21" s="27">
        <v>0.91159695817490494</v>
      </c>
      <c r="BB21" s="27">
        <v>0.930741986484937</v>
      </c>
      <c r="BC21" s="27">
        <v>0.93126177024482104</v>
      </c>
      <c r="BD21" s="27">
        <v>0.93737957610789979</v>
      </c>
      <c r="BE21" s="27">
        <v>0.93389990557129365</v>
      </c>
      <c r="BF21" s="27">
        <v>0.92823418319169027</v>
      </c>
      <c r="BG21" s="27">
        <v>0.9334582942830365</v>
      </c>
      <c r="BH21" s="27">
        <v>0.93548387096774188</v>
      </c>
      <c r="BI21" s="27">
        <v>0.94786729857819907</v>
      </c>
      <c r="BJ21" s="27">
        <v>0.93536927127781166</v>
      </c>
      <c r="BK21" s="27">
        <v>0.93967954759660699</v>
      </c>
      <c r="BL21" s="27">
        <v>0.93233082706766912</v>
      </c>
      <c r="BM21" s="27">
        <v>0.91996233521657256</v>
      </c>
      <c r="BN21" s="27">
        <v>0.90503323836657168</v>
      </c>
      <c r="BO21" s="27">
        <v>0.92452830188679247</v>
      </c>
      <c r="BP21" s="27">
        <v>0.934640522875817</v>
      </c>
      <c r="BQ21" s="27">
        <v>0.9198868991517436</v>
      </c>
      <c r="BR21" s="27">
        <v>0.92515166745168187</v>
      </c>
      <c r="BS21" s="27">
        <v>0.89534883720930236</v>
      </c>
      <c r="BT21" s="27">
        <v>0.92212725546058882</v>
      </c>
      <c r="BU21" s="27">
        <v>0.89509143407122238</v>
      </c>
      <c r="BV21" s="27">
        <v>0.91436726926736445</v>
      </c>
      <c r="BW21" s="27">
        <v>0.87800192122958698</v>
      </c>
      <c r="BX21" s="27">
        <v>0.91477272727272729</v>
      </c>
      <c r="BY21" s="27">
        <v>0.86768935762224353</v>
      </c>
      <c r="BZ21" s="27">
        <v>0.89819982887614791</v>
      </c>
      <c r="CA21" s="27">
        <v>0.92061955469506296</v>
      </c>
      <c r="CB21" s="27">
        <v>0.92395437262357416</v>
      </c>
      <c r="CC21" s="27">
        <v>0.90865384615384615</v>
      </c>
      <c r="CD21" s="27">
        <v>0.91497584541062804</v>
      </c>
      <c r="CE21" s="27">
        <v>0.92864030858244939</v>
      </c>
      <c r="CF21" s="27">
        <v>0.91184834123222747</v>
      </c>
      <c r="CG21" s="27">
        <v>0.92026897214217096</v>
      </c>
      <c r="CH21" s="27">
        <v>0.91842303440570838</v>
      </c>
      <c r="CI21" s="27">
        <v>0.92706333973128596</v>
      </c>
      <c r="CJ21" s="27">
        <v>0.92671166827386697</v>
      </c>
      <c r="CK21" s="27">
        <v>0.90297790585975024</v>
      </c>
      <c r="CL21" s="27">
        <v>0.8913461538461539</v>
      </c>
      <c r="CM21" s="27">
        <v>0.92801556420233466</v>
      </c>
      <c r="CN21" s="27">
        <v>0.92130518234165071</v>
      </c>
      <c r="CO21" s="27">
        <v>0.93106704438149201</v>
      </c>
      <c r="CP21" s="27">
        <v>0.91835526551950497</v>
      </c>
      <c r="CQ21" s="27">
        <v>0.92263610315186251</v>
      </c>
      <c r="CR21" s="27">
        <v>0.9220404234841193</v>
      </c>
      <c r="CS21" s="27">
        <v>0.90960989533777359</v>
      </c>
      <c r="CT21" s="27">
        <v>0.90874524714828897</v>
      </c>
      <c r="CU21" s="27">
        <v>0.92610364683301338</v>
      </c>
      <c r="CV21" s="27">
        <v>0.91674641148325364</v>
      </c>
      <c r="CW21" s="27">
        <v>0.93486590038314177</v>
      </c>
      <c r="CX21" s="27">
        <v>0.9201068039744934</v>
      </c>
    </row>
    <row r="22" spans="2:102" x14ac:dyDescent="0.35">
      <c r="B22" s="8"/>
      <c r="C22" s="8"/>
      <c r="D22" s="8"/>
      <c r="E22" s="8"/>
      <c r="F22" s="8"/>
      <c r="G22" s="8"/>
      <c r="AL22" s="16" t="s">
        <v>204</v>
      </c>
      <c r="AM22" s="27">
        <v>0.97055057618437901</v>
      </c>
      <c r="AN22" s="27">
        <v>0.96573604060913709</v>
      </c>
      <c r="AO22" s="27">
        <v>0.95146871008939971</v>
      </c>
      <c r="AP22" s="27">
        <v>0.9538461538461539</v>
      </c>
      <c r="AQ22" s="27">
        <v>0.96819338422391854</v>
      </c>
      <c r="AR22" s="27">
        <v>0.97331639135959336</v>
      </c>
      <c r="AS22" s="27">
        <v>0.97831632653061229</v>
      </c>
      <c r="AT22" s="27">
        <v>0.96591822612045619</v>
      </c>
      <c r="AU22" s="27">
        <v>0.97395833333333337</v>
      </c>
      <c r="AV22" s="27">
        <v>0.95219638242894056</v>
      </c>
      <c r="AW22" s="27">
        <v>0.96349413298565845</v>
      </c>
      <c r="AX22" s="27">
        <v>0.96479791395045633</v>
      </c>
      <c r="AY22" s="27">
        <v>0.96511627906976749</v>
      </c>
      <c r="AZ22" s="27">
        <v>0.97036082474226804</v>
      </c>
      <c r="BA22" s="27">
        <v>0.96658097686375322</v>
      </c>
      <c r="BB22" s="27">
        <v>0.96521497762488251</v>
      </c>
      <c r="BC22" s="27">
        <v>0.98580645161290326</v>
      </c>
      <c r="BD22" s="27">
        <v>0.96479791395045633</v>
      </c>
      <c r="BE22" s="27">
        <v>0.96387096774193548</v>
      </c>
      <c r="BF22" s="27">
        <v>0.96</v>
      </c>
      <c r="BG22" s="27">
        <v>0.97297297297297303</v>
      </c>
      <c r="BH22" s="27">
        <v>0.95366795366795365</v>
      </c>
      <c r="BI22" s="27">
        <v>0.97671410090556277</v>
      </c>
      <c r="BJ22" s="27">
        <v>0.96826148012168356</v>
      </c>
      <c r="BK22" s="27">
        <v>0.96173469387755106</v>
      </c>
      <c r="BL22" s="27">
        <v>0.95357590966122963</v>
      </c>
      <c r="BM22" s="27">
        <v>0.95286624203821657</v>
      </c>
      <c r="BN22" s="27">
        <v>0.9538461538461539</v>
      </c>
      <c r="BO22" s="27">
        <v>0.95913154533844192</v>
      </c>
      <c r="BP22" s="27">
        <v>0.97619047619047616</v>
      </c>
      <c r="BQ22" s="27">
        <v>0.97355163727959693</v>
      </c>
      <c r="BR22" s="27">
        <v>0.96155666546166663</v>
      </c>
      <c r="BS22" s="27">
        <v>0.94379084967320259</v>
      </c>
      <c r="BT22" s="27">
        <v>0.95150720838794234</v>
      </c>
      <c r="BU22" s="27">
        <v>0.92922673656618615</v>
      </c>
      <c r="BV22" s="27">
        <v>0.92529488859764086</v>
      </c>
      <c r="BW22" s="27">
        <v>0.90389610389610386</v>
      </c>
      <c r="BX22" s="27">
        <v>0.94078947368421051</v>
      </c>
      <c r="BY22" s="27">
        <v>0.90129870129870127</v>
      </c>
      <c r="BZ22" s="27">
        <v>0.92797199458628388</v>
      </c>
      <c r="CA22" s="27">
        <v>0.96919127086007706</v>
      </c>
      <c r="CB22" s="27">
        <v>0.95274584929757344</v>
      </c>
      <c r="CC22" s="27">
        <v>0.96277278562259305</v>
      </c>
      <c r="CD22" s="27">
        <v>0.97175866495507057</v>
      </c>
      <c r="CE22" s="27">
        <v>0.95586380832282469</v>
      </c>
      <c r="CF22" s="27">
        <v>0.97193877551020413</v>
      </c>
      <c r="CG22" s="27">
        <v>0.96547314578005117</v>
      </c>
      <c r="CH22" s="27">
        <v>0.96424918576405627</v>
      </c>
      <c r="CI22" s="27">
        <v>0.94050632911392407</v>
      </c>
      <c r="CJ22" s="27">
        <v>0.96662387676508343</v>
      </c>
      <c r="CK22" s="27">
        <v>0.93789607097591887</v>
      </c>
      <c r="CL22" s="27">
        <v>0.95822784810126582</v>
      </c>
      <c r="CM22" s="27">
        <v>0.92901618929016194</v>
      </c>
      <c r="CN22" s="27">
        <v>0.92583436341161929</v>
      </c>
      <c r="CO22" s="27">
        <v>0.92971639950678175</v>
      </c>
      <c r="CP22" s="27">
        <v>0.94111729673782207</v>
      </c>
      <c r="CQ22" s="27">
        <v>0.94936708860759489</v>
      </c>
      <c r="CR22" s="27">
        <v>0.94900497512437809</v>
      </c>
      <c r="CS22" s="27">
        <v>0.93519695044472684</v>
      </c>
      <c r="CT22" s="27">
        <v>0.94050632911392407</v>
      </c>
      <c r="CU22" s="27">
        <v>0.94816687737041716</v>
      </c>
      <c r="CV22" s="27">
        <v>0.95838587641866335</v>
      </c>
      <c r="CW22" s="27">
        <v>0.94710327455919396</v>
      </c>
      <c r="CX22" s="27">
        <v>0.94681876737698545</v>
      </c>
    </row>
    <row r="23" spans="2:102" x14ac:dyDescent="0.35">
      <c r="B23" s="17"/>
      <c r="C23" s="17"/>
      <c r="D23" s="17"/>
      <c r="E23" s="17"/>
      <c r="F23" s="17"/>
      <c r="G23" s="17"/>
      <c r="AL23" s="16" t="s">
        <v>205</v>
      </c>
      <c r="AM23" s="27">
        <v>0.97074954296160876</v>
      </c>
      <c r="AN23" s="27">
        <v>0.97440585009140768</v>
      </c>
      <c r="AO23" s="27">
        <v>0.94332723948811703</v>
      </c>
      <c r="AP23" s="27">
        <v>0.94332723948811703</v>
      </c>
      <c r="AQ23" s="27">
        <v>0.98171846435100552</v>
      </c>
      <c r="AR23" s="27">
        <v>0.97440585009140768</v>
      </c>
      <c r="AS23" s="27">
        <v>0.98357664233576647</v>
      </c>
      <c r="AT23" s="27">
        <v>0.9673586898296328</v>
      </c>
      <c r="AU23" s="27">
        <v>0.94106813996316763</v>
      </c>
      <c r="AV23" s="27">
        <v>0.95429616087751368</v>
      </c>
      <c r="AW23" s="27">
        <v>0.93116634799235176</v>
      </c>
      <c r="AX23" s="27">
        <v>0.93220338983050843</v>
      </c>
      <c r="AY23" s="27">
        <v>0.97605893186003678</v>
      </c>
      <c r="AZ23" s="27">
        <v>0.97074954296160876</v>
      </c>
      <c r="BA23" s="27">
        <v>0.97440585009140768</v>
      </c>
      <c r="BB23" s="27">
        <v>0.95427833765379921</v>
      </c>
      <c r="BC23" s="27">
        <v>0.91932457786116317</v>
      </c>
      <c r="BD23" s="27">
        <v>0.94423791821561343</v>
      </c>
      <c r="BE23" s="27">
        <v>0.88145315487571707</v>
      </c>
      <c r="BF23" s="27">
        <v>0.91666666666666663</v>
      </c>
      <c r="BG23" s="27">
        <v>0.94423791821561343</v>
      </c>
      <c r="BH23" s="27">
        <v>0.94795539033457255</v>
      </c>
      <c r="BI23" s="27">
        <v>0.95211786372007368</v>
      </c>
      <c r="BJ23" s="27">
        <v>0.92942764141277423</v>
      </c>
      <c r="BK23" s="27">
        <v>0.96942446043165464</v>
      </c>
      <c r="BL23" s="27">
        <v>0.95387453874538741</v>
      </c>
      <c r="BM23" s="27">
        <v>0.90161001788908768</v>
      </c>
      <c r="BN23" s="27">
        <v>0.89839572192513373</v>
      </c>
      <c r="BO23" s="27">
        <v>0.96223021582733814</v>
      </c>
      <c r="BP23" s="27">
        <v>0.98175182481751821</v>
      </c>
      <c r="BQ23" s="27">
        <v>0.96582733812949639</v>
      </c>
      <c r="BR23" s="27">
        <v>0.94758773110937378</v>
      </c>
      <c r="BS23" s="27">
        <v>0.89388489208633093</v>
      </c>
      <c r="BT23" s="27">
        <v>0.90248226950354615</v>
      </c>
      <c r="BU23" s="27">
        <v>0.92985611510791366</v>
      </c>
      <c r="BV23" s="27">
        <v>0.92086330935251803</v>
      </c>
      <c r="BW23" s="27">
        <v>0.84352517985611508</v>
      </c>
      <c r="BX23" s="27">
        <v>0.88669064748201443</v>
      </c>
      <c r="BY23" s="27">
        <v>0.80035971223021585</v>
      </c>
      <c r="BZ23" s="27">
        <v>0.88252316080266502</v>
      </c>
      <c r="CA23" s="27">
        <v>0.96466431095406358</v>
      </c>
      <c r="CB23" s="27">
        <v>0.96078431372549022</v>
      </c>
      <c r="CC23" s="27">
        <v>0.94373865698729587</v>
      </c>
      <c r="CD23" s="27">
        <v>0.9369527145359019</v>
      </c>
      <c r="CE23" s="27">
        <v>0.96969696969696972</v>
      </c>
      <c r="CF23" s="27">
        <v>0.94220665499124345</v>
      </c>
      <c r="CG23" s="27">
        <v>0.92100538599640935</v>
      </c>
      <c r="CH23" s="27">
        <v>0.948435572412482</v>
      </c>
      <c r="CI23" s="27">
        <v>0.93870402802101571</v>
      </c>
      <c r="CJ23" s="27">
        <v>0.978984238178634</v>
      </c>
      <c r="CK23" s="27">
        <v>0.9204946996466431</v>
      </c>
      <c r="CL23" s="27">
        <v>0.91858407079646021</v>
      </c>
      <c r="CM23" s="27">
        <v>0.95971978984238182</v>
      </c>
      <c r="CN23" s="27">
        <v>0.94395796847635727</v>
      </c>
      <c r="CO23" s="27">
        <v>0.9703315881326352</v>
      </c>
      <c r="CP23" s="27">
        <v>0.94725376901344671</v>
      </c>
      <c r="CQ23" s="27">
        <v>0.93928571428571428</v>
      </c>
      <c r="CR23" s="27">
        <v>0.91726618705035967</v>
      </c>
      <c r="CS23" s="27">
        <v>0.91366906474820142</v>
      </c>
      <c r="CT23" s="27">
        <v>0.88770053475935828</v>
      </c>
      <c r="CU23" s="27">
        <v>0.95406360424028269</v>
      </c>
      <c r="CV23" s="27">
        <v>0.96113074204946991</v>
      </c>
      <c r="CW23" s="27">
        <v>0.95390070921985815</v>
      </c>
      <c r="CX23" s="27">
        <v>0.93243093662189203</v>
      </c>
    </row>
    <row r="24" spans="2:102" x14ac:dyDescent="0.35">
      <c r="B24" s="17"/>
      <c r="C24" s="17"/>
      <c r="D24" s="17"/>
      <c r="E24" s="17"/>
      <c r="F24" s="17"/>
      <c r="G24" s="17"/>
      <c r="AL24" s="16" t="s">
        <v>206</v>
      </c>
      <c r="AM24" s="27">
        <v>0.98109243697478987</v>
      </c>
      <c r="AN24" s="27">
        <v>0.96390658174097665</v>
      </c>
      <c r="AO24" s="27">
        <v>0.96617336152219868</v>
      </c>
      <c r="AP24" s="27">
        <v>0.97669491525423724</v>
      </c>
      <c r="AQ24" s="27">
        <v>0.9853249475890985</v>
      </c>
      <c r="AR24" s="27">
        <v>0.99163179916317989</v>
      </c>
      <c r="AS24" s="27">
        <v>0.97907949790794979</v>
      </c>
      <c r="AT24" s="27">
        <v>0.97770050573606138</v>
      </c>
      <c r="AU24" s="27">
        <v>0.97040169133192389</v>
      </c>
      <c r="AV24" s="27">
        <v>0.97478991596638653</v>
      </c>
      <c r="AW24" s="27">
        <v>0.97040169133192389</v>
      </c>
      <c r="AX24" s="27">
        <v>0.97649572649572647</v>
      </c>
      <c r="AY24" s="27">
        <v>0.98951781970649899</v>
      </c>
      <c r="AZ24" s="27">
        <v>0.98322851153039836</v>
      </c>
      <c r="BA24" s="27">
        <v>0.97484276729559749</v>
      </c>
      <c r="BB24" s="27">
        <v>0.97709687480835072</v>
      </c>
      <c r="BC24" s="27">
        <v>0.9375</v>
      </c>
      <c r="BD24" s="27">
        <v>0.97478991596638653</v>
      </c>
      <c r="BE24" s="27">
        <v>0.95309168443496806</v>
      </c>
      <c r="BF24" s="27">
        <v>0.95550847457627119</v>
      </c>
      <c r="BG24" s="27">
        <v>0.95416666666666672</v>
      </c>
      <c r="BH24" s="27">
        <v>0.97089397089397089</v>
      </c>
      <c r="BI24" s="27">
        <v>0.97089397089397089</v>
      </c>
      <c r="BJ24" s="27">
        <v>0.9595492404903192</v>
      </c>
      <c r="BK24" s="27">
        <v>0.96680497925311204</v>
      </c>
      <c r="BL24" s="27">
        <v>0.97736625514403297</v>
      </c>
      <c r="BM24" s="27">
        <v>0.94758909853249473</v>
      </c>
      <c r="BN24" s="27">
        <v>0.93291404612159334</v>
      </c>
      <c r="BO24" s="27">
        <v>0.95859213250517594</v>
      </c>
      <c r="BP24" s="27">
        <v>0.9853556485355649</v>
      </c>
      <c r="BQ24" s="27">
        <v>0.98333333333333328</v>
      </c>
      <c r="BR24" s="27">
        <v>0.9645650704893296</v>
      </c>
      <c r="BS24" s="27">
        <v>0.93153526970954359</v>
      </c>
      <c r="BT24" s="27">
        <v>0.95643153526970959</v>
      </c>
      <c r="BU24" s="27">
        <v>0.94650205761316875</v>
      </c>
      <c r="BV24" s="27">
        <v>0.94650205761316875</v>
      </c>
      <c r="BW24" s="27">
        <v>0.91983122362869196</v>
      </c>
      <c r="BX24" s="27">
        <v>0.97089397089397089</v>
      </c>
      <c r="BY24" s="27">
        <v>0.879746835443038</v>
      </c>
      <c r="BZ24" s="27">
        <v>0.93592042145304166</v>
      </c>
      <c r="CA24" s="27">
        <v>0.96799999999999997</v>
      </c>
      <c r="CB24" s="27">
        <v>0.95161290322580649</v>
      </c>
      <c r="CC24" s="27">
        <v>0.96932515337423308</v>
      </c>
      <c r="CD24" s="27">
        <v>0.97410358565737054</v>
      </c>
      <c r="CE24" s="27">
        <v>0.96780684104627768</v>
      </c>
      <c r="CF24" s="27">
        <v>0.96572580645161288</v>
      </c>
      <c r="CG24" s="27">
        <v>0.96969696969696972</v>
      </c>
      <c r="CH24" s="27">
        <v>0.96661017992175302</v>
      </c>
      <c r="CI24" s="27">
        <v>0.97808764940239046</v>
      </c>
      <c r="CJ24" s="27">
        <v>0.9760956175298805</v>
      </c>
      <c r="CK24" s="27">
        <v>0.97425742574257423</v>
      </c>
      <c r="CL24" s="27">
        <v>0.96633663366336631</v>
      </c>
      <c r="CM24" s="27">
        <v>0.98616600790513831</v>
      </c>
      <c r="CN24" s="27">
        <v>0.97628458498023718</v>
      </c>
      <c r="CO24" s="27">
        <v>0.974609375</v>
      </c>
      <c r="CP24" s="27">
        <v>0.97597675631765524</v>
      </c>
      <c r="CQ24" s="27">
        <v>0.98440545808966862</v>
      </c>
      <c r="CR24" s="27">
        <v>0.97035573122529639</v>
      </c>
      <c r="CS24" s="27">
        <v>0.95744680851063835</v>
      </c>
      <c r="CT24" s="27">
        <v>0.97113402061855669</v>
      </c>
      <c r="CU24" s="27">
        <v>0.96626984126984128</v>
      </c>
      <c r="CV24" s="27">
        <v>0.97864077669902916</v>
      </c>
      <c r="CW24" s="27">
        <v>0.98640776699029131</v>
      </c>
      <c r="CX24" s="27">
        <v>0.973522914771903</v>
      </c>
    </row>
    <row r="25" spans="2:102" x14ac:dyDescent="0.35">
      <c r="B25" s="17"/>
      <c r="C25" s="17"/>
      <c r="D25" s="17"/>
      <c r="E25" s="17"/>
      <c r="F25" s="17"/>
      <c r="G25" s="17"/>
      <c r="AL25" s="16" t="s">
        <v>207</v>
      </c>
      <c r="AM25" s="27">
        <v>0.92562929061784893</v>
      </c>
      <c r="AN25" s="27">
        <v>0.85779294653014793</v>
      </c>
      <c r="AO25" s="27">
        <v>0.90470723306544198</v>
      </c>
      <c r="AP25" s="27">
        <v>0.89886363636363631</v>
      </c>
      <c r="AQ25" s="27">
        <v>0.9178082191780822</v>
      </c>
      <c r="AR25" s="27">
        <v>0.89164785553047399</v>
      </c>
      <c r="AS25" s="27">
        <v>0.94090909090909092</v>
      </c>
      <c r="AT25" s="27">
        <v>0.90533689602781742</v>
      </c>
      <c r="AU25" s="27">
        <v>0.94279176201372994</v>
      </c>
      <c r="AV25" s="27">
        <v>0.9097142857142857</v>
      </c>
      <c r="AW25" s="27">
        <v>0.93378995433789957</v>
      </c>
      <c r="AX25" s="27">
        <v>0.88952164009111623</v>
      </c>
      <c r="AY25" s="27">
        <v>0.9309551208285386</v>
      </c>
      <c r="AZ25" s="27">
        <v>0.95287356321839078</v>
      </c>
      <c r="BA25" s="27">
        <v>0.91827468785471056</v>
      </c>
      <c r="BB25" s="27">
        <v>0.92541728772266729</v>
      </c>
      <c r="BC25" s="27">
        <v>0.91836734693877553</v>
      </c>
      <c r="BD25" s="27">
        <v>0.927683615819209</v>
      </c>
      <c r="BE25" s="27">
        <v>0.8832199546485261</v>
      </c>
      <c r="BF25" s="27">
        <v>0.84353741496598644</v>
      </c>
      <c r="BG25" s="27">
        <v>0.93537414965986398</v>
      </c>
      <c r="BH25" s="27">
        <v>0.94197952218430037</v>
      </c>
      <c r="BI25" s="27">
        <v>0.94438138479001132</v>
      </c>
      <c r="BJ25" s="27">
        <v>0.91350619842952452</v>
      </c>
      <c r="BK25" s="27">
        <v>0.93433179723502302</v>
      </c>
      <c r="BL25" s="27">
        <v>0.86788154897494307</v>
      </c>
      <c r="BM25" s="27">
        <v>0.89569160997732422</v>
      </c>
      <c r="BN25" s="27">
        <v>0.81972789115646261</v>
      </c>
      <c r="BO25" s="27">
        <v>0.90700344431687718</v>
      </c>
      <c r="BP25" s="27">
        <v>0.89192263936291238</v>
      </c>
      <c r="BQ25" s="27">
        <v>0.91959229898074746</v>
      </c>
      <c r="BR25" s="27">
        <v>0.89087874714346993</v>
      </c>
      <c r="BS25" s="27">
        <v>0.7337883959044369</v>
      </c>
      <c r="BT25" s="27">
        <v>0.87456445993031362</v>
      </c>
      <c r="BU25" s="27">
        <v>0.81548974943052388</v>
      </c>
      <c r="BV25" s="27">
        <v>0.82782212086659068</v>
      </c>
      <c r="BW25" s="27">
        <v>0.71217292377701935</v>
      </c>
      <c r="BX25" s="27">
        <v>0.88876146788990829</v>
      </c>
      <c r="BY25" s="27">
        <v>0.83845278725824801</v>
      </c>
      <c r="BZ25" s="27">
        <v>0.81300741500814866</v>
      </c>
      <c r="CA25" s="27">
        <v>0.91972477064220182</v>
      </c>
      <c r="CB25" s="27">
        <v>0.88141391106043332</v>
      </c>
      <c r="CC25" s="27">
        <v>0.9191343963553531</v>
      </c>
      <c r="CD25" s="27">
        <v>0.92693110647181631</v>
      </c>
      <c r="CE25" s="27">
        <v>0.85925085130533485</v>
      </c>
      <c r="CF25" s="27">
        <v>0.91200000000000003</v>
      </c>
      <c r="CG25" s="27">
        <v>0.92685714285714282</v>
      </c>
      <c r="CH25" s="27">
        <v>0.90647316838461178</v>
      </c>
      <c r="CI25" s="27">
        <v>0.94495412844036697</v>
      </c>
      <c r="CJ25" s="27">
        <v>0.91373439273552781</v>
      </c>
      <c r="CK25" s="27">
        <v>0.93310265282583627</v>
      </c>
      <c r="CL25" s="27">
        <v>0.91820276497695852</v>
      </c>
      <c r="CM25" s="27">
        <v>0.93272519954389965</v>
      </c>
      <c r="CN25" s="27">
        <v>0.91827468785471056</v>
      </c>
      <c r="CO25" s="27">
        <v>0.93856655290102387</v>
      </c>
      <c r="CP25" s="27">
        <v>0.92850862561118919</v>
      </c>
      <c r="CQ25" s="27">
        <v>0.93511008111239857</v>
      </c>
      <c r="CR25" s="27">
        <v>0.92185730464326165</v>
      </c>
      <c r="CS25" s="27">
        <v>0.88863892013498313</v>
      </c>
      <c r="CT25" s="27">
        <v>0.87514060742407196</v>
      </c>
      <c r="CU25" s="27">
        <v>0.92716763005780345</v>
      </c>
      <c r="CV25" s="27">
        <v>0.94412770809578106</v>
      </c>
      <c r="CW25" s="27">
        <v>0.9554285714285714</v>
      </c>
      <c r="CX25" s="27">
        <v>0.9210672604138388</v>
      </c>
    </row>
    <row r="26" spans="2:102" x14ac:dyDescent="0.35">
      <c r="B26" s="17"/>
      <c r="C26" s="17"/>
      <c r="D26" s="17"/>
      <c r="E26" s="17"/>
      <c r="F26" s="17"/>
      <c r="G26" s="17"/>
      <c r="AL26" s="16" t="s">
        <v>208</v>
      </c>
      <c r="AM26" s="27">
        <v>0.99568034557235419</v>
      </c>
      <c r="AN26" s="27">
        <v>0.99352051835853128</v>
      </c>
      <c r="AO26" s="27">
        <v>0.98056155507559395</v>
      </c>
      <c r="AP26" s="27">
        <v>0.98920086393088558</v>
      </c>
      <c r="AQ26" s="27">
        <v>0.99568034557235419</v>
      </c>
      <c r="AR26" s="27">
        <v>0.99136069114470837</v>
      </c>
      <c r="AS26" s="27">
        <v>0.99136069114470837</v>
      </c>
      <c r="AT26" s="27">
        <v>0.99105214439987654</v>
      </c>
      <c r="AU26" s="27">
        <v>0.99132321041214755</v>
      </c>
      <c r="AV26" s="27">
        <v>1</v>
      </c>
      <c r="AW26" s="27">
        <v>0.97747747747747749</v>
      </c>
      <c r="AX26" s="27">
        <v>0.96746203904555317</v>
      </c>
      <c r="AY26" s="27">
        <v>0.99132321041214755</v>
      </c>
      <c r="AZ26" s="27">
        <v>0.99357601713062094</v>
      </c>
      <c r="BA26" s="27">
        <v>0.98237885462555063</v>
      </c>
      <c r="BB26" s="27">
        <v>0.98622011558621392</v>
      </c>
      <c r="BC26" s="27">
        <v>0.98958333333333337</v>
      </c>
      <c r="BD26" s="27">
        <v>0.98484848484848486</v>
      </c>
      <c r="BE26" s="27">
        <v>0.97245762711864403</v>
      </c>
      <c r="BF26" s="27">
        <v>0.9850427350427351</v>
      </c>
      <c r="BG26" s="27">
        <v>0.97830802603036882</v>
      </c>
      <c r="BH26" s="27">
        <v>0.9810526315789474</v>
      </c>
      <c r="BI26" s="27">
        <v>0.97639484978540769</v>
      </c>
      <c r="BJ26" s="27">
        <v>0.98109824110541743</v>
      </c>
      <c r="BK26" s="27">
        <v>0.97634408602150535</v>
      </c>
      <c r="BL26" s="27">
        <v>0.97903563941299787</v>
      </c>
      <c r="BM26" s="27">
        <v>0.96794871794871795</v>
      </c>
      <c r="BN26" s="27">
        <v>0.96082474226804127</v>
      </c>
      <c r="BO26" s="27">
        <v>0.96320346320346317</v>
      </c>
      <c r="BP26" s="27">
        <v>0.96480331262939956</v>
      </c>
      <c r="BQ26" s="27">
        <v>0.97457627118644063</v>
      </c>
      <c r="BR26" s="27">
        <v>0.9695337475243665</v>
      </c>
      <c r="BS26" s="27">
        <v>0.97634408602150535</v>
      </c>
      <c r="BT26" s="27">
        <v>0.97634408602150535</v>
      </c>
      <c r="BU26" s="27">
        <v>0.96114519427402867</v>
      </c>
      <c r="BV26" s="27">
        <v>0.96926229508196726</v>
      </c>
      <c r="BW26" s="27">
        <v>0.94117647058823528</v>
      </c>
      <c r="BX26" s="27">
        <v>0.97634408602150535</v>
      </c>
      <c r="BY26" s="27">
        <v>0.95740365111561865</v>
      </c>
      <c r="BZ26" s="27">
        <v>0.9654314098749095</v>
      </c>
      <c r="CA26" s="27">
        <v>0.99391480730223125</v>
      </c>
      <c r="CB26" s="27">
        <v>0.97560975609756095</v>
      </c>
      <c r="CC26" s="27">
        <v>0.97971602434077076</v>
      </c>
      <c r="CD26" s="27">
        <v>0.98985801217038538</v>
      </c>
      <c r="CE26" s="27">
        <v>0.9897750511247444</v>
      </c>
      <c r="CF26" s="27">
        <v>0.97963340122199594</v>
      </c>
      <c r="CG26" s="27">
        <v>0.97963340122199594</v>
      </c>
      <c r="CH26" s="27">
        <v>0.98402006478281212</v>
      </c>
      <c r="CI26" s="27">
        <v>0.96326530612244898</v>
      </c>
      <c r="CJ26" s="27">
        <v>1</v>
      </c>
      <c r="CK26" s="27">
        <v>0.97736625514403297</v>
      </c>
      <c r="CL26" s="27">
        <v>0.96913580246913578</v>
      </c>
      <c r="CM26" s="27">
        <v>0.96537678207739308</v>
      </c>
      <c r="CN26" s="27">
        <v>0.9775967413441955</v>
      </c>
      <c r="CO26" s="27">
        <v>0.9837067209775967</v>
      </c>
      <c r="CP26" s="27">
        <v>0.97663537259068622</v>
      </c>
      <c r="CQ26" s="27">
        <v>0.96728016359918201</v>
      </c>
      <c r="CR26" s="27">
        <v>0.96530612244897962</v>
      </c>
      <c r="CS26" s="27">
        <v>0.98121085594989566</v>
      </c>
      <c r="CT26" s="27">
        <v>0.97505197505197505</v>
      </c>
      <c r="CU26" s="27">
        <v>0.98780487804878048</v>
      </c>
      <c r="CV26" s="27">
        <v>0.97530864197530864</v>
      </c>
      <c r="CW26" s="27">
        <v>0.96509240246406569</v>
      </c>
      <c r="CX26" s="27">
        <v>0.97386500564831258</v>
      </c>
    </row>
    <row r="27" spans="2:102" x14ac:dyDescent="0.35">
      <c r="B27" s="17"/>
      <c r="C27" s="17"/>
      <c r="D27" s="17"/>
      <c r="E27" s="17"/>
      <c r="F27" s="17"/>
      <c r="G27" s="17"/>
      <c r="AL27" s="16" t="s">
        <v>209</v>
      </c>
      <c r="AM27" s="27">
        <v>0.94589552238805974</v>
      </c>
      <c r="AN27" s="27">
        <v>0.94052044609665431</v>
      </c>
      <c r="AO27" s="27">
        <v>0.94085027726432535</v>
      </c>
      <c r="AP27" s="27">
        <v>0.95194085027726427</v>
      </c>
      <c r="AQ27" s="27">
        <v>0.94785847299813786</v>
      </c>
      <c r="AR27" s="27">
        <v>0.93248175182481752</v>
      </c>
      <c r="AS27" s="27">
        <v>0.94301470588235292</v>
      </c>
      <c r="AT27" s="27">
        <v>0.94322314667594465</v>
      </c>
      <c r="AU27" s="27">
        <v>0.95361781076066787</v>
      </c>
      <c r="AV27" s="27">
        <v>0.93944954128440372</v>
      </c>
      <c r="AW27" s="27">
        <v>0.93866171003717469</v>
      </c>
      <c r="AX27" s="27">
        <v>0.94183864915572235</v>
      </c>
      <c r="AY27" s="27">
        <v>0.95395948434622468</v>
      </c>
      <c r="AZ27" s="27">
        <v>0.94871794871794868</v>
      </c>
      <c r="BA27" s="27">
        <v>0.95335820895522383</v>
      </c>
      <c r="BB27" s="27">
        <v>0.9470861933224809</v>
      </c>
      <c r="BC27" s="27">
        <v>0.9188679245283019</v>
      </c>
      <c r="BD27" s="27">
        <v>0.9372693726937269</v>
      </c>
      <c r="BE27" s="27">
        <v>0.89733840304182511</v>
      </c>
      <c r="BF27" s="27">
        <v>0.89413988657844989</v>
      </c>
      <c r="BG27" s="27">
        <v>0.93680297397769519</v>
      </c>
      <c r="BH27" s="27">
        <v>0.94117647058823528</v>
      </c>
      <c r="BI27" s="27">
        <v>0.94464944649446492</v>
      </c>
      <c r="BJ27" s="27">
        <v>0.92432063970038558</v>
      </c>
      <c r="BK27" s="27">
        <v>0.91509433962264153</v>
      </c>
      <c r="BL27" s="27">
        <v>0.91044776119402981</v>
      </c>
      <c r="BM27" s="27">
        <v>0.8747628083491461</v>
      </c>
      <c r="BN27" s="27">
        <v>0.89077212806026362</v>
      </c>
      <c r="BO27" s="27">
        <v>0.92509363295880154</v>
      </c>
      <c r="BP27" s="27">
        <v>0.91509433962264153</v>
      </c>
      <c r="BQ27" s="27">
        <v>0.92897196261682247</v>
      </c>
      <c r="BR27" s="27">
        <v>0.90860528177490674</v>
      </c>
      <c r="BS27" s="27">
        <v>0.8946360153256705</v>
      </c>
      <c r="BT27" s="27">
        <v>0.90977443609022557</v>
      </c>
      <c r="BU27" s="27">
        <v>0.91509433962264153</v>
      </c>
      <c r="BV27" s="27">
        <v>0.90619136960600377</v>
      </c>
      <c r="BW27" s="27">
        <v>0.86042065009560231</v>
      </c>
      <c r="BX27" s="27">
        <v>0.9</v>
      </c>
      <c r="BY27" s="27">
        <v>0.8477842003853564</v>
      </c>
      <c r="BZ27" s="27">
        <v>0.89055728730364303</v>
      </c>
      <c r="CA27" s="27">
        <v>0.92336448598130838</v>
      </c>
      <c r="CB27" s="27">
        <v>0.90710382513661203</v>
      </c>
      <c r="CC27" s="27">
        <v>0.91917293233082709</v>
      </c>
      <c r="CD27" s="27">
        <v>0.92578849721706868</v>
      </c>
      <c r="CE27" s="27">
        <v>0.91401869158878501</v>
      </c>
      <c r="CF27" s="27">
        <v>0.93370165745856348</v>
      </c>
      <c r="CG27" s="27">
        <v>0.93135435992578852</v>
      </c>
      <c r="CH27" s="27">
        <v>0.92207206423413612</v>
      </c>
      <c r="CI27" s="27">
        <v>0.9375</v>
      </c>
      <c r="CJ27" s="27">
        <v>0.92896174863387981</v>
      </c>
      <c r="CK27" s="27">
        <v>0.92234848484848486</v>
      </c>
      <c r="CL27" s="27">
        <v>0.92149532710280369</v>
      </c>
      <c r="CM27" s="27">
        <v>0.93333333333333335</v>
      </c>
      <c r="CN27" s="27">
        <v>0.94736842105263153</v>
      </c>
      <c r="CO27" s="27">
        <v>0.94332723948811703</v>
      </c>
      <c r="CP27" s="27">
        <v>0.9334763649227501</v>
      </c>
      <c r="CQ27" s="27">
        <v>0.92682926829268297</v>
      </c>
      <c r="CR27" s="27">
        <v>0.9154411764705882</v>
      </c>
      <c r="CS27" s="27">
        <v>0.91634980988593151</v>
      </c>
      <c r="CT27" s="27">
        <v>0.91698113207547172</v>
      </c>
      <c r="CU27" s="27">
        <v>0.93245778611632268</v>
      </c>
      <c r="CV27" s="27">
        <v>0.93084112149532705</v>
      </c>
      <c r="CW27" s="27">
        <v>0.91351351351351351</v>
      </c>
      <c r="CX27" s="27">
        <v>0.92177340112140527</v>
      </c>
    </row>
    <row r="28" spans="2:102" x14ac:dyDescent="0.35">
      <c r="B28" s="17"/>
      <c r="C28" s="17"/>
      <c r="D28" s="17"/>
      <c r="E28" s="17"/>
      <c r="F28" s="17"/>
      <c r="G28" s="17"/>
      <c r="AL28" s="16" t="s">
        <v>210</v>
      </c>
      <c r="AM28" s="27">
        <v>0.96065128900949792</v>
      </c>
      <c r="AN28" s="27">
        <v>0.95108695652173914</v>
      </c>
      <c r="AO28" s="27">
        <v>0.92905866302864937</v>
      </c>
      <c r="AP28" s="27">
        <v>0.93724420190995905</v>
      </c>
      <c r="AQ28" s="27">
        <v>0.96200814111261868</v>
      </c>
      <c r="AR28" s="27">
        <v>0.97271487039563442</v>
      </c>
      <c r="AS28" s="27">
        <v>0.97142857142857142</v>
      </c>
      <c r="AT28" s="27">
        <v>0.95488467048666714</v>
      </c>
      <c r="AU28" s="27">
        <v>0.96883468834688347</v>
      </c>
      <c r="AV28" s="27">
        <v>0.97544338335607095</v>
      </c>
      <c r="AW28" s="27">
        <v>0.95934959349593496</v>
      </c>
      <c r="AX28" s="27">
        <v>0.9603825136612022</v>
      </c>
      <c r="AY28" s="27">
        <v>0.97961956521739135</v>
      </c>
      <c r="AZ28" s="27">
        <v>0.9850746268656716</v>
      </c>
      <c r="BA28" s="27">
        <v>0.98778833107191311</v>
      </c>
      <c r="BB28" s="27">
        <v>0.97378467171643834</v>
      </c>
      <c r="BC28" s="27">
        <v>0.95148247978436662</v>
      </c>
      <c r="BD28" s="27">
        <v>0.9603825136612022</v>
      </c>
      <c r="BE28" s="27">
        <v>0.93997271487039569</v>
      </c>
      <c r="BF28" s="27">
        <v>0.94133697135061389</v>
      </c>
      <c r="BG28" s="27">
        <v>0.94878706199460916</v>
      </c>
      <c r="BH28" s="27">
        <v>0.97169811320754718</v>
      </c>
      <c r="BI28" s="27">
        <v>0.91823056300268091</v>
      </c>
      <c r="BJ28" s="27">
        <v>0.94741291683877371</v>
      </c>
      <c r="BK28" s="27">
        <v>0.93894165535956575</v>
      </c>
      <c r="BL28" s="27">
        <v>0.96607869742198105</v>
      </c>
      <c r="BM28" s="27">
        <v>0.92496589358799453</v>
      </c>
      <c r="BN28" s="27">
        <v>0.95681511470985159</v>
      </c>
      <c r="BO28" s="27">
        <v>0.96617050067658994</v>
      </c>
      <c r="BP28" s="27">
        <v>0.9718875502008032</v>
      </c>
      <c r="BQ28" s="27">
        <v>0.96635262449528936</v>
      </c>
      <c r="BR28" s="27">
        <v>0.95588743377886787</v>
      </c>
      <c r="BS28" s="27">
        <v>0.93850267379679142</v>
      </c>
      <c r="BT28" s="27">
        <v>0.9410977242302544</v>
      </c>
      <c r="BU28" s="27">
        <v>0.939106901217862</v>
      </c>
      <c r="BV28" s="27">
        <v>0.94623655913978499</v>
      </c>
      <c r="BW28" s="27">
        <v>0.90896739130434778</v>
      </c>
      <c r="BX28" s="27">
        <v>0.9057873485868102</v>
      </c>
      <c r="BY28" s="27">
        <v>0.86468200270635998</v>
      </c>
      <c r="BZ28" s="27">
        <v>0.92062580014031581</v>
      </c>
      <c r="CA28" s="27">
        <v>0.98097826086956519</v>
      </c>
      <c r="CB28" s="27">
        <v>0.95436241610738259</v>
      </c>
      <c r="CC28" s="27">
        <v>0.94601889338731449</v>
      </c>
      <c r="CD28" s="27">
        <v>0.93378378378378379</v>
      </c>
      <c r="CE28" s="27">
        <v>0.96331521739130432</v>
      </c>
      <c r="CF28" s="27">
        <v>0.96866485013623982</v>
      </c>
      <c r="CG28" s="27">
        <v>0.95907230559345158</v>
      </c>
      <c r="CH28" s="27">
        <v>0.95802796103843446</v>
      </c>
      <c r="CI28" s="27">
        <v>0.97293640054127195</v>
      </c>
      <c r="CJ28" s="27">
        <v>0.97039030955585459</v>
      </c>
      <c r="CK28" s="27">
        <v>0.95663956639566394</v>
      </c>
      <c r="CL28" s="27">
        <v>0.95658073270013566</v>
      </c>
      <c r="CM28" s="27">
        <v>0.95066666666666666</v>
      </c>
      <c r="CN28" s="27">
        <v>0.96286472148541113</v>
      </c>
      <c r="CO28" s="27">
        <v>0.98002663115845534</v>
      </c>
      <c r="CP28" s="27">
        <v>0.96430071835763709</v>
      </c>
      <c r="CQ28" s="27">
        <v>0.96486486486486489</v>
      </c>
      <c r="CR28" s="27">
        <v>0.97551020408163269</v>
      </c>
      <c r="CS28" s="27">
        <v>0.94029850746268662</v>
      </c>
      <c r="CT28" s="27">
        <v>0.94836956521739135</v>
      </c>
      <c r="CU28" s="27">
        <v>0.95546558704453444</v>
      </c>
      <c r="CV28" s="27">
        <v>0.97964721845318858</v>
      </c>
      <c r="CW28" s="27">
        <v>0.97560975609756095</v>
      </c>
      <c r="CX28" s="27">
        <v>0.96282367188883711</v>
      </c>
    </row>
    <row r="29" spans="2:102" x14ac:dyDescent="0.35">
      <c r="B29" s="17"/>
      <c r="C29" s="17"/>
      <c r="D29" s="17"/>
      <c r="E29" s="17"/>
      <c r="F29" s="17"/>
      <c r="G29" s="17"/>
      <c r="AL29" s="16" t="s">
        <v>211</v>
      </c>
      <c r="AM29" s="27">
        <v>0.99406528189910981</v>
      </c>
      <c r="AN29" s="27">
        <v>0.97878787878787876</v>
      </c>
      <c r="AO29" s="27">
        <v>0.96142433234421365</v>
      </c>
      <c r="AP29" s="27">
        <v>0.97941176470588232</v>
      </c>
      <c r="AQ29" s="27">
        <v>0.97360703812316718</v>
      </c>
      <c r="AR29" s="27">
        <v>0.9880597014925373</v>
      </c>
      <c r="AS29" s="27">
        <v>0.99112426035502954</v>
      </c>
      <c r="AT29" s="27">
        <v>0.98092575110111702</v>
      </c>
      <c r="AU29" s="27">
        <v>0.97352941176470587</v>
      </c>
      <c r="AV29" s="27">
        <v>0.9826086956521739</v>
      </c>
      <c r="AW29" s="27">
        <v>0.97337278106508873</v>
      </c>
      <c r="AX29" s="27">
        <v>0.97660818713450293</v>
      </c>
      <c r="AY29" s="27">
        <v>0.96501457725947526</v>
      </c>
      <c r="AZ29" s="27">
        <v>1</v>
      </c>
      <c r="BA29" s="27">
        <v>0.98826979472140764</v>
      </c>
      <c r="BB29" s="27">
        <v>0.97991477822819351</v>
      </c>
      <c r="BC29" s="27">
        <v>0.96561604584527216</v>
      </c>
      <c r="BD29" s="27">
        <v>0.99413489736070382</v>
      </c>
      <c r="BE29" s="27">
        <v>0.9707602339181286</v>
      </c>
      <c r="BF29" s="27">
        <v>0.99423631123919309</v>
      </c>
      <c r="BG29" s="27">
        <v>1</v>
      </c>
      <c r="BH29" s="27">
        <v>0.98837209302325579</v>
      </c>
      <c r="BI29" s="27">
        <v>0.99132947976878616</v>
      </c>
      <c r="BJ29" s="27">
        <v>0.98634986587933426</v>
      </c>
      <c r="BK29" s="27">
        <v>0.95522388059701491</v>
      </c>
      <c r="BL29" s="27">
        <v>0.98285714285714287</v>
      </c>
      <c r="BM29" s="27">
        <v>0.96107784431137722</v>
      </c>
      <c r="BN29" s="27">
        <v>0.96319018404907975</v>
      </c>
      <c r="BO29" s="27">
        <v>0.97050147492625372</v>
      </c>
      <c r="BP29" s="27">
        <v>0.96306818181818177</v>
      </c>
      <c r="BQ29" s="27">
        <v>0.9941860465116279</v>
      </c>
      <c r="BR29" s="27">
        <v>0.97001496501009687</v>
      </c>
      <c r="BS29" s="27">
        <v>0.939873417721519</v>
      </c>
      <c r="BT29" s="27">
        <v>0.95744680851063835</v>
      </c>
      <c r="BU29" s="27">
        <v>0.93670886075949367</v>
      </c>
      <c r="BV29" s="27">
        <v>0.96202531645569622</v>
      </c>
      <c r="BW29" s="27">
        <v>0.87341772151898733</v>
      </c>
      <c r="BX29" s="27">
        <v>0.96330275229357798</v>
      </c>
      <c r="BY29" s="27">
        <v>0.86562499999999998</v>
      </c>
      <c r="BZ29" s="27">
        <v>0.92834283960855901</v>
      </c>
      <c r="CA29" s="27">
        <v>0.99415204678362568</v>
      </c>
      <c r="CB29" s="27">
        <v>0.95166163141993954</v>
      </c>
      <c r="CC29" s="27">
        <v>0.99109792284866471</v>
      </c>
      <c r="CD29" s="27">
        <v>0.97345132743362828</v>
      </c>
      <c r="CE29" s="27">
        <v>0.97023809523809523</v>
      </c>
      <c r="CF29" s="27">
        <v>0.98538011695906436</v>
      </c>
      <c r="CG29" s="27">
        <v>0.9760479041916168</v>
      </c>
      <c r="CH29" s="27">
        <v>0.97743272069637643</v>
      </c>
      <c r="CI29" s="27">
        <v>0.9707602339181286</v>
      </c>
      <c r="CJ29" s="27">
        <v>0.9745042492917847</v>
      </c>
      <c r="CK29" s="27">
        <v>0.9707602339181286</v>
      </c>
      <c r="CL29" s="27">
        <v>0.98240469208211145</v>
      </c>
      <c r="CM29" s="27">
        <v>0.96802325581395354</v>
      </c>
      <c r="CN29" s="27">
        <v>0.98290598290598286</v>
      </c>
      <c r="CO29" s="27">
        <v>0.97413793103448276</v>
      </c>
      <c r="CP29" s="27">
        <v>0.97478522556636749</v>
      </c>
      <c r="CQ29" s="27">
        <v>1</v>
      </c>
      <c r="CR29" s="27">
        <v>0.97142857142857142</v>
      </c>
      <c r="CS29" s="27">
        <v>0.96656534954407292</v>
      </c>
      <c r="CT29" s="27">
        <v>0.97032640949554894</v>
      </c>
      <c r="CU29" s="27">
        <v>0.96531791907514453</v>
      </c>
      <c r="CV29" s="27">
        <v>0.96811594202898554</v>
      </c>
      <c r="CW29" s="27">
        <v>0.96460176991150437</v>
      </c>
      <c r="CX29" s="27">
        <v>0.97233656592626105</v>
      </c>
    </row>
    <row r="30" spans="2:102" x14ac:dyDescent="0.35">
      <c r="B30" s="17"/>
      <c r="C30" s="17"/>
      <c r="D30" s="17"/>
      <c r="E30" s="17"/>
      <c r="F30" s="17"/>
      <c r="G30" s="17"/>
      <c r="AL30" s="16" t="s">
        <v>212</v>
      </c>
      <c r="AM30" s="27">
        <v>0.89747899159663869</v>
      </c>
      <c r="AN30" s="27">
        <v>0.91032148900169207</v>
      </c>
      <c r="AO30" s="27">
        <v>0.88364249578414844</v>
      </c>
      <c r="AP30" s="27">
        <v>0.89376053962900504</v>
      </c>
      <c r="AQ30" s="27">
        <v>0.90033783783783783</v>
      </c>
      <c r="AR30" s="27">
        <v>0.93581081081081086</v>
      </c>
      <c r="AS30" s="27">
        <v>0.89189189189189189</v>
      </c>
      <c r="AT30" s="27">
        <v>0.90189200807886061</v>
      </c>
      <c r="AU30" s="27">
        <v>0.90878378378378377</v>
      </c>
      <c r="AV30" s="27">
        <v>0.90016920473773265</v>
      </c>
      <c r="AW30" s="27">
        <v>0.86417657045840413</v>
      </c>
      <c r="AX30" s="27">
        <v>0.86587436332767398</v>
      </c>
      <c r="AY30" s="27">
        <v>0.88344594594594594</v>
      </c>
      <c r="AZ30" s="27">
        <v>0.90572390572390571</v>
      </c>
      <c r="BA30" s="27">
        <v>0.90202702702702697</v>
      </c>
      <c r="BB30" s="27">
        <v>0.89002868585778183</v>
      </c>
      <c r="BC30" s="27">
        <v>0.86610169491525424</v>
      </c>
      <c r="BD30" s="27">
        <v>0.85836177474402731</v>
      </c>
      <c r="BE30" s="27">
        <v>0.88813559322033897</v>
      </c>
      <c r="BF30" s="27">
        <v>0.89830508474576276</v>
      </c>
      <c r="BG30" s="27">
        <v>0.86904761904761907</v>
      </c>
      <c r="BH30" s="27">
        <v>0.87157534246575341</v>
      </c>
      <c r="BI30" s="27">
        <v>0.88013698630136983</v>
      </c>
      <c r="BJ30" s="27">
        <v>0.87595201363430364</v>
      </c>
      <c r="BK30" s="27">
        <v>0.90986394557823125</v>
      </c>
      <c r="BL30" s="27">
        <v>0.90508474576271192</v>
      </c>
      <c r="BM30" s="27">
        <v>0.90136054421768708</v>
      </c>
      <c r="BN30" s="27">
        <v>0.90816326530612246</v>
      </c>
      <c r="BO30" s="27">
        <v>0.90152801358234291</v>
      </c>
      <c r="BP30" s="27">
        <v>0.89643463497453313</v>
      </c>
      <c r="BQ30" s="27">
        <v>0.91156462585034015</v>
      </c>
      <c r="BR30" s="27">
        <v>0.90485711075313835</v>
      </c>
      <c r="BS30" s="27">
        <v>0.87585034013605445</v>
      </c>
      <c r="BT30" s="27">
        <v>0.91652470187393531</v>
      </c>
      <c r="BU30" s="27">
        <v>0.89455782312925169</v>
      </c>
      <c r="BV30" s="27">
        <v>0.92190152801358238</v>
      </c>
      <c r="BW30" s="27">
        <v>0.80442176870748294</v>
      </c>
      <c r="BX30" s="27">
        <v>0.84156729131175467</v>
      </c>
      <c r="BY30" s="27">
        <v>0.74659863945578231</v>
      </c>
      <c r="BZ30" s="27">
        <v>0.85734601323254911</v>
      </c>
      <c r="CA30" s="27">
        <v>0.89830508474576276</v>
      </c>
      <c r="CB30" s="27">
        <v>0.93220338983050843</v>
      </c>
      <c r="CC30" s="27">
        <v>0.87140439932318103</v>
      </c>
      <c r="CD30" s="27">
        <v>0.9</v>
      </c>
      <c r="CE30" s="27">
        <v>0.89830508474576276</v>
      </c>
      <c r="CF30" s="27">
        <v>0.91708967851099832</v>
      </c>
      <c r="CG30" s="27">
        <v>0.88663282571912017</v>
      </c>
      <c r="CH30" s="27">
        <v>0.90056292326790488</v>
      </c>
      <c r="CI30" s="27">
        <v>0.91385135135135132</v>
      </c>
      <c r="CJ30" s="27">
        <v>0.93050847457627117</v>
      </c>
      <c r="CK30" s="27">
        <v>0.90136054421768708</v>
      </c>
      <c r="CL30" s="27">
        <v>0.90646258503401356</v>
      </c>
      <c r="CM30" s="27">
        <v>0.90186125211505919</v>
      </c>
      <c r="CN30" s="27">
        <v>0.93559322033898307</v>
      </c>
      <c r="CO30" s="27">
        <v>0.93243243243243246</v>
      </c>
      <c r="CP30" s="27">
        <v>0.91743855143797115</v>
      </c>
      <c r="CQ30" s="27">
        <v>0.89778534923339015</v>
      </c>
      <c r="CR30" s="27">
        <v>0.90646258503401356</v>
      </c>
      <c r="CS30" s="27">
        <v>0.87393526405451449</v>
      </c>
      <c r="CT30" s="27">
        <v>0.89419795221843001</v>
      </c>
      <c r="CU30" s="27">
        <v>0.89455782312925169</v>
      </c>
      <c r="CV30" s="27">
        <v>0.90152801358234291</v>
      </c>
      <c r="CW30" s="27">
        <v>0.88285229202037352</v>
      </c>
      <c r="CX30" s="27">
        <v>0.89304561132461657</v>
      </c>
    </row>
    <row r="31" spans="2:102" x14ac:dyDescent="0.35">
      <c r="B31" s="17"/>
      <c r="C31" s="17"/>
      <c r="D31" s="17"/>
      <c r="E31" s="17"/>
      <c r="F31" s="17"/>
      <c r="G31" s="17"/>
      <c r="AL31" s="16" t="s">
        <v>213</v>
      </c>
      <c r="AM31" s="27">
        <v>0.91176470588235292</v>
      </c>
      <c r="AN31" s="27">
        <v>0.92810457516339873</v>
      </c>
      <c r="AO31" s="27">
        <v>0.86798679867986794</v>
      </c>
      <c r="AP31" s="27">
        <v>0.91089108910891092</v>
      </c>
      <c r="AQ31" s="27">
        <v>0.94771241830065356</v>
      </c>
      <c r="AR31" s="27">
        <v>0.94117647058823528</v>
      </c>
      <c r="AS31" s="27">
        <v>0.9509803921568627</v>
      </c>
      <c r="AT31" s="27">
        <v>0.92265949284004034</v>
      </c>
      <c r="AU31" s="27">
        <v>0.91776315789473684</v>
      </c>
      <c r="AV31" s="27">
        <v>0.95049504950495045</v>
      </c>
      <c r="AW31" s="27">
        <v>0.9673202614379085</v>
      </c>
      <c r="AX31" s="27">
        <v>0.96065573770491808</v>
      </c>
      <c r="AY31" s="27">
        <v>0.92763157894736847</v>
      </c>
      <c r="AZ31" s="27">
        <v>0.93666666666666665</v>
      </c>
      <c r="BA31" s="27">
        <v>0.97</v>
      </c>
      <c r="BB31" s="27">
        <v>0.9472189217366499</v>
      </c>
      <c r="BC31" s="27">
        <v>0.95081967213114749</v>
      </c>
      <c r="BD31" s="27">
        <v>0.97058823529411764</v>
      </c>
      <c r="BE31" s="27">
        <v>0.96078431372549022</v>
      </c>
      <c r="BF31" s="27">
        <v>0.95081967213114749</v>
      </c>
      <c r="BG31" s="27">
        <v>0.97350993377483441</v>
      </c>
      <c r="BH31" s="27">
        <v>0.92483660130718959</v>
      </c>
      <c r="BI31" s="27">
        <v>0.95681063122923593</v>
      </c>
      <c r="BJ31" s="27">
        <v>0.95545272279902327</v>
      </c>
      <c r="BK31" s="27">
        <v>0.91776315789473684</v>
      </c>
      <c r="BL31" s="27">
        <v>0.97377049180327868</v>
      </c>
      <c r="BM31" s="27">
        <v>0.87947882736156346</v>
      </c>
      <c r="BN31" s="27">
        <v>0.95394736842105265</v>
      </c>
      <c r="BO31" s="27">
        <v>0.95681063122923593</v>
      </c>
      <c r="BP31" s="27">
        <v>0.95394736842105265</v>
      </c>
      <c r="BQ31" s="27">
        <v>0.9375</v>
      </c>
      <c r="BR31" s="27">
        <v>0.93903112073298867</v>
      </c>
      <c r="BS31" s="27">
        <v>0.91496598639455784</v>
      </c>
      <c r="BT31" s="27">
        <v>0.89403973509933776</v>
      </c>
      <c r="BU31" s="27">
        <v>0.89966555183946484</v>
      </c>
      <c r="BV31" s="27">
        <v>0.88196721311475412</v>
      </c>
      <c r="BW31" s="27">
        <v>0.83389830508474572</v>
      </c>
      <c r="BX31" s="27">
        <v>0.89261744966442957</v>
      </c>
      <c r="BY31" s="27">
        <v>0.82828282828282829</v>
      </c>
      <c r="BZ31" s="27">
        <v>0.87791958135430259</v>
      </c>
      <c r="CA31" s="27">
        <v>0.9358974358974359</v>
      </c>
      <c r="CB31" s="27">
        <v>0.89610389610389607</v>
      </c>
      <c r="CC31" s="27">
        <v>0.95512820512820518</v>
      </c>
      <c r="CD31" s="27">
        <v>0.94871794871794868</v>
      </c>
      <c r="CE31" s="27">
        <v>0.9278688524590164</v>
      </c>
      <c r="CF31" s="27">
        <v>0.94480519480519476</v>
      </c>
      <c r="CG31" s="27">
        <v>0.92079207920792083</v>
      </c>
      <c r="CH31" s="27">
        <v>0.9327590874742312</v>
      </c>
      <c r="CI31" s="27">
        <v>0.91849529780564265</v>
      </c>
      <c r="CJ31" s="27">
        <v>0.954983922829582</v>
      </c>
      <c r="CK31" s="27">
        <v>0.88607594936708856</v>
      </c>
      <c r="CL31" s="27">
        <v>0.91536050156739812</v>
      </c>
      <c r="CM31" s="27">
        <v>0.95297805642633227</v>
      </c>
      <c r="CN31" s="27">
        <v>0.93929712460063897</v>
      </c>
      <c r="CO31" s="27">
        <v>0.94888178913738019</v>
      </c>
      <c r="CP31" s="27">
        <v>0.93086752024772323</v>
      </c>
      <c r="CQ31" s="27">
        <v>0.93375394321766558</v>
      </c>
      <c r="CR31" s="27">
        <v>0.93375394321766558</v>
      </c>
      <c r="CS31" s="27">
        <v>0.89968652037617558</v>
      </c>
      <c r="CT31" s="27">
        <v>0.92452830188679247</v>
      </c>
      <c r="CU31" s="27">
        <v>0.94321766561514198</v>
      </c>
      <c r="CV31" s="27">
        <v>0.93059936908517349</v>
      </c>
      <c r="CW31" s="27">
        <v>0.95924764890282133</v>
      </c>
      <c r="CX31" s="27">
        <v>0.93211248461449081</v>
      </c>
    </row>
    <row r="32" spans="2:102" x14ac:dyDescent="0.35">
      <c r="B32" s="17"/>
      <c r="C32" s="17"/>
      <c r="D32" s="17"/>
      <c r="E32" s="17"/>
      <c r="F32" s="17"/>
      <c r="G32" s="17"/>
      <c r="AL32" s="16" t="s">
        <v>214</v>
      </c>
      <c r="AM32" s="27">
        <v>0.93001841620626147</v>
      </c>
      <c r="AN32" s="27">
        <v>0.92904446546830655</v>
      </c>
      <c r="AO32" s="27">
        <v>0.92698706099815154</v>
      </c>
      <c r="AP32" s="27">
        <v>0.93457943925233644</v>
      </c>
      <c r="AQ32" s="27">
        <v>0.94883720930232562</v>
      </c>
      <c r="AR32" s="27">
        <v>0.93129062209842151</v>
      </c>
      <c r="AS32" s="27">
        <v>0.96435272045028142</v>
      </c>
      <c r="AT32" s="27">
        <v>0.93787284768229784</v>
      </c>
      <c r="AU32" s="27">
        <v>0.94717330861909177</v>
      </c>
      <c r="AV32" s="27">
        <v>0.93732460243217963</v>
      </c>
      <c r="AW32" s="27">
        <v>0.93530499075785578</v>
      </c>
      <c r="AX32" s="27">
        <v>0.93109869646182497</v>
      </c>
      <c r="AY32" s="27">
        <v>0.93211009174311932</v>
      </c>
      <c r="AZ32" s="27">
        <v>0.94068582020389246</v>
      </c>
      <c r="BA32" s="27">
        <v>0.93686165273909006</v>
      </c>
      <c r="BB32" s="27">
        <v>0.9372227375652934</v>
      </c>
      <c r="BC32" s="27">
        <v>0.94599627560521415</v>
      </c>
      <c r="BD32" s="27">
        <v>0.93158388003748827</v>
      </c>
      <c r="BE32" s="27">
        <v>0.93401486988847582</v>
      </c>
      <c r="BF32" s="27">
        <v>0.93097014925373134</v>
      </c>
      <c r="BG32" s="27">
        <v>0.93894542090656796</v>
      </c>
      <c r="BH32" s="27">
        <v>0.93234476367006491</v>
      </c>
      <c r="BI32" s="27">
        <v>0.92917054986020509</v>
      </c>
      <c r="BJ32" s="27">
        <v>0.93471798703167808</v>
      </c>
      <c r="BK32" s="27">
        <v>0.9097674418604651</v>
      </c>
      <c r="BL32" s="27">
        <v>0.93621013133208253</v>
      </c>
      <c r="BM32" s="27">
        <v>0.92200557103064062</v>
      </c>
      <c r="BN32" s="27">
        <v>0.90943043884220354</v>
      </c>
      <c r="BO32" s="27">
        <v>0.91312384473197783</v>
      </c>
      <c r="BP32" s="27">
        <v>0.9449112978524743</v>
      </c>
      <c r="BQ32" s="27">
        <v>0.93259464450600182</v>
      </c>
      <c r="BR32" s="27">
        <v>0.92400619573654941</v>
      </c>
      <c r="BS32" s="27">
        <v>0.91406987724268174</v>
      </c>
      <c r="BT32" s="27">
        <v>0.91242937853107342</v>
      </c>
      <c r="BU32" s="27">
        <v>0.93389199255121047</v>
      </c>
      <c r="BV32" s="27">
        <v>0.93996247654784237</v>
      </c>
      <c r="BW32" s="27">
        <v>0.89458689458689455</v>
      </c>
      <c r="BX32" s="27">
        <v>0.90310442144873004</v>
      </c>
      <c r="BY32" s="27">
        <v>0.85890151515151514</v>
      </c>
      <c r="BZ32" s="27">
        <v>0.90813522229427834</v>
      </c>
      <c r="CA32" s="27">
        <v>0.95041322314049592</v>
      </c>
      <c r="CB32" s="27">
        <v>0.96100278551532037</v>
      </c>
      <c r="CC32" s="27">
        <v>0.94804010938924343</v>
      </c>
      <c r="CD32" s="27">
        <v>0.92647058823529416</v>
      </c>
      <c r="CE32" s="27">
        <v>0.94216417910447758</v>
      </c>
      <c r="CF32" s="27">
        <v>0.96292863762743286</v>
      </c>
      <c r="CG32" s="27">
        <v>0.9372693726937269</v>
      </c>
      <c r="CH32" s="27">
        <v>0.94689841367228433</v>
      </c>
      <c r="CI32" s="27">
        <v>0.94197642792384406</v>
      </c>
      <c r="CJ32" s="27">
        <v>0.94475138121546964</v>
      </c>
      <c r="CK32" s="27">
        <v>0.93393665158371042</v>
      </c>
      <c r="CL32" s="27">
        <v>0.93181818181818177</v>
      </c>
      <c r="CM32" s="27">
        <v>0.95104261106074339</v>
      </c>
      <c r="CN32" s="27">
        <v>0.93939393939393945</v>
      </c>
      <c r="CO32" s="27">
        <v>0.95890410958904104</v>
      </c>
      <c r="CP32" s="27">
        <v>0.94311761465499</v>
      </c>
      <c r="CQ32" s="27">
        <v>0.91833030852994557</v>
      </c>
      <c r="CR32" s="27">
        <v>0.93156934306569339</v>
      </c>
      <c r="CS32" s="27">
        <v>0.91491308325709053</v>
      </c>
      <c r="CT32" s="27">
        <v>0.90760869565217395</v>
      </c>
      <c r="CU32" s="27">
        <v>0.93260473588342441</v>
      </c>
      <c r="CV32" s="27">
        <v>0.92987249544626593</v>
      </c>
      <c r="CW32" s="27">
        <v>0.93474264705882348</v>
      </c>
      <c r="CX32" s="27">
        <v>0.92423447269905956</v>
      </c>
    </row>
    <row r="33" spans="2:102" x14ac:dyDescent="0.35">
      <c r="B33" s="17"/>
      <c r="C33" s="17"/>
      <c r="D33" s="17"/>
      <c r="E33" s="17"/>
      <c r="F33" s="17"/>
      <c r="G33" s="17"/>
      <c r="AL33" s="16" t="s">
        <v>215</v>
      </c>
      <c r="AM33" s="27">
        <v>0.97486772486772488</v>
      </c>
      <c r="AN33" s="27">
        <v>0.95806028833551771</v>
      </c>
      <c r="AO33" s="27">
        <v>0.95137976346911957</v>
      </c>
      <c r="AP33" s="27">
        <v>0.96068152031454779</v>
      </c>
      <c r="AQ33" s="27">
        <v>0.96701846965699212</v>
      </c>
      <c r="AR33" s="27">
        <v>0.96194225721784776</v>
      </c>
      <c r="AS33" s="27">
        <v>0.96437994722955145</v>
      </c>
      <c r="AT33" s="27">
        <v>0.96261856729875728</v>
      </c>
      <c r="AU33" s="27">
        <v>0.96729559748427674</v>
      </c>
      <c r="AV33" s="27">
        <v>0.95032679738562087</v>
      </c>
      <c r="AW33" s="27">
        <v>0.96352201257861636</v>
      </c>
      <c r="AX33" s="27">
        <v>0.96855345911949686</v>
      </c>
      <c r="AY33" s="27">
        <v>0.98103666245259169</v>
      </c>
      <c r="AZ33" s="27">
        <v>0.94943109987357777</v>
      </c>
      <c r="BA33" s="27">
        <v>0.96080910240202277</v>
      </c>
      <c r="BB33" s="27">
        <v>0.9629963901851718</v>
      </c>
      <c r="BC33" s="27">
        <v>0.95448798988621997</v>
      </c>
      <c r="BD33" s="27">
        <v>0.94451450189155106</v>
      </c>
      <c r="BE33" s="27">
        <v>0.95696202531645569</v>
      </c>
      <c r="BF33" s="27">
        <v>0.95696202531645569</v>
      </c>
      <c r="BG33" s="27">
        <v>0.95828065739570167</v>
      </c>
      <c r="BH33" s="27">
        <v>0.96713021491782558</v>
      </c>
      <c r="BI33" s="27">
        <v>0.96965865992414668</v>
      </c>
      <c r="BJ33" s="27">
        <v>0.95828515352119381</v>
      </c>
      <c r="BK33" s="27">
        <v>0.9319041614123581</v>
      </c>
      <c r="BL33" s="27">
        <v>0.9379746835443038</v>
      </c>
      <c r="BM33" s="27">
        <v>0.90759493670886071</v>
      </c>
      <c r="BN33" s="27">
        <v>0.90554156171284639</v>
      </c>
      <c r="BO33" s="27">
        <v>0.94444444444444442</v>
      </c>
      <c r="BP33" s="27">
        <v>0.92191435768261965</v>
      </c>
      <c r="BQ33" s="27">
        <v>0.94199243379571251</v>
      </c>
      <c r="BR33" s="27">
        <v>0.92733808275730667</v>
      </c>
      <c r="BS33" s="27">
        <v>0.93951093951093956</v>
      </c>
      <c r="BT33" s="27">
        <v>0.92075471698113209</v>
      </c>
      <c r="BU33" s="27">
        <v>0.93951093951093956</v>
      </c>
      <c r="BV33" s="27">
        <v>0.93951093951093956</v>
      </c>
      <c r="BW33" s="27">
        <v>0.9315245478036176</v>
      </c>
      <c r="BX33" s="27">
        <v>0.9315589353612167</v>
      </c>
      <c r="BY33" s="27">
        <v>0.9315589353612167</v>
      </c>
      <c r="BZ33" s="27">
        <v>0.93341856486285735</v>
      </c>
      <c r="CA33" s="27">
        <v>0.92704402515723272</v>
      </c>
      <c r="CB33" s="27">
        <v>0.93836477987421385</v>
      </c>
      <c r="CC33" s="27">
        <v>0.92055485498108447</v>
      </c>
      <c r="CD33" s="27">
        <v>0.92830188679245285</v>
      </c>
      <c r="CE33" s="27">
        <v>0.91080402010050254</v>
      </c>
      <c r="CF33" s="27">
        <v>0.9308176100628931</v>
      </c>
      <c r="CG33" s="27">
        <v>0.90943396226415096</v>
      </c>
      <c r="CH33" s="27">
        <v>0.92361730560464717</v>
      </c>
      <c r="CI33" s="27">
        <v>0.9308176100628931</v>
      </c>
      <c r="CJ33" s="27">
        <v>0.93333333333333335</v>
      </c>
      <c r="CK33" s="27">
        <v>0.94206549118387906</v>
      </c>
      <c r="CL33" s="27">
        <v>0.93962264150943398</v>
      </c>
      <c r="CM33" s="27">
        <v>0.9308176100628931</v>
      </c>
      <c r="CN33" s="27">
        <v>0.93064312736443888</v>
      </c>
      <c r="CO33" s="27">
        <v>0.9308176100628931</v>
      </c>
      <c r="CP33" s="27">
        <v>0.93401677479710921</v>
      </c>
      <c r="CQ33" s="27">
        <v>0.94221105527638194</v>
      </c>
      <c r="CR33" s="27">
        <v>0.9408805031446541</v>
      </c>
      <c r="CS33" s="27">
        <v>0.95595854922279788</v>
      </c>
      <c r="CT33" s="27">
        <v>0.9598445595854922</v>
      </c>
      <c r="CU33" s="27">
        <v>0.94339622641509435</v>
      </c>
      <c r="CV33" s="27">
        <v>0.97232704402515724</v>
      </c>
      <c r="CW33" s="27">
        <v>0.94339622641509435</v>
      </c>
      <c r="CX33" s="27">
        <v>0.95114488058352453</v>
      </c>
    </row>
    <row r="34" spans="2:102" x14ac:dyDescent="0.35">
      <c r="B34" s="17"/>
      <c r="C34" s="17"/>
      <c r="D34" s="17"/>
      <c r="E34" s="17"/>
      <c r="F34" s="17"/>
      <c r="G34" s="17"/>
      <c r="AL34" s="16" t="s">
        <v>216</v>
      </c>
      <c r="AM34" s="27">
        <v>0.96132151490733275</v>
      </c>
      <c r="AN34" s="27">
        <v>0.97353648757016842</v>
      </c>
      <c r="AO34" s="27">
        <v>0.96562749800159875</v>
      </c>
      <c r="AP34" s="27">
        <v>0.96565495207667729</v>
      </c>
      <c r="AQ34" s="27">
        <v>0.96964856230031948</v>
      </c>
      <c r="AR34" s="27">
        <v>0.9797898140662894</v>
      </c>
      <c r="AS34" s="27">
        <v>0.97923322683706071</v>
      </c>
      <c r="AT34" s="27">
        <v>0.9706874365370638</v>
      </c>
      <c r="AU34" s="27">
        <v>0.97040000000000004</v>
      </c>
      <c r="AV34" s="27">
        <v>0.96257961783439494</v>
      </c>
      <c r="AW34" s="27">
        <v>0.96551724137931039</v>
      </c>
      <c r="AX34" s="27">
        <v>0.9646781789638933</v>
      </c>
      <c r="AY34" s="27">
        <v>0.96797437950360288</v>
      </c>
      <c r="AZ34" s="27">
        <v>0.9713375796178344</v>
      </c>
      <c r="BA34" s="27">
        <v>0.97124600638977632</v>
      </c>
      <c r="BB34" s="27">
        <v>0.96767614338411601</v>
      </c>
      <c r="BC34" s="27">
        <v>0.97533810660302311</v>
      </c>
      <c r="BD34" s="27">
        <v>0.97845171588188351</v>
      </c>
      <c r="BE34" s="27">
        <v>0.95931651749389746</v>
      </c>
      <c r="BF34" s="27">
        <v>0.9601626016260163</v>
      </c>
      <c r="BG34" s="27">
        <v>0.97533810660302311</v>
      </c>
      <c r="BH34" s="27">
        <v>0.97765363128491622</v>
      </c>
      <c r="BI34" s="27">
        <v>0.97845171588188351</v>
      </c>
      <c r="BJ34" s="27">
        <v>0.97210177076780624</v>
      </c>
      <c r="BK34" s="27">
        <v>0.95652173913043481</v>
      </c>
      <c r="BL34" s="27">
        <v>0.9788617886178862</v>
      </c>
      <c r="BM34" s="27">
        <v>0.96631916599839618</v>
      </c>
      <c r="BN34" s="27">
        <v>0.95996797437950365</v>
      </c>
      <c r="BO34" s="27">
        <v>0.95980707395498388</v>
      </c>
      <c r="BP34" s="27">
        <v>0.97642276422764229</v>
      </c>
      <c r="BQ34" s="27">
        <v>0.94551282051282048</v>
      </c>
      <c r="BR34" s="27">
        <v>0.96334476097452382</v>
      </c>
      <c r="BS34" s="27">
        <v>0.95753205128205132</v>
      </c>
      <c r="BT34" s="27">
        <v>0.96955128205128205</v>
      </c>
      <c r="BU34" s="27">
        <v>0.94466720128307935</v>
      </c>
      <c r="BV34" s="27">
        <v>0.95683453237410077</v>
      </c>
      <c r="BW34" s="27">
        <v>0.94037066881547138</v>
      </c>
      <c r="BX34" s="27">
        <v>0.96725239616613423</v>
      </c>
      <c r="BY34" s="27">
        <v>0.92649434571890144</v>
      </c>
      <c r="BZ34" s="27">
        <v>0.95181463967014579</v>
      </c>
      <c r="CA34" s="27">
        <v>0.97481722177091801</v>
      </c>
      <c r="CB34" s="27">
        <v>0.97691082802547768</v>
      </c>
      <c r="CC34" s="27">
        <v>0.95836734693877546</v>
      </c>
      <c r="CD34" s="27">
        <v>0.96370967741935487</v>
      </c>
      <c r="CE34" s="27">
        <v>0.9728</v>
      </c>
      <c r="CF34" s="27">
        <v>0.96960000000000002</v>
      </c>
      <c r="CG34" s="27">
        <v>0.96799999999999997</v>
      </c>
      <c r="CH34" s="27">
        <v>0.96917215345064656</v>
      </c>
      <c r="CI34" s="27">
        <v>0.97222222222222221</v>
      </c>
      <c r="CJ34" s="27">
        <v>0.9620661824051655</v>
      </c>
      <c r="CK34" s="27">
        <v>0.963963963963964</v>
      </c>
      <c r="CL34" s="27">
        <v>0.95354523227383858</v>
      </c>
      <c r="CM34" s="27">
        <v>0.97297297297297303</v>
      </c>
      <c r="CN34" s="27">
        <v>0.97295081967213115</v>
      </c>
      <c r="CO34" s="27">
        <v>0.96405228758169936</v>
      </c>
      <c r="CP34" s="27">
        <v>0.96596766872742779</v>
      </c>
      <c r="CQ34" s="27">
        <v>0.96707818930041156</v>
      </c>
      <c r="CR34" s="27">
        <v>0.97073170731707314</v>
      </c>
      <c r="CS34" s="27">
        <v>0.96251993620414678</v>
      </c>
      <c r="CT34" s="27">
        <v>0.96812749003984067</v>
      </c>
      <c r="CU34" s="27">
        <v>0.97448559670781898</v>
      </c>
      <c r="CV34" s="27">
        <v>0.97219950940310706</v>
      </c>
      <c r="CW34" s="27">
        <v>0.97450657894736847</v>
      </c>
      <c r="CX34" s="27">
        <v>0.9699498582742524</v>
      </c>
    </row>
    <row r="35" spans="2:102" ht="14.25" customHeight="1" x14ac:dyDescent="0.35">
      <c r="B35" s="17"/>
      <c r="C35" s="17"/>
      <c r="D35" s="17"/>
      <c r="E35" s="17"/>
      <c r="F35" s="17"/>
      <c r="G35" s="17"/>
      <c r="AL35" s="16" t="s">
        <v>217</v>
      </c>
      <c r="AM35" s="27">
        <v>0.97619047619047616</v>
      </c>
      <c r="AN35" s="27">
        <v>0.99872773536895676</v>
      </c>
      <c r="AO35" s="27">
        <v>0.97877984084880632</v>
      </c>
      <c r="AP35" s="27">
        <v>0.99205298013245036</v>
      </c>
      <c r="AQ35" s="27">
        <v>0.98298429319371727</v>
      </c>
      <c r="AR35" s="27">
        <v>0.99873096446700504</v>
      </c>
      <c r="AS35" s="27">
        <v>0.99086161879895562</v>
      </c>
      <c r="AT35" s="27">
        <v>0.98833255842862389</v>
      </c>
      <c r="AU35" s="27">
        <v>0.98569570871261381</v>
      </c>
      <c r="AV35" s="27">
        <v>0.99212598425196852</v>
      </c>
      <c r="AW35" s="27">
        <v>0.98165137614678899</v>
      </c>
      <c r="AX35" s="27">
        <v>0.97058823529411764</v>
      </c>
      <c r="AY35" s="27">
        <v>0.99213630406290954</v>
      </c>
      <c r="AZ35" s="27">
        <v>0.99871134020618557</v>
      </c>
      <c r="BA35" s="27">
        <v>0.99342969776609724</v>
      </c>
      <c r="BB35" s="27">
        <v>0.98776266377724009</v>
      </c>
      <c r="BC35" s="27">
        <v>0.98143236074270557</v>
      </c>
      <c r="BD35" s="27">
        <v>0.99738903394255873</v>
      </c>
      <c r="BE35" s="27">
        <v>0.97449664429530203</v>
      </c>
      <c r="BF35" s="27">
        <v>0.97994652406417115</v>
      </c>
      <c r="BG35" s="27">
        <v>0.99868421052631584</v>
      </c>
      <c r="BH35" s="27">
        <v>0.99870967741935479</v>
      </c>
      <c r="BI35" s="27">
        <v>0.98820445609436436</v>
      </c>
      <c r="BJ35" s="27">
        <v>0.98840898672639621</v>
      </c>
      <c r="BK35" s="27">
        <v>0.98951507208387945</v>
      </c>
      <c r="BL35" s="27">
        <v>0.98677248677248675</v>
      </c>
      <c r="BM35" s="27">
        <v>0.96059782608695654</v>
      </c>
      <c r="BN35" s="27">
        <v>0.97199999999999998</v>
      </c>
      <c r="BO35" s="27">
        <v>0.99088541666666663</v>
      </c>
      <c r="BP35" s="27">
        <v>0.99472990777338599</v>
      </c>
      <c r="BQ35" s="27">
        <v>0.98818897637795278</v>
      </c>
      <c r="BR35" s="27">
        <v>0.98324138368018965</v>
      </c>
      <c r="BS35" s="27">
        <v>0.94055482166446502</v>
      </c>
      <c r="BT35" s="27">
        <v>0.98431372549019602</v>
      </c>
      <c r="BU35" s="27">
        <v>0.95877659574468088</v>
      </c>
      <c r="BV35" s="27">
        <v>0.94579945799457998</v>
      </c>
      <c r="BW35" s="27">
        <v>0.9463806970509383</v>
      </c>
      <c r="BX35" s="27">
        <v>0.96091644204851756</v>
      </c>
      <c r="BY35" s="27">
        <v>0.9057873485868102</v>
      </c>
      <c r="BZ35" s="27">
        <v>0.94893272694002684</v>
      </c>
      <c r="CA35" s="27">
        <v>0.99099099099099097</v>
      </c>
      <c r="CB35" s="27">
        <v>0.97551546391752575</v>
      </c>
      <c r="CC35" s="27">
        <v>0.98036649214659688</v>
      </c>
      <c r="CD35" s="27">
        <v>0.98609355246523389</v>
      </c>
      <c r="CE35" s="27">
        <v>0.97024579560155244</v>
      </c>
      <c r="CF35" s="27">
        <v>0.96488946684005206</v>
      </c>
      <c r="CG35" s="27">
        <v>0.9455307262569832</v>
      </c>
      <c r="CH35" s="27">
        <v>0.97337606974556212</v>
      </c>
      <c r="CI35" s="27">
        <v>0.96577946768060841</v>
      </c>
      <c r="CJ35" s="27">
        <v>0.9606879606879607</v>
      </c>
      <c r="CK35" s="27">
        <v>0.98221092757306228</v>
      </c>
      <c r="CL35" s="27">
        <v>0.98987341772151893</v>
      </c>
      <c r="CM35" s="27">
        <v>0.97243107769423553</v>
      </c>
      <c r="CN35" s="27">
        <v>0.9716399506781751</v>
      </c>
      <c r="CO35" s="27">
        <v>0.97490589711417819</v>
      </c>
      <c r="CP35" s="27">
        <v>0.97393267130710559</v>
      </c>
      <c r="CQ35" s="27">
        <v>0.95860284605433377</v>
      </c>
      <c r="CR35" s="27">
        <v>0.99250936329588013</v>
      </c>
      <c r="CS35" s="27">
        <v>0.97139141742522761</v>
      </c>
      <c r="CT35" s="27">
        <v>0.98069498069498073</v>
      </c>
      <c r="CU35" s="27">
        <v>0.96574440052700927</v>
      </c>
      <c r="CV35" s="27">
        <v>0.99007444168734493</v>
      </c>
      <c r="CW35" s="27">
        <v>0.96954314720812185</v>
      </c>
      <c r="CX35" s="27">
        <v>0.97550865669898545</v>
      </c>
    </row>
    <row r="36" spans="2:102" x14ac:dyDescent="0.35">
      <c r="AL36" s="16" t="s">
        <v>218</v>
      </c>
      <c r="AM36" s="27">
        <v>0.86003110419906692</v>
      </c>
      <c r="AN36" s="27">
        <v>0.86307692307692307</v>
      </c>
      <c r="AO36" s="27">
        <v>0.88767550702028086</v>
      </c>
      <c r="AP36" s="27">
        <v>0.88291139240506333</v>
      </c>
      <c r="AQ36" s="27">
        <v>0.86024844720496896</v>
      </c>
      <c r="AR36" s="27">
        <v>0.88</v>
      </c>
      <c r="AS36" s="27">
        <v>0.87558320373250387</v>
      </c>
      <c r="AT36" s="27">
        <v>0.87278951109125813</v>
      </c>
      <c r="AU36" s="27">
        <v>0.86887835703001581</v>
      </c>
      <c r="AV36" s="27">
        <v>0.89045383411580592</v>
      </c>
      <c r="AW36" s="27">
        <v>0.86813186813186816</v>
      </c>
      <c r="AX36" s="27">
        <v>0.87284144427001575</v>
      </c>
      <c r="AY36" s="27">
        <v>0.86875000000000002</v>
      </c>
      <c r="AZ36" s="27">
        <v>0.87912087912087911</v>
      </c>
      <c r="BA36" s="27">
        <v>0.90031645569620256</v>
      </c>
      <c r="BB36" s="27">
        <v>0.87835611976639838</v>
      </c>
      <c r="BC36" s="27">
        <v>0.85225505443234839</v>
      </c>
      <c r="BD36" s="27">
        <v>0.89873417721518989</v>
      </c>
      <c r="BE36" s="27">
        <v>0.85179407176287047</v>
      </c>
      <c r="BF36" s="27">
        <v>0.85579937304075238</v>
      </c>
      <c r="BG36" s="27">
        <v>0.8809891808346213</v>
      </c>
      <c r="BH36" s="27">
        <v>0.86645962732919257</v>
      </c>
      <c r="BI36" s="27">
        <v>0.8657407407407407</v>
      </c>
      <c r="BJ36" s="27">
        <v>0.86739603219367378</v>
      </c>
      <c r="BK36" s="27">
        <v>0.83385579937304077</v>
      </c>
      <c r="BL36" s="27">
        <v>0.85339506172839508</v>
      </c>
      <c r="BM36" s="27">
        <v>0.84737678855325915</v>
      </c>
      <c r="BN36" s="27">
        <v>0.85116279069767442</v>
      </c>
      <c r="BO36" s="27">
        <v>0.87091757387247282</v>
      </c>
      <c r="BP36" s="27">
        <v>0.86180124223602483</v>
      </c>
      <c r="BQ36" s="27">
        <v>0.84365325077399378</v>
      </c>
      <c r="BR36" s="27">
        <v>0.8517375010335515</v>
      </c>
      <c r="BS36" s="27">
        <v>0.86277602523659302</v>
      </c>
      <c r="BT36" s="27">
        <v>0.85069984447900471</v>
      </c>
      <c r="BU36" s="27">
        <v>0.84772370486656201</v>
      </c>
      <c r="BV36" s="27">
        <v>0.87106918238993714</v>
      </c>
      <c r="BW36" s="27">
        <v>0.85079365079365077</v>
      </c>
      <c r="BX36" s="27">
        <v>0.81574803149606301</v>
      </c>
      <c r="BY36" s="27">
        <v>0.80193236714975846</v>
      </c>
      <c r="BZ36" s="27">
        <v>0.84296325805879546</v>
      </c>
      <c r="CA36" s="27">
        <v>0.85060975609756095</v>
      </c>
      <c r="CB36" s="27">
        <v>0.86111111111111116</v>
      </c>
      <c r="CC36" s="27">
        <v>0.83636363636363631</v>
      </c>
      <c r="CD36" s="27">
        <v>0.84066767830045519</v>
      </c>
      <c r="CE36" s="27">
        <v>0.83258594917787743</v>
      </c>
      <c r="CF36" s="27">
        <v>0.82800608828006084</v>
      </c>
      <c r="CG36" s="27">
        <v>0.82635658914728682</v>
      </c>
      <c r="CH36" s="27">
        <v>0.83938582978256981</v>
      </c>
      <c r="CI36" s="27">
        <v>0.85391566265060237</v>
      </c>
      <c r="CJ36" s="27">
        <v>0.83283582089552244</v>
      </c>
      <c r="CK36" s="27">
        <v>0.84464555052790347</v>
      </c>
      <c r="CL36" s="27">
        <v>0.86081694402420572</v>
      </c>
      <c r="CM36" s="27">
        <v>0.84090909090909094</v>
      </c>
      <c r="CN36" s="27">
        <v>0.83007518796992485</v>
      </c>
      <c r="CO36" s="27">
        <v>0.85303030303030303</v>
      </c>
      <c r="CP36" s="27">
        <v>0.84517550857250756</v>
      </c>
      <c r="CQ36" s="27">
        <v>0.85351270553064273</v>
      </c>
      <c r="CR36" s="27">
        <v>0.85052316890881918</v>
      </c>
      <c r="CS36" s="27">
        <v>0.82485029940119758</v>
      </c>
      <c r="CT36" s="27">
        <v>0.86676646706586824</v>
      </c>
      <c r="CU36" s="27">
        <v>0.8628912071535022</v>
      </c>
      <c r="CV36" s="27">
        <v>0.85735735735735741</v>
      </c>
      <c r="CW36" s="27">
        <v>0.87198795180722888</v>
      </c>
      <c r="CX36" s="27">
        <v>0.85541273674637375</v>
      </c>
    </row>
    <row r="37" spans="2:102" x14ac:dyDescent="0.35">
      <c r="AL37" s="16" t="s">
        <v>219</v>
      </c>
      <c r="AM37" s="27">
        <v>0.9034045922406968</v>
      </c>
      <c r="AN37" s="27">
        <v>0.92648221343873516</v>
      </c>
      <c r="AO37" s="27">
        <v>0.90110759493670889</v>
      </c>
      <c r="AP37" s="27">
        <v>0.91053048297703876</v>
      </c>
      <c r="AQ37" s="27">
        <v>0.91455696202531644</v>
      </c>
      <c r="AR37" s="27">
        <v>0.90342679127725856</v>
      </c>
      <c r="AS37" s="27">
        <v>0.90844514601420678</v>
      </c>
      <c r="AT37" s="27">
        <v>0.90970768327285167</v>
      </c>
      <c r="AU37" s="27">
        <v>0.91211401425178151</v>
      </c>
      <c r="AV37" s="27">
        <v>0.89890282131661448</v>
      </c>
      <c r="AW37" s="27">
        <v>0.90880253766851704</v>
      </c>
      <c r="AX37" s="27">
        <v>0.90679304897314372</v>
      </c>
      <c r="AY37" s="27">
        <v>0.9091627172195893</v>
      </c>
      <c r="AZ37" s="27">
        <v>0.89399844115354643</v>
      </c>
      <c r="BA37" s="27">
        <v>0.89350039154267813</v>
      </c>
      <c r="BB37" s="27">
        <v>0.90332485316083877</v>
      </c>
      <c r="BC37" s="27">
        <v>0.90360501567398122</v>
      </c>
      <c r="BD37" s="27">
        <v>0.89477786438035856</v>
      </c>
      <c r="BE37" s="27">
        <v>0.91732909379968208</v>
      </c>
      <c r="BF37" s="27">
        <v>0.9172633253778838</v>
      </c>
      <c r="BG37" s="27">
        <v>0.90408805031446537</v>
      </c>
      <c r="BH37" s="27">
        <v>0.89703588143525737</v>
      </c>
      <c r="BI37" s="27">
        <v>0.89827856025039121</v>
      </c>
      <c r="BJ37" s="27">
        <v>0.90462539874743142</v>
      </c>
      <c r="BK37" s="27">
        <v>0.93327974276527326</v>
      </c>
      <c r="BL37" s="27">
        <v>0.91791633780584059</v>
      </c>
      <c r="BM37" s="27">
        <v>0.92845528455284554</v>
      </c>
      <c r="BN37" s="27">
        <v>0.91856677524429964</v>
      </c>
      <c r="BO37" s="27">
        <v>0.92782678428227749</v>
      </c>
      <c r="BP37" s="27">
        <v>0.91785150078988942</v>
      </c>
      <c r="BQ37" s="27">
        <v>0.932475884244373</v>
      </c>
      <c r="BR37" s="27">
        <v>0.92519604424068558</v>
      </c>
      <c r="BS37" s="27">
        <v>0.91027732463295274</v>
      </c>
      <c r="BT37" s="27">
        <v>0.90559999999999996</v>
      </c>
      <c r="BU37" s="27">
        <v>0.90642799023596421</v>
      </c>
      <c r="BV37" s="27">
        <v>0.90081300813008125</v>
      </c>
      <c r="BW37" s="27">
        <v>0.91154791154791159</v>
      </c>
      <c r="BX37" s="27">
        <v>0.91887550200803214</v>
      </c>
      <c r="BY37" s="27">
        <v>0.87983870967741939</v>
      </c>
      <c r="BZ37" s="27">
        <v>0.90476863517605166</v>
      </c>
      <c r="CA37" s="27">
        <v>0.92651757188498407</v>
      </c>
      <c r="CB37" s="27">
        <v>0.88719999999999999</v>
      </c>
      <c r="CC37" s="27">
        <v>0.93161705551086083</v>
      </c>
      <c r="CD37" s="27">
        <v>0.92124105011933177</v>
      </c>
      <c r="CE37" s="27">
        <v>0.9269662921348315</v>
      </c>
      <c r="CF37" s="27">
        <v>0.8890662410215483</v>
      </c>
      <c r="CG37" s="27">
        <v>0.90901835594573022</v>
      </c>
      <c r="CH37" s="27">
        <v>0.91308950951675527</v>
      </c>
      <c r="CI37" s="27">
        <v>0.92040977147360126</v>
      </c>
      <c r="CJ37" s="27">
        <v>0.90823529411764703</v>
      </c>
      <c r="CK37" s="27">
        <v>0.93574297188755018</v>
      </c>
      <c r="CL37" s="27">
        <v>0.92492012779552712</v>
      </c>
      <c r="CM37" s="27">
        <v>0.90752351097178685</v>
      </c>
      <c r="CN37" s="27">
        <v>0.90332559938128387</v>
      </c>
      <c r="CO37" s="27">
        <v>0.90139751552795033</v>
      </c>
      <c r="CP37" s="27">
        <v>0.91450782730790681</v>
      </c>
      <c r="CQ37" s="27">
        <v>0.92817238627294496</v>
      </c>
      <c r="CR37" s="27">
        <v>0.90446358653093184</v>
      </c>
      <c r="CS37" s="27">
        <v>0.93780290791599352</v>
      </c>
      <c r="CT37" s="27">
        <v>0.9293739967897271</v>
      </c>
      <c r="CU37" s="27">
        <v>0.9323248407643312</v>
      </c>
      <c r="CV37" s="27">
        <v>0.92301587301587307</v>
      </c>
      <c r="CW37" s="27">
        <v>0.92651757188498407</v>
      </c>
      <c r="CX37" s="27">
        <v>0.92595302331068374</v>
      </c>
    </row>
    <row r="38" spans="2:102" x14ac:dyDescent="0.35">
      <c r="AL38" s="16" t="s">
        <v>220</v>
      </c>
      <c r="AM38" s="27">
        <v>0.9454926624737946</v>
      </c>
      <c r="AN38" s="27">
        <v>0.96781115879828328</v>
      </c>
      <c r="AO38" s="27">
        <v>0.92161016949152541</v>
      </c>
      <c r="AP38" s="27">
        <v>0.93644067796610164</v>
      </c>
      <c r="AQ38" s="27">
        <v>0.94882729211087424</v>
      </c>
      <c r="AR38" s="27">
        <v>0.97362637362637361</v>
      </c>
      <c r="AS38" s="27">
        <v>0.98689956331877726</v>
      </c>
      <c r="AT38" s="27">
        <v>0.95438684254081863</v>
      </c>
      <c r="AU38" s="27">
        <v>0.98030634573304154</v>
      </c>
      <c r="AV38" s="27">
        <v>0.97089397089397089</v>
      </c>
      <c r="AW38" s="27">
        <v>0.96280087527352298</v>
      </c>
      <c r="AX38" s="27">
        <v>0.98272138228941686</v>
      </c>
      <c r="AY38" s="27">
        <v>0.95597484276729561</v>
      </c>
      <c r="AZ38" s="27">
        <v>0.98336798336798337</v>
      </c>
      <c r="BA38" s="27">
        <v>0.97319587628865978</v>
      </c>
      <c r="BB38" s="27">
        <v>0.97275161094484164</v>
      </c>
      <c r="BC38" s="27">
        <v>0.93855932203389836</v>
      </c>
      <c r="BD38" s="27">
        <v>0.98279569892473118</v>
      </c>
      <c r="BE38" s="27">
        <v>0.93220338983050843</v>
      </c>
      <c r="BF38" s="27">
        <v>0.93220338983050843</v>
      </c>
      <c r="BG38" s="27">
        <v>0.96610169491525422</v>
      </c>
      <c r="BH38" s="27">
        <v>0.97204301075268817</v>
      </c>
      <c r="BI38" s="27">
        <v>0.98565573770491799</v>
      </c>
      <c r="BJ38" s="27">
        <v>0.95850889199892975</v>
      </c>
      <c r="BK38" s="27">
        <v>0.9830866807610994</v>
      </c>
      <c r="BL38" s="27">
        <v>0.95081967213114749</v>
      </c>
      <c r="BM38" s="27">
        <v>0.92389006342494717</v>
      </c>
      <c r="BN38" s="27">
        <v>0.93541666666666667</v>
      </c>
      <c r="BO38" s="27">
        <v>0.964509394572025</v>
      </c>
      <c r="BP38" s="27">
        <v>0.98121085594989566</v>
      </c>
      <c r="BQ38" s="27">
        <v>0.97314049586776863</v>
      </c>
      <c r="BR38" s="27">
        <v>0.95886768991050708</v>
      </c>
      <c r="BS38" s="27">
        <v>0.95512820512820518</v>
      </c>
      <c r="BT38" s="27">
        <v>0.97131147540983609</v>
      </c>
      <c r="BU38" s="27">
        <v>0.95723014256619143</v>
      </c>
      <c r="BV38" s="27">
        <v>0.97194388777555107</v>
      </c>
      <c r="BW38" s="27">
        <v>0.9204301075268817</v>
      </c>
      <c r="BX38" s="27">
        <v>0.94456289978678043</v>
      </c>
      <c r="BY38" s="27">
        <v>0.87715517241379315</v>
      </c>
      <c r="BZ38" s="27">
        <v>0.94253741294389137</v>
      </c>
      <c r="CA38" s="27">
        <v>0.92561983471074383</v>
      </c>
      <c r="CB38" s="27">
        <v>0.95991983967935868</v>
      </c>
      <c r="CC38" s="27">
        <v>0.92132505175983437</v>
      </c>
      <c r="CD38" s="27">
        <v>0.94421487603305787</v>
      </c>
      <c r="CE38" s="27">
        <v>0.92561983471074383</v>
      </c>
      <c r="CF38" s="27">
        <v>0.95926680244399187</v>
      </c>
      <c r="CG38" s="27">
        <v>0.92339544513457561</v>
      </c>
      <c r="CH38" s="27">
        <v>0.93705166921032934</v>
      </c>
      <c r="CI38" s="27">
        <v>0.96894409937888204</v>
      </c>
      <c r="CJ38" s="27">
        <v>0.97520661157024791</v>
      </c>
      <c r="CK38" s="27">
        <v>0.94650205761316875</v>
      </c>
      <c r="CL38" s="27">
        <v>0.96296296296296291</v>
      </c>
      <c r="CM38" s="27">
        <v>0.97530864197530864</v>
      </c>
      <c r="CN38" s="27">
        <v>0.97373737373737379</v>
      </c>
      <c r="CO38" s="27">
        <v>0.97971602434077076</v>
      </c>
      <c r="CP38" s="27">
        <v>0.96891111022553056</v>
      </c>
      <c r="CQ38" s="27">
        <v>0.93402061855670104</v>
      </c>
      <c r="CR38" s="27">
        <v>0.97357723577235777</v>
      </c>
      <c r="CS38" s="27">
        <v>0.95604395604395609</v>
      </c>
      <c r="CT38" s="27">
        <v>0.94736842105263153</v>
      </c>
      <c r="CU38" s="27">
        <v>0.9355509355509356</v>
      </c>
      <c r="CV38" s="27">
        <v>0.94032921810699588</v>
      </c>
      <c r="CW38" s="27">
        <v>0.91975308641975306</v>
      </c>
      <c r="CX38" s="27">
        <v>0.94380621021476163</v>
      </c>
    </row>
    <row r="39" spans="2:102" x14ac:dyDescent="0.35">
      <c r="AL39" s="16" t="s">
        <v>221</v>
      </c>
      <c r="AM39" s="27">
        <v>1</v>
      </c>
      <c r="AN39" s="27">
        <v>0.95750000000000002</v>
      </c>
      <c r="AO39" s="27">
        <v>1</v>
      </c>
      <c r="AP39" s="27">
        <v>0.98250000000000004</v>
      </c>
      <c r="AQ39" s="27">
        <v>0.99519230769230771</v>
      </c>
      <c r="AR39" s="27">
        <v>1</v>
      </c>
      <c r="AS39" s="27">
        <v>1</v>
      </c>
      <c r="AT39" s="27">
        <v>0.99074175824175825</v>
      </c>
      <c r="AU39" s="27">
        <v>1</v>
      </c>
      <c r="AV39" s="27">
        <v>0.97761194029850751</v>
      </c>
      <c r="AW39" s="27">
        <v>0.99029126213592233</v>
      </c>
      <c r="AX39" s="27">
        <v>0.99248120300751874</v>
      </c>
      <c r="AY39" s="27">
        <v>0.97073170731707314</v>
      </c>
      <c r="AZ39" s="27">
        <v>1</v>
      </c>
      <c r="BA39" s="27">
        <v>1</v>
      </c>
      <c r="BB39" s="27">
        <v>0.99015944467986028</v>
      </c>
      <c r="BC39" s="27">
        <v>0.99029126213592233</v>
      </c>
      <c r="BD39" s="27">
        <v>0.95297029702970293</v>
      </c>
      <c r="BE39" s="27">
        <v>0.99270072992700731</v>
      </c>
      <c r="BF39" s="27">
        <v>0.97804878048780486</v>
      </c>
      <c r="BG39" s="27">
        <v>1</v>
      </c>
      <c r="BH39" s="27">
        <v>0.96829268292682924</v>
      </c>
      <c r="BI39" s="27">
        <v>1</v>
      </c>
      <c r="BJ39" s="27">
        <v>0.98318625035818086</v>
      </c>
      <c r="BK39" s="27">
        <v>0.99509803921568629</v>
      </c>
      <c r="BL39" s="27">
        <v>0.97330097087378642</v>
      </c>
      <c r="BM39" s="27">
        <v>1</v>
      </c>
      <c r="BN39" s="27">
        <v>0.95979899497487442</v>
      </c>
      <c r="BO39" s="27">
        <v>0.98780487804878048</v>
      </c>
      <c r="BP39" s="27">
        <v>0.99271844660194175</v>
      </c>
      <c r="BQ39" s="27">
        <v>0.98786407766990292</v>
      </c>
      <c r="BR39" s="27">
        <v>0.98522648676928171</v>
      </c>
      <c r="BS39" s="27">
        <v>0.91271820448877805</v>
      </c>
      <c r="BT39" s="27">
        <v>0.97007481296758102</v>
      </c>
      <c r="BU39" s="27">
        <v>1</v>
      </c>
      <c r="BV39" s="27">
        <v>0.99749373433583954</v>
      </c>
      <c r="BW39" s="27">
        <v>0.91022443890274318</v>
      </c>
      <c r="BX39" s="27">
        <v>0.96601941747572817</v>
      </c>
      <c r="BY39" s="27">
        <v>0.99275362318840576</v>
      </c>
      <c r="BZ39" s="27">
        <v>0.96418346162272506</v>
      </c>
      <c r="CA39" s="27">
        <v>0.99520383693045567</v>
      </c>
      <c r="CB39" s="27">
        <v>0.98044009779951102</v>
      </c>
      <c r="CC39" s="27">
        <v>1</v>
      </c>
      <c r="CD39" s="27">
        <v>1</v>
      </c>
      <c r="CE39" s="27">
        <v>1</v>
      </c>
      <c r="CF39" s="27">
        <v>0.98783454987834551</v>
      </c>
      <c r="CG39" s="27">
        <v>1</v>
      </c>
      <c r="CH39" s="27">
        <v>0.99478264065833033</v>
      </c>
      <c r="CI39" s="27">
        <v>1</v>
      </c>
      <c r="CJ39" s="27">
        <v>1</v>
      </c>
      <c r="CK39" s="27">
        <v>1</v>
      </c>
      <c r="CL39" s="27">
        <v>0.96560196560196565</v>
      </c>
      <c r="CM39" s="27">
        <v>1</v>
      </c>
      <c r="CN39" s="27">
        <v>0.99045346062052508</v>
      </c>
      <c r="CO39" s="27">
        <v>1</v>
      </c>
      <c r="CP39" s="27">
        <v>0.99372220374607012</v>
      </c>
      <c r="CQ39" s="27">
        <v>1</v>
      </c>
      <c r="CR39" s="27">
        <v>0.96078431372549022</v>
      </c>
      <c r="CS39" s="27">
        <v>0.98267326732673266</v>
      </c>
      <c r="CT39" s="27">
        <v>0.97493734335839599</v>
      </c>
      <c r="CU39" s="27">
        <v>0.99273607748184023</v>
      </c>
      <c r="CV39" s="27">
        <v>1</v>
      </c>
      <c r="CW39" s="27">
        <v>1</v>
      </c>
      <c r="CX39" s="27">
        <v>0.98730442884177982</v>
      </c>
    </row>
    <row r="40" spans="2:102" x14ac:dyDescent="0.35">
      <c r="AL40" s="16" t="s">
        <v>222</v>
      </c>
      <c r="AM40" s="27">
        <v>0.93176470588235294</v>
      </c>
      <c r="AN40" s="27">
        <v>0.91772885283893391</v>
      </c>
      <c r="AO40" s="27">
        <v>0.92731535756154748</v>
      </c>
      <c r="AP40" s="27">
        <v>0.92298716452742124</v>
      </c>
      <c r="AQ40" s="27">
        <v>0.92757009345794394</v>
      </c>
      <c r="AR40" s="27">
        <v>0.93039443155452439</v>
      </c>
      <c r="AS40" s="27">
        <v>0.92433061699650754</v>
      </c>
      <c r="AT40" s="27">
        <v>0.92601303183131878</v>
      </c>
      <c r="AU40" s="27">
        <v>0.92660550458715596</v>
      </c>
      <c r="AV40" s="27">
        <v>0.92682926829268297</v>
      </c>
      <c r="AW40" s="27">
        <v>0.91238317757009346</v>
      </c>
      <c r="AX40" s="27">
        <v>0.89964994165694279</v>
      </c>
      <c r="AY40" s="27">
        <v>0.93685419058553387</v>
      </c>
      <c r="AZ40" s="27">
        <v>0.93815635939323216</v>
      </c>
      <c r="BA40" s="27">
        <v>0.93939393939393945</v>
      </c>
      <c r="BB40" s="27">
        <v>0.92569605449708292</v>
      </c>
      <c r="BC40" s="27">
        <v>0.90661938534278963</v>
      </c>
      <c r="BD40" s="27">
        <v>0.90011614401858309</v>
      </c>
      <c r="BE40" s="27">
        <v>0.90083632019115889</v>
      </c>
      <c r="BF40" s="27">
        <v>0.91381345926800472</v>
      </c>
      <c r="BG40" s="27">
        <v>0.90654205607476634</v>
      </c>
      <c r="BH40" s="27">
        <v>0.91531322505800461</v>
      </c>
      <c r="BI40" s="27">
        <v>0.92037470725995318</v>
      </c>
      <c r="BJ40" s="27">
        <v>0.9090878996018944</v>
      </c>
      <c r="BK40" s="27">
        <v>0.89248554913294798</v>
      </c>
      <c r="BL40" s="27">
        <v>0.89097303634232117</v>
      </c>
      <c r="BM40" s="27">
        <v>0.89248554913294798</v>
      </c>
      <c r="BN40" s="27">
        <v>0.88070175438596487</v>
      </c>
      <c r="BO40" s="27">
        <v>0.92281105990783407</v>
      </c>
      <c r="BP40" s="27">
        <v>0.92138728323699426</v>
      </c>
      <c r="BQ40" s="27">
        <v>0.91869918699186992</v>
      </c>
      <c r="BR40" s="27">
        <v>0.9027919170186971</v>
      </c>
      <c r="BS40" s="27">
        <v>0.85764294049008172</v>
      </c>
      <c r="BT40" s="27">
        <v>0.87383177570093462</v>
      </c>
      <c r="BU40" s="27">
        <v>0.8834498834498834</v>
      </c>
      <c r="BV40" s="27">
        <v>0.88927335640138405</v>
      </c>
      <c r="BW40" s="27">
        <v>0.82726204465334896</v>
      </c>
      <c r="BX40" s="27">
        <v>0.87074030552291426</v>
      </c>
      <c r="BY40" s="27">
        <v>0.81169590643274858</v>
      </c>
      <c r="BZ40" s="27">
        <v>0.85912803037875651</v>
      </c>
      <c r="CA40" s="27">
        <v>0.90898617511520741</v>
      </c>
      <c r="CB40" s="27">
        <v>0.89334862385321101</v>
      </c>
      <c r="CC40" s="27">
        <v>0.90635838150289016</v>
      </c>
      <c r="CD40" s="27">
        <v>0.90289017341040467</v>
      </c>
      <c r="CE40" s="27">
        <v>0.90344827586206899</v>
      </c>
      <c r="CF40" s="27">
        <v>0.90126291618828935</v>
      </c>
      <c r="CG40" s="27">
        <v>0.90092165898617516</v>
      </c>
      <c r="CH40" s="27">
        <v>0.90245945784546389</v>
      </c>
      <c r="CI40" s="27">
        <v>0.91958041958041958</v>
      </c>
      <c r="CJ40" s="27">
        <v>0.90993071593533492</v>
      </c>
      <c r="CK40" s="27">
        <v>0.90348837209302324</v>
      </c>
      <c r="CL40" s="27">
        <v>0.91100702576112413</v>
      </c>
      <c r="CM40" s="27">
        <v>0.9184149184149184</v>
      </c>
      <c r="CN40" s="27">
        <v>0.90668202764976957</v>
      </c>
      <c r="CO40" s="27">
        <v>0.90581395348837213</v>
      </c>
      <c r="CP40" s="27">
        <v>0.91070249041756601</v>
      </c>
      <c r="CQ40" s="27">
        <v>0.8898104265402843</v>
      </c>
      <c r="CR40" s="27">
        <v>0.89411764705882357</v>
      </c>
      <c r="CS40" s="27">
        <v>0.88325471698113212</v>
      </c>
      <c r="CT40" s="27">
        <v>0.84795321637426901</v>
      </c>
      <c r="CU40" s="27">
        <v>0.900709219858156</v>
      </c>
      <c r="CV40" s="27">
        <v>0.90543735224586286</v>
      </c>
      <c r="CW40" s="27">
        <v>0.89740566037735847</v>
      </c>
      <c r="CX40" s="27">
        <v>0.88838403420512668</v>
      </c>
    </row>
    <row r="41" spans="2:102" x14ac:dyDescent="0.35">
      <c r="AL41" s="16" t="s">
        <v>223</v>
      </c>
      <c r="AM41" s="27">
        <v>0.81954887218045114</v>
      </c>
      <c r="AN41" s="27">
        <v>0.72549019607843135</v>
      </c>
      <c r="AO41" s="27">
        <v>0.85080645161290325</v>
      </c>
      <c r="AP41" s="27">
        <v>0.7661290322580645</v>
      </c>
      <c r="AQ41" s="27">
        <v>0.79699248120300747</v>
      </c>
      <c r="AR41" s="27">
        <v>0.81132075471698117</v>
      </c>
      <c r="AS41" s="27">
        <v>0.77692307692307694</v>
      </c>
      <c r="AT41" s="27">
        <v>0.79245869499613086</v>
      </c>
      <c r="AU41" s="27">
        <v>0.78867924528301891</v>
      </c>
      <c r="AV41" s="27">
        <v>0.70542635658914732</v>
      </c>
      <c r="AW41" s="27">
        <v>0.81893004115226342</v>
      </c>
      <c r="AX41" s="27">
        <v>0.73493975903614461</v>
      </c>
      <c r="AY41" s="27">
        <v>0.77819548872180455</v>
      </c>
      <c r="AZ41" s="27">
        <v>0.80228136882129275</v>
      </c>
      <c r="BA41" s="27">
        <v>0.8075471698113208</v>
      </c>
      <c r="BB41" s="27">
        <v>0.77657134705928477</v>
      </c>
      <c r="BC41" s="27">
        <v>0.79069767441860461</v>
      </c>
      <c r="BD41" s="27">
        <v>0.68320610687022898</v>
      </c>
      <c r="BE41" s="27">
        <v>0.79831932773109249</v>
      </c>
      <c r="BF41" s="27">
        <v>0.77922077922077926</v>
      </c>
      <c r="BG41" s="27">
        <v>0.78294573643410847</v>
      </c>
      <c r="BH41" s="27">
        <v>0.85317460317460314</v>
      </c>
      <c r="BI41" s="27">
        <v>0.85770750988142297</v>
      </c>
      <c r="BJ41" s="27">
        <v>0.79218167681869134</v>
      </c>
      <c r="BK41" s="27">
        <v>0.81927710843373491</v>
      </c>
      <c r="BL41" s="27">
        <v>0.75918367346938775</v>
      </c>
      <c r="BM41" s="27">
        <v>0.85152838427947597</v>
      </c>
      <c r="BN41" s="27">
        <v>0.77215189873417722</v>
      </c>
      <c r="BO41" s="27">
        <v>0.84462151394422313</v>
      </c>
      <c r="BP41" s="27">
        <v>0.8401639344262295</v>
      </c>
      <c r="BQ41" s="27">
        <v>0.8605577689243028</v>
      </c>
      <c r="BR41" s="27">
        <v>0.82106918317307598</v>
      </c>
      <c r="BS41" s="27">
        <v>0.6470588235294118</v>
      </c>
      <c r="BT41" s="27">
        <v>0.72314049586776863</v>
      </c>
      <c r="BU41" s="27">
        <v>0.76146788990825687</v>
      </c>
      <c r="BV41" s="27">
        <v>0.70995670995671001</v>
      </c>
      <c r="BW41" s="27">
        <v>0.64830508474576276</v>
      </c>
      <c r="BX41" s="27">
        <v>0.73251028806584362</v>
      </c>
      <c r="BY41" s="27">
        <v>0.6470588235294118</v>
      </c>
      <c r="BZ41" s="27">
        <v>0.69564258794330935</v>
      </c>
      <c r="CA41" s="27">
        <v>0.72916666666666663</v>
      </c>
      <c r="CB41" s="27">
        <v>0.6958333333333333</v>
      </c>
      <c r="CC41" s="27">
        <v>0.7767857142857143</v>
      </c>
      <c r="CD41" s="27">
        <v>0.72608695652173916</v>
      </c>
      <c r="CE41" s="27">
        <v>0.69327731092436973</v>
      </c>
      <c r="CF41" s="27">
        <v>0.6958333333333333</v>
      </c>
      <c r="CG41" s="27">
        <v>0.67782426778242677</v>
      </c>
      <c r="CH41" s="27">
        <v>0.71354394040679758</v>
      </c>
      <c r="CI41" s="27">
        <v>0.79847908745247154</v>
      </c>
      <c r="CJ41" s="27">
        <v>0.71599999999999997</v>
      </c>
      <c r="CK41" s="27">
        <v>0.78925619834710747</v>
      </c>
      <c r="CL41" s="27">
        <v>0.76518218623481782</v>
      </c>
      <c r="CM41" s="27">
        <v>0.79622641509433967</v>
      </c>
      <c r="CN41" s="27">
        <v>0.79761904761904767</v>
      </c>
      <c r="CO41" s="27">
        <v>0.80228136882129275</v>
      </c>
      <c r="CP41" s="27">
        <v>0.78072061479558241</v>
      </c>
      <c r="CQ41" s="27">
        <v>0.87084870848708484</v>
      </c>
      <c r="CR41" s="27">
        <v>0.72480620155038755</v>
      </c>
      <c r="CS41" s="27">
        <v>0.83673469387755106</v>
      </c>
      <c r="CT41" s="27">
        <v>0.78800000000000003</v>
      </c>
      <c r="CU41" s="27">
        <v>0.8226415094339623</v>
      </c>
      <c r="CV41" s="27">
        <v>0.7961538461538461</v>
      </c>
      <c r="CW41" s="27">
        <v>0.78244274809160308</v>
      </c>
      <c r="CX41" s="27">
        <v>0.80308967251349073</v>
      </c>
    </row>
    <row r="42" spans="2:102" x14ac:dyDescent="0.35">
      <c r="AL42" s="16" t="s">
        <v>224</v>
      </c>
      <c r="AM42" s="27">
        <v>0.97098976109215018</v>
      </c>
      <c r="AN42" s="27">
        <v>0.97038327526132406</v>
      </c>
      <c r="AO42" s="27">
        <v>0.97731239092495636</v>
      </c>
      <c r="AP42" s="27">
        <v>0.97731239092495636</v>
      </c>
      <c r="AQ42" s="27">
        <v>0.96735395189003437</v>
      </c>
      <c r="AR42" s="27">
        <v>0.97792869269949068</v>
      </c>
      <c r="AS42" s="27">
        <v>0.96712802768166095</v>
      </c>
      <c r="AT42" s="27">
        <v>0.97262978435351044</v>
      </c>
      <c r="AU42" s="27">
        <v>0.97614991482112434</v>
      </c>
      <c r="AV42" s="27">
        <v>0.95578231292517002</v>
      </c>
      <c r="AW42" s="27">
        <v>0.97128378378378377</v>
      </c>
      <c r="AX42" s="27">
        <v>0.97128378378378377</v>
      </c>
      <c r="AY42" s="27">
        <v>0.97292724196277491</v>
      </c>
      <c r="AZ42" s="27">
        <v>0.97283531409168078</v>
      </c>
      <c r="BA42" s="27">
        <v>0.96979865771812079</v>
      </c>
      <c r="BB42" s="27">
        <v>0.9700087155837771</v>
      </c>
      <c r="BC42" s="27">
        <v>0.96539792387543255</v>
      </c>
      <c r="BD42" s="27">
        <v>0.97512437810945274</v>
      </c>
      <c r="BE42" s="27">
        <v>0.97089041095890416</v>
      </c>
      <c r="BF42" s="27">
        <v>0.96140939597315433</v>
      </c>
      <c r="BG42" s="27">
        <v>0.97236614853195169</v>
      </c>
      <c r="BH42" s="27">
        <v>0.97844112769485903</v>
      </c>
      <c r="BI42" s="27">
        <v>0.97938144329896903</v>
      </c>
      <c r="BJ42" s="27">
        <v>0.97185868977753198</v>
      </c>
      <c r="BK42" s="27">
        <v>0.96678321678321677</v>
      </c>
      <c r="BL42" s="27">
        <v>0.96140939597315433</v>
      </c>
      <c r="BM42" s="27">
        <v>0.9652173913043478</v>
      </c>
      <c r="BN42" s="27">
        <v>0.9652173913043478</v>
      </c>
      <c r="BO42" s="27">
        <v>0.97920277296360481</v>
      </c>
      <c r="BP42" s="27">
        <v>0.96252129471890968</v>
      </c>
      <c r="BQ42" s="27">
        <v>0.98109965635738827</v>
      </c>
      <c r="BR42" s="27">
        <v>0.96877873134356718</v>
      </c>
      <c r="BS42" s="27">
        <v>0.92831541218637992</v>
      </c>
      <c r="BT42" s="27">
        <v>0.96213425129087782</v>
      </c>
      <c r="BU42" s="27">
        <v>0.96678321678321677</v>
      </c>
      <c r="BV42" s="27">
        <v>0.96678321678321677</v>
      </c>
      <c r="BW42" s="27">
        <v>0.88095238095238093</v>
      </c>
      <c r="BX42" s="27">
        <v>0.94699646643109536</v>
      </c>
      <c r="BY42" s="27">
        <v>0.88095238095238093</v>
      </c>
      <c r="BZ42" s="27">
        <v>0.93327390362564977</v>
      </c>
      <c r="CA42" s="27">
        <v>0.97118644067796611</v>
      </c>
      <c r="CB42" s="27">
        <v>0.96917808219178081</v>
      </c>
      <c r="CC42" s="27">
        <v>0.93548387096774188</v>
      </c>
      <c r="CD42" s="27">
        <v>0.93559322033898307</v>
      </c>
      <c r="CE42" s="27">
        <v>0.96391752577319589</v>
      </c>
      <c r="CF42" s="27">
        <v>0.98135593220338979</v>
      </c>
      <c r="CG42" s="27">
        <v>0.96391752577319589</v>
      </c>
      <c r="CH42" s="27">
        <v>0.96009037113232198</v>
      </c>
      <c r="CI42" s="27">
        <v>0.9573378839590444</v>
      </c>
      <c r="CJ42" s="27">
        <v>0.96699669966996704</v>
      </c>
      <c r="CK42" s="27">
        <v>0.961335676625659</v>
      </c>
      <c r="CL42" s="27">
        <v>0.96140350877192982</v>
      </c>
      <c r="CM42" s="27">
        <v>0.97039473684210531</v>
      </c>
      <c r="CN42" s="27">
        <v>0.97865353037766833</v>
      </c>
      <c r="CO42" s="27">
        <v>0.97487437185929648</v>
      </c>
      <c r="CP42" s="27">
        <v>0.96728520115795291</v>
      </c>
      <c r="CQ42" s="27">
        <v>0.94836488812392428</v>
      </c>
      <c r="CR42" s="27">
        <v>0.95876288659793818</v>
      </c>
      <c r="CS42" s="27">
        <v>0.96901893287435459</v>
      </c>
      <c r="CT42" s="27">
        <v>0.96901893287435459</v>
      </c>
      <c r="CU42" s="27">
        <v>0.96434634974533107</v>
      </c>
      <c r="CV42" s="27">
        <v>0.97301854974704893</v>
      </c>
      <c r="CW42" s="27">
        <v>0.96464646464646464</v>
      </c>
      <c r="CX42" s="27">
        <v>0.96388242922991663</v>
      </c>
    </row>
    <row r="43" spans="2:102" x14ac:dyDescent="0.35">
      <c r="AL43" s="16" t="s">
        <v>225</v>
      </c>
      <c r="AM43" s="27">
        <v>0.9540607054963085</v>
      </c>
      <c r="AN43" s="27">
        <v>0.86699507389162567</v>
      </c>
      <c r="AO43" s="27">
        <v>0.91749174917491749</v>
      </c>
      <c r="AP43" s="27">
        <v>0.90099009900990101</v>
      </c>
      <c r="AQ43" s="27">
        <v>0.93202293202293207</v>
      </c>
      <c r="AR43" s="27">
        <v>0.91529605263157898</v>
      </c>
      <c r="AS43" s="27">
        <v>0.92370795734208366</v>
      </c>
      <c r="AT43" s="27">
        <v>0.91579493850990679</v>
      </c>
      <c r="AU43" s="27">
        <v>0.92956592956592954</v>
      </c>
      <c r="AV43" s="27">
        <v>0.92409240924092406</v>
      </c>
      <c r="AW43" s="27">
        <v>0.88448844884488453</v>
      </c>
      <c r="AX43" s="27">
        <v>0.88036303630363033</v>
      </c>
      <c r="AY43" s="27">
        <v>0.93426458504519305</v>
      </c>
      <c r="AZ43" s="27">
        <v>0.92775041050903118</v>
      </c>
      <c r="BA43" s="27">
        <v>0.92780968006562758</v>
      </c>
      <c r="BB43" s="27">
        <v>0.91547635708217423</v>
      </c>
      <c r="BC43" s="27">
        <v>0.93657331136738053</v>
      </c>
      <c r="BD43" s="27">
        <v>0.90648072190319939</v>
      </c>
      <c r="BE43" s="27">
        <v>0.92881072026800671</v>
      </c>
      <c r="BF43" s="27">
        <v>0.91243862520458263</v>
      </c>
      <c r="BG43" s="27">
        <v>0.94107883817427385</v>
      </c>
      <c r="BH43" s="27">
        <v>0.93185550082101809</v>
      </c>
      <c r="BI43" s="27">
        <v>0.9296235679214403</v>
      </c>
      <c r="BJ43" s="27">
        <v>0.92669446937998601</v>
      </c>
      <c r="BK43" s="27">
        <v>0.92263374485596705</v>
      </c>
      <c r="BL43" s="27">
        <v>0.91522633744855963</v>
      </c>
      <c r="BM43" s="27">
        <v>0.86232481450948062</v>
      </c>
      <c r="BN43" s="27">
        <v>0.83250825082508251</v>
      </c>
      <c r="BO43" s="27">
        <v>0.93981863149216816</v>
      </c>
      <c r="BP43" s="27">
        <v>0.94776119402985071</v>
      </c>
      <c r="BQ43" s="27">
        <v>0.94749794913863827</v>
      </c>
      <c r="BR43" s="27">
        <v>0.9096815603285352</v>
      </c>
      <c r="BS43" s="27">
        <v>0.75477971737323357</v>
      </c>
      <c r="BT43" s="27">
        <v>0.85561056105610556</v>
      </c>
      <c r="BU43" s="27">
        <v>0.78728813559322031</v>
      </c>
      <c r="BV43" s="27">
        <v>0.78813559322033899</v>
      </c>
      <c r="BW43" s="27">
        <v>0.72069825436408974</v>
      </c>
      <c r="BX43" s="27">
        <v>0.84398340248962656</v>
      </c>
      <c r="BY43" s="27">
        <v>0.7248545303408146</v>
      </c>
      <c r="BZ43" s="27">
        <v>0.78219288491963279</v>
      </c>
      <c r="CA43" s="27">
        <v>0.89264581572273882</v>
      </c>
      <c r="CB43" s="27">
        <v>0.83644067796610166</v>
      </c>
      <c r="CC43" s="27">
        <v>0.8423645320197044</v>
      </c>
      <c r="CD43" s="27">
        <v>0.82343234323432346</v>
      </c>
      <c r="CE43" s="27">
        <v>0.8549488054607508</v>
      </c>
      <c r="CF43" s="27">
        <v>0.85084745762711866</v>
      </c>
      <c r="CG43" s="27">
        <v>0.81949152542372883</v>
      </c>
      <c r="CH43" s="27">
        <v>0.84573873677920963</v>
      </c>
      <c r="CI43" s="27">
        <v>0.89529220779220775</v>
      </c>
      <c r="CJ43" s="27">
        <v>0.85761316872427984</v>
      </c>
      <c r="CK43" s="27">
        <v>0.8849918433931484</v>
      </c>
      <c r="CL43" s="27">
        <v>0.85411572942135294</v>
      </c>
      <c r="CM43" s="27">
        <v>0.902676399026764</v>
      </c>
      <c r="CN43" s="27">
        <v>0.87896019496344435</v>
      </c>
      <c r="CO43" s="27">
        <v>0.88220958570268071</v>
      </c>
      <c r="CP43" s="27">
        <v>0.87940844700341114</v>
      </c>
      <c r="CQ43" s="27">
        <v>0.93668831168831168</v>
      </c>
      <c r="CR43" s="27">
        <v>0.87733549959382617</v>
      </c>
      <c r="CS43" s="27">
        <v>0.89830508474576276</v>
      </c>
      <c r="CT43" s="27">
        <v>0.88003220611916266</v>
      </c>
      <c r="CU43" s="27">
        <v>0.91788617886178858</v>
      </c>
      <c r="CV43" s="27">
        <v>0.93683347005742412</v>
      </c>
      <c r="CW43" s="27">
        <v>0.95191524042379783</v>
      </c>
      <c r="CX43" s="27">
        <v>0.91414228449858204</v>
      </c>
    </row>
    <row r="44" spans="2:102" x14ac:dyDescent="0.35">
      <c r="AL44" s="16" t="s">
        <v>226</v>
      </c>
      <c r="AM44" s="27">
        <v>0.9527744982290437</v>
      </c>
      <c r="AN44" s="27">
        <v>0.96441281138790036</v>
      </c>
      <c r="AO44" s="27">
        <v>0.92089728453364816</v>
      </c>
      <c r="AP44" s="27">
        <v>0.89399293286219084</v>
      </c>
      <c r="AQ44" s="27">
        <v>0.96239717978848416</v>
      </c>
      <c r="AR44" s="27">
        <v>0.95636792452830188</v>
      </c>
      <c r="AS44" s="27">
        <v>0.96226415094339623</v>
      </c>
      <c r="AT44" s="27">
        <v>0.94472954032470935</v>
      </c>
      <c r="AU44" s="27">
        <v>0.95299647473560523</v>
      </c>
      <c r="AV44" s="27">
        <v>0.95153664302600471</v>
      </c>
      <c r="AW44" s="27">
        <v>0.92740046838407497</v>
      </c>
      <c r="AX44" s="27">
        <v>0.91142191142191142</v>
      </c>
      <c r="AY44" s="27">
        <v>0.92949471210340773</v>
      </c>
      <c r="AZ44" s="27">
        <v>0.91637220259128382</v>
      </c>
      <c r="BA44" s="27">
        <v>0.9527744982290437</v>
      </c>
      <c r="BB44" s="27">
        <v>0.93457098721304732</v>
      </c>
      <c r="BC44" s="27">
        <v>0.9555555555555556</v>
      </c>
      <c r="BD44" s="27">
        <v>0.95571095571095566</v>
      </c>
      <c r="BE44" s="27">
        <v>0.8917647058823529</v>
      </c>
      <c r="BF44" s="27">
        <v>0.88551401869158874</v>
      </c>
      <c r="BG44" s="27">
        <v>0.96491228070175439</v>
      </c>
      <c r="BH44" s="27">
        <v>0.9533799533799534</v>
      </c>
      <c r="BI44" s="27">
        <v>0.9518779342723005</v>
      </c>
      <c r="BJ44" s="27">
        <v>0.93695934345635157</v>
      </c>
      <c r="BK44" s="27">
        <v>0.89800703399765536</v>
      </c>
      <c r="BL44" s="27">
        <v>0.93939393939393945</v>
      </c>
      <c r="BM44" s="27">
        <v>0.87602339181286548</v>
      </c>
      <c r="BN44" s="27">
        <v>0.83411214953271029</v>
      </c>
      <c r="BO44" s="27">
        <v>0.90812720848056538</v>
      </c>
      <c r="BP44" s="27">
        <v>0.94082840236686394</v>
      </c>
      <c r="BQ44" s="27">
        <v>0.91431924882629112</v>
      </c>
      <c r="BR44" s="27">
        <v>0.90154448205869875</v>
      </c>
      <c r="BS44" s="27">
        <v>0.84136310223266741</v>
      </c>
      <c r="BT44" s="27">
        <v>0.86448598130841126</v>
      </c>
      <c r="BU44" s="27">
        <v>0.88524590163934425</v>
      </c>
      <c r="BV44" s="27">
        <v>0.8883666274970623</v>
      </c>
      <c r="BW44" s="27">
        <v>0.76823529411764702</v>
      </c>
      <c r="BX44" s="27">
        <v>0.85614035087719298</v>
      </c>
      <c r="BY44" s="27">
        <v>0.75878220140515218</v>
      </c>
      <c r="BZ44" s="27">
        <v>0.83751706558249683</v>
      </c>
      <c r="CA44" s="27">
        <v>0.94152046783625731</v>
      </c>
      <c r="CB44" s="27">
        <v>0.926056338028169</v>
      </c>
      <c r="CC44" s="27">
        <v>0.9240654205607477</v>
      </c>
      <c r="CD44" s="27">
        <v>0.92307692307692313</v>
      </c>
      <c r="CE44" s="27">
        <v>0.93325526932084313</v>
      </c>
      <c r="CF44" s="27">
        <v>0.93793911007025765</v>
      </c>
      <c r="CG44" s="27">
        <v>0.90117647058823525</v>
      </c>
      <c r="CH44" s="27">
        <v>0.92672714278306201</v>
      </c>
      <c r="CI44" s="27">
        <v>0.89461626575028641</v>
      </c>
      <c r="CJ44" s="27">
        <v>0.96153846153846156</v>
      </c>
      <c r="CK44" s="27">
        <v>0.86254295532646053</v>
      </c>
      <c r="CL44" s="27">
        <v>0.85779816513761464</v>
      </c>
      <c r="CM44" s="27">
        <v>0.91618160651920844</v>
      </c>
      <c r="CN44" s="27">
        <v>0.93837209302325586</v>
      </c>
      <c r="CO44" s="27">
        <v>0.94308943089430897</v>
      </c>
      <c r="CP44" s="27">
        <v>0.91059128259851385</v>
      </c>
      <c r="CQ44" s="27">
        <v>0.92562929061784893</v>
      </c>
      <c r="CR44" s="27">
        <v>0.89220183486238536</v>
      </c>
      <c r="CS44" s="27">
        <v>0.92078071182548793</v>
      </c>
      <c r="CT44" s="27">
        <v>0.90804597701149425</v>
      </c>
      <c r="CU44" s="27">
        <v>0.92652123995407576</v>
      </c>
      <c r="CV44" s="27">
        <v>0.92881745120551096</v>
      </c>
      <c r="CW44" s="27">
        <v>0.94380733944954132</v>
      </c>
      <c r="CX44" s="27">
        <v>0.92082912070376355</v>
      </c>
    </row>
    <row r="45" spans="2:102" x14ac:dyDescent="0.35">
      <c r="AL45" s="16" t="s">
        <v>227</v>
      </c>
      <c r="AM45" s="27">
        <v>0.84210526315789469</v>
      </c>
      <c r="AN45" s="27">
        <v>0.79943502824858759</v>
      </c>
      <c r="AO45" s="27">
        <v>0.8434504792332268</v>
      </c>
      <c r="AP45" s="27">
        <v>0.84012539184952983</v>
      </c>
      <c r="AQ45" s="27">
        <v>0.8369905956112853</v>
      </c>
      <c r="AR45" s="27">
        <v>0.87616099071207432</v>
      </c>
      <c r="AS45" s="27">
        <v>0.88311688311688308</v>
      </c>
      <c r="AT45" s="27">
        <v>0.8459120902756404</v>
      </c>
      <c r="AU45" s="27">
        <v>0.78309859154929573</v>
      </c>
      <c r="AV45" s="27">
        <v>0.82874617737003053</v>
      </c>
      <c r="AW45" s="27">
        <v>0.83918128654970758</v>
      </c>
      <c r="AX45" s="27">
        <v>0.80229226361031514</v>
      </c>
      <c r="AY45" s="27">
        <v>0.8368580060422961</v>
      </c>
      <c r="AZ45" s="27">
        <v>0.83132530120481929</v>
      </c>
      <c r="BA45" s="27">
        <v>0.86687306501547989</v>
      </c>
      <c r="BB45" s="27">
        <v>0.82691067019170628</v>
      </c>
      <c r="BC45" s="27">
        <v>0.78235294117647058</v>
      </c>
      <c r="BD45" s="27">
        <v>0.83142857142857141</v>
      </c>
      <c r="BE45" s="27">
        <v>0.79591836734693877</v>
      </c>
      <c r="BF45" s="27">
        <v>0.7614942528735632</v>
      </c>
      <c r="BG45" s="27">
        <v>0.82420749279538907</v>
      </c>
      <c r="BH45" s="27">
        <v>0.85672514619883045</v>
      </c>
      <c r="BI45" s="27">
        <v>0.82890855457227142</v>
      </c>
      <c r="BJ45" s="27">
        <v>0.81157647519886211</v>
      </c>
      <c r="BK45" s="27">
        <v>0.79705882352941182</v>
      </c>
      <c r="BL45" s="27">
        <v>0.77620396600566577</v>
      </c>
      <c r="BM45" s="27">
        <v>0.80701754385964908</v>
      </c>
      <c r="BN45" s="27">
        <v>0.77581120943952797</v>
      </c>
      <c r="BO45" s="27">
        <v>0.81656804733727806</v>
      </c>
      <c r="BP45" s="27">
        <v>0.81159420289855078</v>
      </c>
      <c r="BQ45" s="27">
        <v>0.79360465116279066</v>
      </c>
      <c r="BR45" s="27">
        <v>0.79683692060469624</v>
      </c>
      <c r="BS45" s="27">
        <v>0.76162790697674421</v>
      </c>
      <c r="BT45" s="27">
        <v>0.78761061946902655</v>
      </c>
      <c r="BU45" s="27">
        <v>0.79656160458452718</v>
      </c>
      <c r="BV45" s="27">
        <v>0.7822349570200573</v>
      </c>
      <c r="BW45" s="27">
        <v>0.74774774774774777</v>
      </c>
      <c r="BX45" s="27">
        <v>0.76436781609195403</v>
      </c>
      <c r="BY45" s="27">
        <v>0.73873873873873874</v>
      </c>
      <c r="BZ45" s="27">
        <v>0.768412770089828</v>
      </c>
      <c r="CA45" s="27">
        <v>0.81693989071038253</v>
      </c>
      <c r="CB45" s="27">
        <v>0.80397727272727271</v>
      </c>
      <c r="CC45" s="27">
        <v>0.83149171270718236</v>
      </c>
      <c r="CD45" s="27">
        <v>0.79624664879356566</v>
      </c>
      <c r="CE45" s="27">
        <v>0.82507288629737607</v>
      </c>
      <c r="CF45" s="27">
        <v>0.80386740331491713</v>
      </c>
      <c r="CG45" s="27">
        <v>0.79436619718309864</v>
      </c>
      <c r="CH45" s="27">
        <v>0.81028028739054203</v>
      </c>
      <c r="CI45" s="27">
        <v>0.7837078651685393</v>
      </c>
      <c r="CJ45" s="27">
        <v>0.8328840970350404</v>
      </c>
      <c r="CK45" s="27">
        <v>0.85352112676056335</v>
      </c>
      <c r="CL45" s="27">
        <v>0.83190883190883191</v>
      </c>
      <c r="CM45" s="27">
        <v>0.87826086956521743</v>
      </c>
      <c r="CN45" s="27">
        <v>0.87709497206703912</v>
      </c>
      <c r="CO45" s="27">
        <v>0.88825214899713467</v>
      </c>
      <c r="CP45" s="27">
        <v>0.8493757016431952</v>
      </c>
      <c r="CQ45" s="27">
        <v>0.86324786324786329</v>
      </c>
      <c r="CR45" s="27">
        <v>0.88011695906432752</v>
      </c>
      <c r="CS45" s="27">
        <v>0.8607242339832869</v>
      </c>
      <c r="CT45" s="27">
        <v>0.84593837535014005</v>
      </c>
      <c r="CU45" s="27">
        <v>0.85470085470085466</v>
      </c>
      <c r="CV45" s="27">
        <v>0.8808139534883721</v>
      </c>
      <c r="CW45" s="27">
        <v>0.86005830903790093</v>
      </c>
      <c r="CX45" s="27">
        <v>0.86365722126753508</v>
      </c>
    </row>
    <row r="46" spans="2:102" x14ac:dyDescent="0.35">
      <c r="AL46" s="16" t="s">
        <v>228</v>
      </c>
      <c r="AM46" s="27">
        <v>0.93454545454545457</v>
      </c>
      <c r="AN46" s="27">
        <v>0.94117647058823528</v>
      </c>
      <c r="AO46" s="27">
        <v>0.88764044943820219</v>
      </c>
      <c r="AP46" s="27">
        <v>0.94423791821561343</v>
      </c>
      <c r="AQ46" s="27">
        <v>0.93040293040293043</v>
      </c>
      <c r="AR46" s="27">
        <v>0.94680851063829785</v>
      </c>
      <c r="AS46" s="27">
        <v>0.97047970479704793</v>
      </c>
      <c r="AT46" s="27">
        <v>0.93647020551796878</v>
      </c>
      <c r="AU46" s="27">
        <v>0.93594306049822062</v>
      </c>
      <c r="AV46" s="27">
        <v>0.95070422535211263</v>
      </c>
      <c r="AW46" s="27">
        <v>0.94485294117647056</v>
      </c>
      <c r="AX46" s="27">
        <v>0.93357933579335795</v>
      </c>
      <c r="AY46" s="27">
        <v>0.93971631205673756</v>
      </c>
      <c r="AZ46" s="27">
        <v>0.96842105263157896</v>
      </c>
      <c r="BA46" s="27">
        <v>0.93262411347517726</v>
      </c>
      <c r="BB46" s="27">
        <v>0.94369157728337938</v>
      </c>
      <c r="BC46" s="27">
        <v>0.96853146853146854</v>
      </c>
      <c r="BD46" s="27">
        <v>0.95667870036101088</v>
      </c>
      <c r="BE46" s="27">
        <v>0.94346289752650181</v>
      </c>
      <c r="BF46" s="27">
        <v>0.98233215547703179</v>
      </c>
      <c r="BG46" s="27">
        <v>0.95035460992907805</v>
      </c>
      <c r="BH46" s="27">
        <v>0.98586572438162545</v>
      </c>
      <c r="BI46" s="27">
        <v>0.95053003533568903</v>
      </c>
      <c r="BJ46" s="27">
        <v>0.96253651307748644</v>
      </c>
      <c r="BK46" s="27">
        <v>0.96491228070175439</v>
      </c>
      <c r="BL46" s="27">
        <v>0.97222222222222221</v>
      </c>
      <c r="BM46" s="27">
        <v>0.96466431095406358</v>
      </c>
      <c r="BN46" s="27">
        <v>0.89399293286219084</v>
      </c>
      <c r="BO46" s="27">
        <v>0.94964028776978415</v>
      </c>
      <c r="BP46" s="27">
        <v>0.96808510638297873</v>
      </c>
      <c r="BQ46" s="27">
        <v>0.96466431095406358</v>
      </c>
      <c r="BR46" s="27">
        <v>0.95402592169243683</v>
      </c>
      <c r="BS46" s="27">
        <v>0.9137254901960784</v>
      </c>
      <c r="BT46" s="27">
        <v>0.92086330935251803</v>
      </c>
      <c r="BU46" s="27">
        <v>0.88931297709923662</v>
      </c>
      <c r="BV46" s="27">
        <v>0.93308550185873607</v>
      </c>
      <c r="BW46" s="27">
        <v>0.87450980392156863</v>
      </c>
      <c r="BX46" s="27">
        <v>0.83453237410071945</v>
      </c>
      <c r="BY46" s="27">
        <v>0.76470588235294112</v>
      </c>
      <c r="BZ46" s="27">
        <v>0.87581933412597124</v>
      </c>
      <c r="CA46" s="27">
        <v>0.96085409252669041</v>
      </c>
      <c r="CB46" s="27">
        <v>0.94871794871794868</v>
      </c>
      <c r="CC46" s="27">
        <v>0.94326241134751776</v>
      </c>
      <c r="CD46" s="27">
        <v>0.92553191489361697</v>
      </c>
      <c r="CE46" s="27">
        <v>0.94716981132075473</v>
      </c>
      <c r="CF46" s="27">
        <v>0.95112781954887216</v>
      </c>
      <c r="CG46" s="27">
        <v>0.94339622641509435</v>
      </c>
      <c r="CH46" s="27">
        <v>0.94572288925292802</v>
      </c>
      <c r="CI46" s="27">
        <v>0.94982078853046592</v>
      </c>
      <c r="CJ46" s="27">
        <v>0.9375</v>
      </c>
      <c r="CK46" s="27">
        <v>0.90681003584229392</v>
      </c>
      <c r="CL46" s="27">
        <v>0.85239852398523985</v>
      </c>
      <c r="CM46" s="27">
        <v>0.93639575971731448</v>
      </c>
      <c r="CN46" s="27">
        <v>0.97491039426523296</v>
      </c>
      <c r="CO46" s="27">
        <v>0.98928571428571432</v>
      </c>
      <c r="CP46" s="27">
        <v>0.93530303094660883</v>
      </c>
      <c r="CQ46" s="27">
        <v>0.91666666666666663</v>
      </c>
      <c r="CR46" s="27">
        <v>0.88475836431226762</v>
      </c>
      <c r="CS46" s="27">
        <v>0.90334572490706322</v>
      </c>
      <c r="CT46" s="27">
        <v>0.94095940959409596</v>
      </c>
      <c r="CU46" s="27">
        <v>0.94202898550724634</v>
      </c>
      <c r="CV46" s="27">
        <v>0.88256227758007122</v>
      </c>
      <c r="CW46" s="27">
        <v>0.95</v>
      </c>
      <c r="CX46" s="27">
        <v>0.91718877550963018</v>
      </c>
    </row>
    <row r="47" spans="2:102" x14ac:dyDescent="0.35">
      <c r="AL47" s="16" t="s">
        <v>229</v>
      </c>
      <c r="AM47" s="27">
        <v>0.95200698080279234</v>
      </c>
      <c r="AN47" s="27">
        <v>0.88438308886971528</v>
      </c>
      <c r="AO47" s="27">
        <v>0.92239072256913468</v>
      </c>
      <c r="AP47" s="27">
        <v>0.89920424403183019</v>
      </c>
      <c r="AQ47" s="27">
        <v>0.95238095238095233</v>
      </c>
      <c r="AR47" s="27">
        <v>0.923407917383821</v>
      </c>
      <c r="AS47" s="27">
        <v>0.9456427955133736</v>
      </c>
      <c r="AT47" s="27">
        <v>0.92563095736451717</v>
      </c>
      <c r="AU47" s="27">
        <v>0.94736842105263153</v>
      </c>
      <c r="AV47" s="27">
        <v>0.91304347826086951</v>
      </c>
      <c r="AW47" s="27">
        <v>0.95233812949640284</v>
      </c>
      <c r="AX47" s="27">
        <v>0.92766726943942135</v>
      </c>
      <c r="AY47" s="27">
        <v>0.9645328719723183</v>
      </c>
      <c r="AZ47" s="27">
        <v>0.92454466608846486</v>
      </c>
      <c r="BA47" s="27">
        <v>0.96360485268630847</v>
      </c>
      <c r="BB47" s="27">
        <v>0.94187138414234539</v>
      </c>
      <c r="BC47" s="27">
        <v>0.93585237258347975</v>
      </c>
      <c r="BD47" s="27">
        <v>0.92711111111111111</v>
      </c>
      <c r="BE47" s="27">
        <v>0.92632524707996411</v>
      </c>
      <c r="BF47" s="27">
        <v>0.89845874886672705</v>
      </c>
      <c r="BG47" s="27">
        <v>0.96056091148115685</v>
      </c>
      <c r="BH47" s="27">
        <v>0.93992932862190814</v>
      </c>
      <c r="BI47" s="27">
        <v>0.93987621573828473</v>
      </c>
      <c r="BJ47" s="27">
        <v>0.93258770506894739</v>
      </c>
      <c r="BK47" s="27">
        <v>0.95141342756183744</v>
      </c>
      <c r="BL47" s="27">
        <v>0.92273534635879217</v>
      </c>
      <c r="BM47" s="27">
        <v>0.93942133815551532</v>
      </c>
      <c r="BN47" s="27">
        <v>0.88203753351206438</v>
      </c>
      <c r="BO47" s="27">
        <v>0.95629370629370625</v>
      </c>
      <c r="BP47" s="27">
        <v>0.91520979020979021</v>
      </c>
      <c r="BQ47" s="27">
        <v>0.93870402802101571</v>
      </c>
      <c r="BR47" s="27">
        <v>0.92940216715896007</v>
      </c>
      <c r="BS47" s="27">
        <v>0.86278026905829597</v>
      </c>
      <c r="BT47" s="27">
        <v>0.90597539543057992</v>
      </c>
      <c r="BU47" s="27">
        <v>0.88584474885844744</v>
      </c>
      <c r="BV47" s="27">
        <v>0.89080982711555956</v>
      </c>
      <c r="BW47" s="27">
        <v>0.82988298829882989</v>
      </c>
      <c r="BX47" s="27">
        <v>0.89568345323741005</v>
      </c>
      <c r="BY47" s="27">
        <v>0.80956678700361007</v>
      </c>
      <c r="BZ47" s="27">
        <v>0.86864906700039057</v>
      </c>
      <c r="CA47" s="27">
        <v>0.92876224398931428</v>
      </c>
      <c r="CB47" s="27">
        <v>0.89417040358744393</v>
      </c>
      <c r="CC47" s="27">
        <v>0.92850678733031677</v>
      </c>
      <c r="CD47" s="27">
        <v>0.92036199095022619</v>
      </c>
      <c r="CE47" s="27">
        <v>0.88928571428571423</v>
      </c>
      <c r="CF47" s="27">
        <v>0.91446208112874783</v>
      </c>
      <c r="CG47" s="27">
        <v>0.87621573828470378</v>
      </c>
      <c r="CH47" s="27">
        <v>0.90739499422235237</v>
      </c>
      <c r="CI47" s="27">
        <v>0.95648389904264575</v>
      </c>
      <c r="CJ47" s="27">
        <v>0.96177777777777773</v>
      </c>
      <c r="CK47" s="27">
        <v>0.92648361381753763</v>
      </c>
      <c r="CL47" s="27">
        <v>0.92546583850931674</v>
      </c>
      <c r="CM47" s="27">
        <v>0.97283085013146364</v>
      </c>
      <c r="CN47" s="27">
        <v>0.96765734265734271</v>
      </c>
      <c r="CO47" s="27">
        <v>0.97552447552447552</v>
      </c>
      <c r="CP47" s="27">
        <v>0.95517482820865141</v>
      </c>
      <c r="CQ47" s="27">
        <v>0.96524761077324062</v>
      </c>
      <c r="CR47" s="27">
        <v>0.94691035683202784</v>
      </c>
      <c r="CS47" s="27">
        <v>0.94178974804517812</v>
      </c>
      <c r="CT47" s="27">
        <v>0.90347826086956518</v>
      </c>
      <c r="CU47" s="27">
        <v>0.96959165942658554</v>
      </c>
      <c r="CV47" s="27">
        <v>0.96080139372822304</v>
      </c>
      <c r="CW47" s="27">
        <v>0.96083550913838123</v>
      </c>
      <c r="CX47" s="27">
        <v>0.9498077912590287</v>
      </c>
    </row>
    <row r="48" spans="2:102" x14ac:dyDescent="0.35">
      <c r="AL48" s="16" t="s">
        <v>230</v>
      </c>
      <c r="AM48" s="27">
        <v>0.9652173913043478</v>
      </c>
      <c r="AN48" s="27">
        <v>0.94379844961240311</v>
      </c>
      <c r="AO48" s="27">
        <v>0.94396135265700487</v>
      </c>
      <c r="AP48" s="27">
        <v>0.93942307692307692</v>
      </c>
      <c r="AQ48" s="27">
        <v>0.96142719382835107</v>
      </c>
      <c r="AR48" s="27">
        <v>0.95559845559845558</v>
      </c>
      <c r="AS48" s="27">
        <v>0.95357833655705992</v>
      </c>
      <c r="AT48" s="27">
        <v>0.95185775092581415</v>
      </c>
      <c r="AU48" s="27">
        <v>0.96342637151106836</v>
      </c>
      <c r="AV48" s="27">
        <v>0.94615384615384612</v>
      </c>
      <c r="AW48" s="27">
        <v>0.96224588576960313</v>
      </c>
      <c r="AX48" s="27">
        <v>0.95265700483091786</v>
      </c>
      <c r="AY48" s="27">
        <v>0.97019230769230769</v>
      </c>
      <c r="AZ48" s="27">
        <v>0.96342637151106836</v>
      </c>
      <c r="BA48" s="27">
        <v>0.95934172313649568</v>
      </c>
      <c r="BB48" s="27">
        <v>0.95963478722932971</v>
      </c>
      <c r="BC48" s="27">
        <v>0.95652173913043481</v>
      </c>
      <c r="BD48" s="27">
        <v>0.9544573643410853</v>
      </c>
      <c r="BE48" s="27">
        <v>0.95668912415784413</v>
      </c>
      <c r="BF48" s="27">
        <v>0.94009661835748792</v>
      </c>
      <c r="BG48" s="27">
        <v>0.96421663442940042</v>
      </c>
      <c r="BH48" s="27">
        <v>0.97004830917874396</v>
      </c>
      <c r="BI48" s="27">
        <v>0.97786333012512028</v>
      </c>
      <c r="BJ48" s="27">
        <v>0.9599847313885882</v>
      </c>
      <c r="BK48" s="27">
        <v>0.9575289575289575</v>
      </c>
      <c r="BL48" s="27">
        <v>0.95178399228543875</v>
      </c>
      <c r="BM48" s="27">
        <v>0.93217054263565891</v>
      </c>
      <c r="BN48" s="27">
        <v>0.92642787996127784</v>
      </c>
      <c r="BO48" s="27">
        <v>0.93840230991337825</v>
      </c>
      <c r="BP48" s="27">
        <v>0.95664739884393069</v>
      </c>
      <c r="BQ48" s="27">
        <v>0.95183044315992293</v>
      </c>
      <c r="BR48" s="27">
        <v>0.94497021776122359</v>
      </c>
      <c r="BS48" s="27">
        <v>0.85424710424710426</v>
      </c>
      <c r="BT48" s="27">
        <v>0.93610842207163603</v>
      </c>
      <c r="BU48" s="27">
        <v>0.85160038797284188</v>
      </c>
      <c r="BV48" s="27">
        <v>0.85645004849660522</v>
      </c>
      <c r="BW48" s="27">
        <v>0.81870781099324974</v>
      </c>
      <c r="BX48" s="27">
        <v>0.92337536372453932</v>
      </c>
      <c r="BY48" s="27">
        <v>0.82222222222222219</v>
      </c>
      <c r="BZ48" s="27">
        <v>0.86610162281831415</v>
      </c>
      <c r="CA48" s="27">
        <v>0.91569767441860461</v>
      </c>
      <c r="CB48" s="27">
        <v>0.87015503875968991</v>
      </c>
      <c r="CC48" s="27">
        <v>0.91456310679611652</v>
      </c>
      <c r="CD48" s="27">
        <v>0.92434529582929192</v>
      </c>
      <c r="CE48" s="27">
        <v>0.90222652468538234</v>
      </c>
      <c r="CF48" s="27">
        <v>0.87099903006789525</v>
      </c>
      <c r="CG48" s="27">
        <v>0.87293889427740057</v>
      </c>
      <c r="CH48" s="27">
        <v>0.89584650926205434</v>
      </c>
      <c r="CI48" s="27">
        <v>0.96124031007751942</v>
      </c>
      <c r="CJ48" s="27">
        <v>0.94767441860465118</v>
      </c>
      <c r="CK48" s="27">
        <v>0.95058139534883723</v>
      </c>
      <c r="CL48" s="27">
        <v>0.93986420950533467</v>
      </c>
      <c r="CM48" s="27">
        <v>0.9738625363020329</v>
      </c>
      <c r="CN48" s="27">
        <v>0.96411251212415128</v>
      </c>
      <c r="CO48" s="27">
        <v>0.95441319107662459</v>
      </c>
      <c r="CP48" s="27">
        <v>0.95596408186273596</v>
      </c>
      <c r="CQ48" s="27">
        <v>0.97868217054263562</v>
      </c>
      <c r="CR48" s="27">
        <v>0.94665373423860333</v>
      </c>
      <c r="CS48" s="27">
        <v>0.96414728682170547</v>
      </c>
      <c r="CT48" s="27">
        <v>0.94573643410852715</v>
      </c>
      <c r="CU48" s="27">
        <v>0.96899224806201545</v>
      </c>
      <c r="CV48" s="27">
        <v>0.94961240310077522</v>
      </c>
      <c r="CW48" s="27">
        <v>0.93701550387596899</v>
      </c>
      <c r="CX48" s="27">
        <v>0.95583425439289016</v>
      </c>
    </row>
    <row r="49" spans="38:102" x14ac:dyDescent="0.35">
      <c r="AL49" s="16" t="s">
        <v>231</v>
      </c>
      <c r="AM49" s="27">
        <v>0.99661016949152548</v>
      </c>
      <c r="AN49" s="27">
        <v>0.99651567944250874</v>
      </c>
      <c r="AO49" s="27">
        <v>0.99651567944250874</v>
      </c>
      <c r="AP49" s="27">
        <v>0.98293515358361772</v>
      </c>
      <c r="AQ49" s="27">
        <v>0.99312714776632305</v>
      </c>
      <c r="AR49" s="27">
        <v>0.98269896193771622</v>
      </c>
      <c r="AS49" s="27">
        <v>0.98606271777003485</v>
      </c>
      <c r="AT49" s="27">
        <v>0.99063792991917643</v>
      </c>
      <c r="AU49" s="27">
        <v>0.99659863945578231</v>
      </c>
      <c r="AV49" s="27">
        <v>1</v>
      </c>
      <c r="AW49" s="27">
        <v>0.98936170212765961</v>
      </c>
      <c r="AX49" s="27">
        <v>0.98615916955017302</v>
      </c>
      <c r="AY49" s="27">
        <v>0.97297297297297303</v>
      </c>
      <c r="AZ49" s="27">
        <v>0.99661016949152548</v>
      </c>
      <c r="BA49" s="27">
        <v>0.98310810810810811</v>
      </c>
      <c r="BB49" s="27">
        <v>0.98925868024374586</v>
      </c>
      <c r="BC49" s="27">
        <v>0.98965517241379308</v>
      </c>
      <c r="BD49" s="27">
        <v>0.98287671232876717</v>
      </c>
      <c r="BE49" s="27">
        <v>0.98257839721254359</v>
      </c>
      <c r="BF49" s="27">
        <v>0.97931034482758617</v>
      </c>
      <c r="BG49" s="27">
        <v>0.98269896193771622</v>
      </c>
      <c r="BH49" s="27">
        <v>0.97231833910034604</v>
      </c>
      <c r="BI49" s="27">
        <v>0.98620689655172411</v>
      </c>
      <c r="BJ49" s="27">
        <v>0.98223497491035372</v>
      </c>
      <c r="BK49" s="27">
        <v>0.98263888888888884</v>
      </c>
      <c r="BL49" s="27">
        <v>0.98611111111111116</v>
      </c>
      <c r="BM49" s="27">
        <v>0.98947368421052628</v>
      </c>
      <c r="BN49" s="27">
        <v>0.9825174825174825</v>
      </c>
      <c r="BO49" s="27">
        <v>0.99656357388316152</v>
      </c>
      <c r="BP49" s="27">
        <v>0.97945205479452058</v>
      </c>
      <c r="BQ49" s="27">
        <v>0.98275862068965514</v>
      </c>
      <c r="BR49" s="27">
        <v>0.98564505944219216</v>
      </c>
      <c r="BS49" s="27">
        <v>0.97594501718213056</v>
      </c>
      <c r="BT49" s="27">
        <v>0.97923875432525953</v>
      </c>
      <c r="BU49" s="27">
        <v>0.97586206896551719</v>
      </c>
      <c r="BV49" s="27">
        <v>0.97602739726027399</v>
      </c>
      <c r="BW49" s="27">
        <v>0.98954703832752611</v>
      </c>
      <c r="BX49" s="27">
        <v>0.99315068493150682</v>
      </c>
      <c r="BY49" s="27">
        <v>0.98954703832752611</v>
      </c>
      <c r="BZ49" s="27">
        <v>0.98275971418853436</v>
      </c>
      <c r="CA49" s="27">
        <v>1</v>
      </c>
      <c r="CB49" s="27">
        <v>0.97959183673469385</v>
      </c>
      <c r="CC49" s="27">
        <v>0.98620689655172411</v>
      </c>
      <c r="CD49" s="27">
        <v>0.98281786941580751</v>
      </c>
      <c r="CE49" s="27">
        <v>1</v>
      </c>
      <c r="CF49" s="27">
        <v>0.99661016949152548</v>
      </c>
      <c r="CG49" s="27">
        <v>0.97635135135135132</v>
      </c>
      <c r="CH49" s="27">
        <v>0.9887968747921575</v>
      </c>
      <c r="CI49" s="27">
        <v>0.97269624573378843</v>
      </c>
      <c r="CJ49" s="27">
        <v>0.99665551839464883</v>
      </c>
      <c r="CK49" s="27">
        <v>0.98257839721254359</v>
      </c>
      <c r="CL49" s="27">
        <v>0.97594501718213056</v>
      </c>
      <c r="CM49" s="27">
        <v>0.97288135593220337</v>
      </c>
      <c r="CN49" s="27">
        <v>0.97306397306397308</v>
      </c>
      <c r="CO49" s="27">
        <v>0.97610921501706482</v>
      </c>
      <c r="CP49" s="27">
        <v>0.97856138893376465</v>
      </c>
      <c r="CQ49" s="27">
        <v>0.97231833910034604</v>
      </c>
      <c r="CR49" s="27">
        <v>0.98986486486486491</v>
      </c>
      <c r="CS49" s="27">
        <v>0.98281786941580751</v>
      </c>
      <c r="CT49" s="27">
        <v>0.97938144329896903</v>
      </c>
      <c r="CU49" s="27">
        <v>0.97643097643097643</v>
      </c>
      <c r="CV49" s="27">
        <v>0.98648648648648651</v>
      </c>
      <c r="CW49" s="27">
        <v>0.98269896193771622</v>
      </c>
      <c r="CX49" s="27">
        <v>0.98142842021930954</v>
      </c>
    </row>
    <row r="50" spans="38:102" x14ac:dyDescent="0.35">
      <c r="AL50" s="16" t="s">
        <v>232</v>
      </c>
      <c r="AM50" s="27">
        <v>0.88640973630831643</v>
      </c>
      <c r="AN50" s="27">
        <v>0.91633466135458164</v>
      </c>
      <c r="AO50" s="27">
        <v>0.90163934426229508</v>
      </c>
      <c r="AP50" s="27">
        <v>0.90040650406504064</v>
      </c>
      <c r="AQ50" s="27">
        <v>0.91348088531187122</v>
      </c>
      <c r="AR50" s="27">
        <v>0.92629482071713143</v>
      </c>
      <c r="AS50" s="27">
        <v>0.92430278884462147</v>
      </c>
      <c r="AT50" s="27">
        <v>0.90983839155197976</v>
      </c>
      <c r="AU50" s="27">
        <v>0.90740740740740744</v>
      </c>
      <c r="AV50" s="27">
        <v>0.92276422764227639</v>
      </c>
      <c r="AW50" s="27">
        <v>0.89938398357289528</v>
      </c>
      <c r="AX50" s="27">
        <v>0.88139059304703471</v>
      </c>
      <c r="AY50" s="27">
        <v>0.93509127789046653</v>
      </c>
      <c r="AZ50" s="27">
        <v>0.91919191919191923</v>
      </c>
      <c r="BA50" s="27">
        <v>0.93699186991869921</v>
      </c>
      <c r="BB50" s="27">
        <v>0.91460303981009983</v>
      </c>
      <c r="BC50" s="27">
        <v>0.95289079229122053</v>
      </c>
      <c r="BD50" s="27">
        <v>0.91428571428571426</v>
      </c>
      <c r="BE50" s="27">
        <v>0.95503211991434689</v>
      </c>
      <c r="BF50" s="27">
        <v>0.94218415417558887</v>
      </c>
      <c r="BG50" s="27">
        <v>0.98501070663811563</v>
      </c>
      <c r="BH50" s="27">
        <v>0.96573875802997855</v>
      </c>
      <c r="BI50" s="27">
        <v>0.97430406852248397</v>
      </c>
      <c r="BJ50" s="27">
        <v>0.9556351876939212</v>
      </c>
      <c r="BK50" s="27">
        <v>0.9570815450643777</v>
      </c>
      <c r="BL50" s="27">
        <v>0.97002141327623126</v>
      </c>
      <c r="BM50" s="27">
        <v>0.94218415417558887</v>
      </c>
      <c r="BN50" s="27">
        <v>0.94860813704496783</v>
      </c>
      <c r="BO50" s="27">
        <v>0.97430406852248397</v>
      </c>
      <c r="BP50" s="27">
        <v>0.97858672376873657</v>
      </c>
      <c r="BQ50" s="27">
        <v>0.97430406852248397</v>
      </c>
      <c r="BR50" s="27">
        <v>0.96358430148212426</v>
      </c>
      <c r="BS50" s="27">
        <v>0.93695652173913047</v>
      </c>
      <c r="BT50" s="27">
        <v>0.94646680942184158</v>
      </c>
      <c r="BU50" s="27">
        <v>0.94565217391304346</v>
      </c>
      <c r="BV50" s="27">
        <v>0.95454545454545459</v>
      </c>
      <c r="BW50" s="27">
        <v>0.90217391304347827</v>
      </c>
      <c r="BX50" s="27">
        <v>0.91991341991341991</v>
      </c>
      <c r="BY50" s="27">
        <v>0.86739130434782608</v>
      </c>
      <c r="BZ50" s="27">
        <v>0.9247285138463136</v>
      </c>
      <c r="CA50" s="27">
        <v>0.96894409937888204</v>
      </c>
      <c r="CB50" s="27">
        <v>0.97402597402597402</v>
      </c>
      <c r="CC50" s="27">
        <v>0.96074380165289253</v>
      </c>
      <c r="CD50" s="27">
        <v>0.96537678207739308</v>
      </c>
      <c r="CE50" s="27">
        <v>0.96250000000000002</v>
      </c>
      <c r="CF50" s="27">
        <v>0.96559139784946235</v>
      </c>
      <c r="CG50" s="27">
        <v>0.92531120331950212</v>
      </c>
      <c r="CH50" s="27">
        <v>0.96035617975772947</v>
      </c>
      <c r="CI50" s="27">
        <v>0.97137014314928427</v>
      </c>
      <c r="CJ50" s="27">
        <v>0.96734693877551026</v>
      </c>
      <c r="CK50" s="27">
        <v>0.96502057613168724</v>
      </c>
      <c r="CL50" s="27">
        <v>0.96913580246913578</v>
      </c>
      <c r="CM50" s="27">
        <v>0.97764227642276424</v>
      </c>
      <c r="CN50" s="27">
        <v>0.97352342158859473</v>
      </c>
      <c r="CO50" s="27">
        <v>0.98574338085539714</v>
      </c>
      <c r="CP50" s="27">
        <v>0.97282607705605351</v>
      </c>
      <c r="CQ50" s="27">
        <v>0.95491803278688525</v>
      </c>
      <c r="CR50" s="27">
        <v>0.97565922920892489</v>
      </c>
      <c r="CS50" s="27">
        <v>0.93442622950819676</v>
      </c>
      <c r="CT50" s="27">
        <v>0.93181818181818177</v>
      </c>
      <c r="CU50" s="27">
        <v>0.96098562628336759</v>
      </c>
      <c r="CV50" s="27">
        <v>0.95092024539877296</v>
      </c>
      <c r="CW50" s="27">
        <v>0.95286885245901642</v>
      </c>
      <c r="CX50" s="27">
        <v>0.95165662820904928</v>
      </c>
    </row>
    <row r="51" spans="38:102" x14ac:dyDescent="0.35">
      <c r="AL51" s="16" t="s">
        <v>233</v>
      </c>
      <c r="AM51" s="27">
        <v>0.98573975044563278</v>
      </c>
      <c r="AN51" s="27">
        <v>0.99823008849557526</v>
      </c>
      <c r="AO51" s="27">
        <v>0.99115044247787609</v>
      </c>
      <c r="AP51" s="27">
        <v>0.97887323943661975</v>
      </c>
      <c r="AQ51" s="27">
        <v>0.99124343257443082</v>
      </c>
      <c r="AR51" s="27">
        <v>0.99825783972125437</v>
      </c>
      <c r="AS51" s="27">
        <v>0.99125874125874125</v>
      </c>
      <c r="AT51" s="27">
        <v>0.9906790763443043</v>
      </c>
      <c r="AU51" s="27">
        <v>0.97979797979797978</v>
      </c>
      <c r="AV51" s="27">
        <v>0.98601398601398604</v>
      </c>
      <c r="AW51" s="27">
        <v>0.98821548821548821</v>
      </c>
      <c r="AX51" s="27">
        <v>0.99153976311336722</v>
      </c>
      <c r="AY51" s="27">
        <v>0.98181818181818181</v>
      </c>
      <c r="AZ51" s="27">
        <v>0.99475524475524479</v>
      </c>
      <c r="BA51" s="27">
        <v>1</v>
      </c>
      <c r="BB51" s="27">
        <v>0.98887723481632128</v>
      </c>
      <c r="BC51" s="27">
        <v>0.98169717138103163</v>
      </c>
      <c r="BD51" s="27">
        <v>0.99496644295302017</v>
      </c>
      <c r="BE51" s="27">
        <v>0.96101694915254232</v>
      </c>
      <c r="BF51" s="27">
        <v>0.96610169491525422</v>
      </c>
      <c r="BG51" s="27">
        <v>0.97654941373534343</v>
      </c>
      <c r="BH51" s="27">
        <v>0.99336650082918743</v>
      </c>
      <c r="BI51" s="27">
        <v>0.98833333333333329</v>
      </c>
      <c r="BJ51" s="27">
        <v>0.98029021518567316</v>
      </c>
      <c r="BK51" s="27">
        <v>0.98487394957983199</v>
      </c>
      <c r="BL51" s="27">
        <v>0.97495826377295491</v>
      </c>
      <c r="BM51" s="27">
        <v>0.97631133671742809</v>
      </c>
      <c r="BN51" s="27">
        <v>0.96752136752136753</v>
      </c>
      <c r="BO51" s="27">
        <v>0.98151260504201676</v>
      </c>
      <c r="BP51" s="27">
        <v>0.99832495812395305</v>
      </c>
      <c r="BQ51" s="27">
        <v>0.97800338409475462</v>
      </c>
      <c r="BR51" s="27">
        <v>0.98021512355032958</v>
      </c>
      <c r="BS51" s="27">
        <v>0.93554006968641112</v>
      </c>
      <c r="BT51" s="27">
        <v>0.98646362098138751</v>
      </c>
      <c r="BU51" s="27">
        <v>0.98141891891891897</v>
      </c>
      <c r="BV51" s="27">
        <v>0.97807757166947729</v>
      </c>
      <c r="BW51" s="27">
        <v>0.93554006968641112</v>
      </c>
      <c r="BX51" s="27">
        <v>0.97297297297297303</v>
      </c>
      <c r="BY51" s="27">
        <v>0.93902439024390238</v>
      </c>
      <c r="BZ51" s="27">
        <v>0.96129108773706862</v>
      </c>
      <c r="CA51" s="27">
        <v>0.98484848484848486</v>
      </c>
      <c r="CB51" s="27">
        <v>0.99504132231404963</v>
      </c>
      <c r="CC51" s="27">
        <v>0.97844112769485903</v>
      </c>
      <c r="CD51" s="27">
        <v>0.97670549084858571</v>
      </c>
      <c r="CE51" s="27">
        <v>0.9882352941176471</v>
      </c>
      <c r="CF51" s="27">
        <v>0.99504132231404963</v>
      </c>
      <c r="CG51" s="27">
        <v>0.98016528925619839</v>
      </c>
      <c r="CH51" s="27">
        <v>0.98549690448483929</v>
      </c>
      <c r="CI51" s="27">
        <v>0.9819672131147541</v>
      </c>
      <c r="CJ51" s="27">
        <v>0.99495798319327733</v>
      </c>
      <c r="CK51" s="27">
        <v>0.97487437185929648</v>
      </c>
      <c r="CL51" s="27">
        <v>0.96446700507614214</v>
      </c>
      <c r="CM51" s="27">
        <v>0.98854337152209493</v>
      </c>
      <c r="CN51" s="27">
        <v>0.98825503355704702</v>
      </c>
      <c r="CO51" s="27">
        <v>0.9819672131147541</v>
      </c>
      <c r="CP51" s="27">
        <v>0.98214745591962394</v>
      </c>
      <c r="CQ51" s="27">
        <v>0.95431472081218272</v>
      </c>
      <c r="CR51" s="27">
        <v>0.96610169491525422</v>
      </c>
      <c r="CS51" s="27">
        <v>0.93185689948892669</v>
      </c>
      <c r="CT51" s="27">
        <v>0.94027303754266212</v>
      </c>
      <c r="CU51" s="27">
        <v>0.95755517826825132</v>
      </c>
      <c r="CV51" s="27">
        <v>0.98330550918196991</v>
      </c>
      <c r="CW51" s="27">
        <v>0.97147651006711411</v>
      </c>
      <c r="CX51" s="27">
        <v>0.95784050718233726</v>
      </c>
    </row>
    <row r="52" spans="38:102" x14ac:dyDescent="0.35">
      <c r="AL52" s="16" t="s">
        <v>234</v>
      </c>
      <c r="AM52" s="27">
        <v>0.97293343087051942</v>
      </c>
      <c r="AN52" s="27">
        <v>0.97312999273783585</v>
      </c>
      <c r="AO52" s="27">
        <v>0.97060984570168995</v>
      </c>
      <c r="AP52" s="27">
        <v>0.96916299559471364</v>
      </c>
      <c r="AQ52" s="27">
        <v>0.97521865889212833</v>
      </c>
      <c r="AR52" s="27">
        <v>0.9745639534883721</v>
      </c>
      <c r="AS52" s="27">
        <v>0.97385620915032678</v>
      </c>
      <c r="AT52" s="27">
        <v>0.9727821552050836</v>
      </c>
      <c r="AU52" s="27">
        <v>0.97594752186588918</v>
      </c>
      <c r="AV52" s="27">
        <v>0.96920821114369504</v>
      </c>
      <c r="AW52" s="27">
        <v>0.96425966447848288</v>
      </c>
      <c r="AX52" s="27">
        <v>0.96717724288840268</v>
      </c>
      <c r="AY52" s="27">
        <v>0.9788629737609329</v>
      </c>
      <c r="AZ52" s="27">
        <v>0.97220190197512801</v>
      </c>
      <c r="BA52" s="27">
        <v>0.97448979591836737</v>
      </c>
      <c r="BB52" s="27">
        <v>0.97173533029012837</v>
      </c>
      <c r="BC52" s="27">
        <v>0.97826086956521741</v>
      </c>
      <c r="BD52" s="27">
        <v>0.97161572052401746</v>
      </c>
      <c r="BE52" s="27">
        <v>0.97234352256186318</v>
      </c>
      <c r="BF52" s="27">
        <v>0.97234352256186318</v>
      </c>
      <c r="BG52" s="27">
        <v>0.97971014492753628</v>
      </c>
      <c r="BH52" s="27">
        <v>0.970160116448326</v>
      </c>
      <c r="BI52" s="27">
        <v>0.97682838522809556</v>
      </c>
      <c r="BJ52" s="27">
        <v>0.97446604025955985</v>
      </c>
      <c r="BK52" s="27">
        <v>0.96762325239146429</v>
      </c>
      <c r="BL52" s="27">
        <v>0.97592997811816196</v>
      </c>
      <c r="BM52" s="27">
        <v>0.96759941089837997</v>
      </c>
      <c r="BN52" s="27">
        <v>0.97045790251107833</v>
      </c>
      <c r="BO52" s="27">
        <v>0.97020348837209303</v>
      </c>
      <c r="BP52" s="27">
        <v>0.97881665449233013</v>
      </c>
      <c r="BQ52" s="27">
        <v>0.97372262773722629</v>
      </c>
      <c r="BR52" s="27">
        <v>0.97205047350296192</v>
      </c>
      <c r="BS52" s="27">
        <v>0.93230316409124359</v>
      </c>
      <c r="BT52" s="27">
        <v>0.96263736263736266</v>
      </c>
      <c r="BU52" s="27">
        <v>0.9367181751287712</v>
      </c>
      <c r="BV52" s="27">
        <v>0.94779411764705879</v>
      </c>
      <c r="BW52" s="27">
        <v>0.91758646063281823</v>
      </c>
      <c r="BX52" s="27">
        <v>0.95427728613569318</v>
      </c>
      <c r="BY52" s="27">
        <v>0.91537895511405443</v>
      </c>
      <c r="BZ52" s="27">
        <v>0.93809936019814322</v>
      </c>
      <c r="CA52" s="27">
        <v>0.97242380261248185</v>
      </c>
      <c r="CB52" s="27">
        <v>0.95398100803506214</v>
      </c>
      <c r="CC52" s="27">
        <v>0.96285506190823011</v>
      </c>
      <c r="CD52" s="27">
        <v>0.96368917937545384</v>
      </c>
      <c r="CE52" s="27">
        <v>0.96151053013798116</v>
      </c>
      <c r="CF52" s="27">
        <v>0.96350364963503654</v>
      </c>
      <c r="CG52" s="27">
        <v>0.96336996336996339</v>
      </c>
      <c r="CH52" s="27">
        <v>0.96304759929631556</v>
      </c>
      <c r="CI52" s="27">
        <v>0.97097242380261251</v>
      </c>
      <c r="CJ52" s="27">
        <v>0.96804647785039943</v>
      </c>
      <c r="CK52" s="27">
        <v>0.96514161220043571</v>
      </c>
      <c r="CL52" s="27">
        <v>0.9694989106753813</v>
      </c>
      <c r="CM52" s="27">
        <v>0.97332372025955294</v>
      </c>
      <c r="CN52" s="27">
        <v>0.97111913357400725</v>
      </c>
      <c r="CO52" s="27">
        <v>0.9747474747474747</v>
      </c>
      <c r="CP52" s="27">
        <v>0.97040710758712334</v>
      </c>
      <c r="CQ52" s="27">
        <v>0.9818709209572154</v>
      </c>
      <c r="CR52" s="27">
        <v>0.97316896301667877</v>
      </c>
      <c r="CS52" s="27">
        <v>0.97674418604651159</v>
      </c>
      <c r="CT52" s="27">
        <v>0.97601744186046513</v>
      </c>
      <c r="CU52" s="27">
        <v>0.97684515195369026</v>
      </c>
      <c r="CV52" s="27">
        <v>0.97605224963715531</v>
      </c>
      <c r="CW52" s="27">
        <v>0.97684515195369026</v>
      </c>
      <c r="CX52" s="27">
        <v>0.97679200934648669</v>
      </c>
    </row>
    <row r="53" spans="38:102" x14ac:dyDescent="0.35">
      <c r="AL53" s="16" t="s">
        <v>235</v>
      </c>
      <c r="AM53" s="27"/>
      <c r="AN53" s="27"/>
      <c r="AO53" s="27"/>
      <c r="AP53" s="27"/>
      <c r="AQ53" s="27"/>
      <c r="AR53" s="27"/>
      <c r="AS53" s="27"/>
      <c r="AT53" s="27"/>
      <c r="AU53" s="27">
        <v>0.92195121951219516</v>
      </c>
      <c r="AV53" s="27">
        <v>0.90487804878048783</v>
      </c>
      <c r="AW53" s="27">
        <v>0.90731707317073174</v>
      </c>
      <c r="AX53" s="27">
        <v>0.91951219512195126</v>
      </c>
      <c r="AY53" s="27">
        <v>0.91951219512195126</v>
      </c>
      <c r="AZ53" s="27">
        <v>0.93658536585365859</v>
      </c>
      <c r="BA53" s="27">
        <v>0.9463414634146341</v>
      </c>
      <c r="BB53" s="27">
        <v>0.92229965156794425</v>
      </c>
      <c r="BC53" s="27">
        <v>0.92926829268292688</v>
      </c>
      <c r="BD53" s="27">
        <v>0.91707317073170735</v>
      </c>
      <c r="BE53" s="27">
        <v>0.91463414634146345</v>
      </c>
      <c r="BF53" s="27">
        <v>0.9</v>
      </c>
      <c r="BG53" s="27">
        <v>0.92926829268292688</v>
      </c>
      <c r="BH53" s="27">
        <v>0.92926829268292688</v>
      </c>
      <c r="BI53" s="27">
        <v>0.93658536585365859</v>
      </c>
      <c r="BJ53" s="27">
        <v>0.92229965156794436</v>
      </c>
      <c r="BK53" s="27">
        <v>0.91463414634146345</v>
      </c>
      <c r="BL53" s="27">
        <v>0.89268292682926831</v>
      </c>
      <c r="BM53" s="27">
        <v>0.85609756097560974</v>
      </c>
      <c r="BN53" s="27">
        <v>0.8902439024390244</v>
      </c>
      <c r="BO53" s="27">
        <v>0.90487804878048783</v>
      </c>
      <c r="BP53" s="27">
        <v>0.90243902439024393</v>
      </c>
      <c r="BQ53" s="27">
        <v>0.93658536585365859</v>
      </c>
      <c r="BR53" s="27">
        <v>0.89965156794425094</v>
      </c>
      <c r="BS53" s="27">
        <v>0.84146341463414631</v>
      </c>
      <c r="BT53" s="27">
        <v>0.89268292682926831</v>
      </c>
      <c r="BU53" s="27">
        <v>0.85121951219512193</v>
      </c>
      <c r="BV53" s="27">
        <v>0.83902439024390241</v>
      </c>
      <c r="BW53" s="27">
        <v>0.84390243902439022</v>
      </c>
      <c r="BX53" s="27">
        <v>0.90243902439024393</v>
      </c>
      <c r="BY53" s="27">
        <v>0.82439024390243898</v>
      </c>
      <c r="BZ53" s="27">
        <v>0.85644599303135893</v>
      </c>
      <c r="CA53" s="27">
        <v>0.93414634146341469</v>
      </c>
      <c r="CB53" s="27">
        <v>0.88048780487804879</v>
      </c>
      <c r="CC53" s="27">
        <v>0.92439024390243907</v>
      </c>
      <c r="CD53" s="27">
        <v>0.89756097560975612</v>
      </c>
      <c r="CE53" s="27">
        <v>0.9</v>
      </c>
      <c r="CF53" s="27">
        <v>0.90975609756097564</v>
      </c>
      <c r="CG53" s="27">
        <v>0.89756097560975612</v>
      </c>
      <c r="CH53" s="27">
        <v>0.90627177700348438</v>
      </c>
      <c r="CI53" s="27">
        <v>0.92682926829268297</v>
      </c>
      <c r="CJ53" s="27">
        <v>0.93170731707317078</v>
      </c>
      <c r="CK53" s="27">
        <v>0.92195121951219516</v>
      </c>
      <c r="CL53" s="27">
        <v>0.93414634146341469</v>
      </c>
      <c r="CM53" s="27">
        <v>0.96829268292682924</v>
      </c>
      <c r="CN53" s="27">
        <v>0.95609756097560972</v>
      </c>
      <c r="CO53" s="27">
        <v>0.93902439024390238</v>
      </c>
      <c r="CP53" s="27">
        <v>0.93972125435540066</v>
      </c>
      <c r="CQ53" s="27">
        <v>0.91707317073170735</v>
      </c>
      <c r="CR53" s="27">
        <v>0.95365853658536581</v>
      </c>
      <c r="CS53" s="27">
        <v>0.91219512195121955</v>
      </c>
      <c r="CT53" s="27">
        <v>0.91951219512195126</v>
      </c>
      <c r="CU53" s="27">
        <v>0.92195121951219516</v>
      </c>
      <c r="CV53" s="27">
        <v>0.95365853658536581</v>
      </c>
      <c r="CW53" s="27">
        <v>0.93902439024390238</v>
      </c>
      <c r="CX53" s="27">
        <v>0.93101045296167251</v>
      </c>
    </row>
    <row r="54" spans="38:102" x14ac:dyDescent="0.35">
      <c r="AL54" s="16" t="s">
        <v>236</v>
      </c>
      <c r="AM54" s="27">
        <v>0.90487804878048783</v>
      </c>
      <c r="AN54" s="27">
        <v>0.91707317073170735</v>
      </c>
      <c r="AO54" s="27">
        <v>0.89756097560975612</v>
      </c>
      <c r="AP54" s="27">
        <v>0.89268292682926831</v>
      </c>
      <c r="AQ54" s="27">
        <v>0.93902439024390238</v>
      </c>
      <c r="AR54" s="27">
        <v>0.93658536585365859</v>
      </c>
      <c r="AS54" s="27">
        <v>0.93414634146341469</v>
      </c>
      <c r="AT54" s="27">
        <v>0.91742160278745644</v>
      </c>
      <c r="AU54" s="27"/>
      <c r="AV54" s="27"/>
      <c r="AW54" s="27"/>
      <c r="AX54" s="27"/>
      <c r="AY54" s="27"/>
      <c r="AZ54" s="27"/>
      <c r="BA54" s="27"/>
      <c r="BB54" s="27"/>
      <c r="BC54" s="27"/>
      <c r="BD54" s="27"/>
      <c r="BE54" s="27"/>
      <c r="BF54" s="27"/>
      <c r="BG54" s="27"/>
      <c r="BH54" s="27"/>
      <c r="BI54" s="27"/>
      <c r="BJ54" s="27"/>
      <c r="BK54" s="27"/>
      <c r="BL54" s="27"/>
      <c r="BM54" s="27"/>
      <c r="BN54" s="27"/>
      <c r="BO54" s="27"/>
      <c r="BP54" s="27"/>
      <c r="BQ54" s="27"/>
      <c r="BR54" s="27"/>
      <c r="BS54" s="27"/>
      <c r="BT54" s="27"/>
      <c r="BU54" s="27"/>
      <c r="BV54" s="27"/>
      <c r="BW54" s="27"/>
      <c r="BX54" s="27"/>
      <c r="BY54" s="27"/>
      <c r="BZ54" s="27"/>
      <c r="CA54" s="27"/>
      <c r="CB54" s="27"/>
      <c r="CC54" s="27"/>
      <c r="CD54" s="27"/>
      <c r="CE54" s="27"/>
      <c r="CF54" s="27"/>
      <c r="CG54" s="27"/>
      <c r="CH54" s="27"/>
      <c r="CI54" s="27"/>
      <c r="CJ54" s="27"/>
      <c r="CK54" s="27"/>
      <c r="CL54" s="27"/>
      <c r="CM54" s="27"/>
      <c r="CN54" s="27"/>
      <c r="CO54" s="27"/>
      <c r="CP54" s="27"/>
      <c r="CQ54" s="27"/>
      <c r="CR54" s="27"/>
      <c r="CS54" s="27"/>
      <c r="CT54" s="27"/>
      <c r="CU54" s="27"/>
      <c r="CV54" s="27"/>
      <c r="CW54" s="27"/>
      <c r="CX54" s="27"/>
    </row>
    <row r="55" spans="38:102" x14ac:dyDescent="0.35">
      <c r="AL55" s="16" t="s">
        <v>237</v>
      </c>
      <c r="AM55" s="27">
        <v>0.96563573883161513</v>
      </c>
      <c r="AN55" s="27">
        <v>0.95017381228273468</v>
      </c>
      <c r="AO55" s="27">
        <v>0.95766590389016015</v>
      </c>
      <c r="AP55" s="27">
        <v>0.95596755504055619</v>
      </c>
      <c r="AQ55" s="27">
        <v>0.96882217090069289</v>
      </c>
      <c r="AR55" s="27">
        <v>0.96313364055299544</v>
      </c>
      <c r="AS55" s="27">
        <v>0.97018348623853212</v>
      </c>
      <c r="AT55" s="27">
        <v>0.96165461539104113</v>
      </c>
      <c r="AU55" s="27">
        <v>0.95737327188940091</v>
      </c>
      <c r="AV55" s="27">
        <v>0.96643518518518523</v>
      </c>
      <c r="AW55" s="27">
        <v>0.94295692665890574</v>
      </c>
      <c r="AX55" s="27">
        <v>0.93582263710618441</v>
      </c>
      <c r="AY55" s="27">
        <v>0.96180555555555558</v>
      </c>
      <c r="AZ55" s="27">
        <v>0.96900114810562576</v>
      </c>
      <c r="BA55" s="27">
        <v>0.95990836197021767</v>
      </c>
      <c r="BB55" s="27">
        <v>0.95618615521015371</v>
      </c>
      <c r="BC55" s="27">
        <v>0.96279069767441861</v>
      </c>
      <c r="BD55" s="27">
        <v>0.95591647331786544</v>
      </c>
      <c r="BE55" s="27">
        <v>0.95327102803738317</v>
      </c>
      <c r="BF55" s="27">
        <v>0.91705607476635509</v>
      </c>
      <c r="BG55" s="27">
        <v>0.95381062355658197</v>
      </c>
      <c r="BH55" s="27">
        <v>0.95506912442396308</v>
      </c>
      <c r="BI55" s="27">
        <v>0.95717592592592593</v>
      </c>
      <c r="BJ55" s="27">
        <v>0.95072713538607057</v>
      </c>
      <c r="BK55" s="27">
        <v>0.91283863368669027</v>
      </c>
      <c r="BL55" s="27">
        <v>0.94145199063231855</v>
      </c>
      <c r="BM55" s="27">
        <v>0.89386792452830188</v>
      </c>
      <c r="BN55" s="27">
        <v>0.91863207547169812</v>
      </c>
      <c r="BO55" s="27">
        <v>0.94035087719298249</v>
      </c>
      <c r="BP55" s="27">
        <v>0.94219653179190754</v>
      </c>
      <c r="BQ55" s="27">
        <v>0.94663573085846864</v>
      </c>
      <c r="BR55" s="27">
        <v>0.92799625202319536</v>
      </c>
      <c r="BS55" s="27">
        <v>0.89404761904761909</v>
      </c>
      <c r="BT55" s="27">
        <v>0.92957746478873238</v>
      </c>
      <c r="BU55" s="27">
        <v>0.91469194312796209</v>
      </c>
      <c r="BV55" s="27">
        <v>0.92588235294117649</v>
      </c>
      <c r="BW55" s="27">
        <v>0.84898929845422122</v>
      </c>
      <c r="BX55" s="27">
        <v>0.91176470588235292</v>
      </c>
      <c r="BY55" s="27">
        <v>0.82660332541567694</v>
      </c>
      <c r="BZ55" s="27">
        <v>0.89307952995110595</v>
      </c>
      <c r="CA55" s="27">
        <v>0.95305164319248825</v>
      </c>
      <c r="CB55" s="27">
        <v>0.92740046838407497</v>
      </c>
      <c r="CC55" s="27">
        <v>0.95288574793875147</v>
      </c>
      <c r="CD55" s="27">
        <v>0.95560747663551404</v>
      </c>
      <c r="CE55" s="27">
        <v>0.94131455399061037</v>
      </c>
      <c r="CF55" s="27">
        <v>0.93301997649823731</v>
      </c>
      <c r="CG55" s="27">
        <v>0.92226148409893993</v>
      </c>
      <c r="CH55" s="27">
        <v>0.94079162153408802</v>
      </c>
      <c r="CI55" s="27">
        <v>0.9625292740046838</v>
      </c>
      <c r="CJ55" s="27">
        <v>0.94483568075117375</v>
      </c>
      <c r="CK55" s="27">
        <v>0.96230859835100113</v>
      </c>
      <c r="CL55" s="27">
        <v>0.96834701055099648</v>
      </c>
      <c r="CM55" s="27">
        <v>0.96744186046511627</v>
      </c>
      <c r="CN55" s="27">
        <v>0.95596755504055619</v>
      </c>
      <c r="CO55" s="27">
        <v>0.97113163972286376</v>
      </c>
      <c r="CP55" s="27">
        <v>0.96179451698377005</v>
      </c>
      <c r="CQ55" s="27">
        <v>0.96755504055619934</v>
      </c>
      <c r="CR55" s="27">
        <v>0.97309941520467835</v>
      </c>
      <c r="CS55" s="27">
        <v>0.96973224679860304</v>
      </c>
      <c r="CT55" s="27">
        <v>0.96257309941520464</v>
      </c>
      <c r="CU55" s="27">
        <v>0.97215777262180969</v>
      </c>
      <c r="CV55" s="27">
        <v>0.97902097902097907</v>
      </c>
      <c r="CW55" s="27">
        <v>0.97341040462427741</v>
      </c>
      <c r="CX55" s="27">
        <v>0.97107842260596455</v>
      </c>
    </row>
    <row r="56" spans="38:102" x14ac:dyDescent="0.35">
      <c r="AL56" s="16" t="s">
        <v>238</v>
      </c>
      <c r="AM56" s="27">
        <v>0.97885714285714287</v>
      </c>
      <c r="AN56" s="27">
        <v>0.96816372939169981</v>
      </c>
      <c r="AO56" s="27">
        <v>1</v>
      </c>
      <c r="AP56" s="27">
        <v>1</v>
      </c>
      <c r="AQ56" s="27">
        <v>0.97257974258533852</v>
      </c>
      <c r="AR56" s="27">
        <v>0.97956867196367758</v>
      </c>
      <c r="AS56" s="27">
        <v>0.97936419408812048</v>
      </c>
      <c r="AT56" s="27">
        <v>0.98264764012656836</v>
      </c>
      <c r="AU56" s="27">
        <v>0.98141891891891897</v>
      </c>
      <c r="AV56" s="27">
        <v>0.97117015262860373</v>
      </c>
      <c r="AW56" s="27">
        <v>0.97237880496054119</v>
      </c>
      <c r="AX56" s="27">
        <v>0.96757679180887368</v>
      </c>
      <c r="AY56" s="27">
        <v>0.96961170512099049</v>
      </c>
      <c r="AZ56" s="27">
        <v>0.97972972972972971</v>
      </c>
      <c r="BA56" s="27">
        <v>0.9758155230596175</v>
      </c>
      <c r="BB56" s="27">
        <v>0.97395737517532499</v>
      </c>
      <c r="BC56" s="27">
        <v>0.98037016264722376</v>
      </c>
      <c r="BD56" s="27">
        <v>0.97338618346545869</v>
      </c>
      <c r="BE56" s="27">
        <v>0.95377677564825258</v>
      </c>
      <c r="BF56" s="27">
        <v>0.9590210586226523</v>
      </c>
      <c r="BG56" s="27">
        <v>0.98015873015873012</v>
      </c>
      <c r="BH56" s="27">
        <v>0.97043774872086408</v>
      </c>
      <c r="BI56" s="27">
        <v>0.97631133671742809</v>
      </c>
      <c r="BJ56" s="27">
        <v>0.97049457085437296</v>
      </c>
      <c r="BK56" s="27">
        <v>0.96243093922651934</v>
      </c>
      <c r="BL56" s="27">
        <v>0.971830985915493</v>
      </c>
      <c r="BM56" s="27">
        <v>0.95168539325842694</v>
      </c>
      <c r="BN56" s="27">
        <v>0.93575895395110853</v>
      </c>
      <c r="BO56" s="27">
        <v>0.96869759642258246</v>
      </c>
      <c r="BP56" s="27">
        <v>0.96973094170403584</v>
      </c>
      <c r="BQ56" s="27">
        <v>0.97117516629711753</v>
      </c>
      <c r="BR56" s="27">
        <v>0.96161571096789777</v>
      </c>
      <c r="BS56" s="27">
        <v>0.89233469865418369</v>
      </c>
      <c r="BT56" s="27">
        <v>0.94191343963553531</v>
      </c>
      <c r="BU56" s="27">
        <v>0.90470656595002907</v>
      </c>
      <c r="BV56" s="27">
        <v>0.90793283149971049</v>
      </c>
      <c r="BW56" s="27">
        <v>0.87115496227510159</v>
      </c>
      <c r="BX56" s="27">
        <v>0.91766723842195541</v>
      </c>
      <c r="BY56" s="27">
        <v>0.85133565621370499</v>
      </c>
      <c r="BZ56" s="27">
        <v>0.89814934180717443</v>
      </c>
      <c r="CA56" s="27">
        <v>0.96526610644257704</v>
      </c>
      <c r="CB56" s="27">
        <v>0.9160393746381007</v>
      </c>
      <c r="CC56" s="27">
        <v>0.97037037037037033</v>
      </c>
      <c r="CD56" s="27">
        <v>0.96414342629482075</v>
      </c>
      <c r="CE56" s="27">
        <v>0.95167708925525862</v>
      </c>
      <c r="CF56" s="27">
        <v>0.94450736126840318</v>
      </c>
      <c r="CG56" s="27">
        <v>0.943621867881549</v>
      </c>
      <c r="CH56" s="27">
        <v>0.95080365659301147</v>
      </c>
      <c r="CI56" s="27">
        <v>0.9755301794453507</v>
      </c>
      <c r="CJ56" s="27">
        <v>0.97972972972972971</v>
      </c>
      <c r="CK56" s="27">
        <v>0.97435897435897434</v>
      </c>
      <c r="CL56" s="27">
        <v>0.96875</v>
      </c>
      <c r="CM56" s="27">
        <v>0.97175448126018471</v>
      </c>
      <c r="CN56" s="27">
        <v>0.98400441257584115</v>
      </c>
      <c r="CO56" s="27">
        <v>0.97572815533980584</v>
      </c>
      <c r="CP56" s="27">
        <v>0.97569370467284089</v>
      </c>
      <c r="CQ56" s="27">
        <v>0.97127371273712737</v>
      </c>
      <c r="CR56" s="27">
        <v>0.96886947023484438</v>
      </c>
      <c r="CS56" s="27">
        <v>0.96875</v>
      </c>
      <c r="CT56" s="27">
        <v>0.95322939866369716</v>
      </c>
      <c r="CU56" s="27">
        <v>0.971600218459858</v>
      </c>
      <c r="CV56" s="27">
        <v>0.97264770240700216</v>
      </c>
      <c r="CW56" s="27">
        <v>0.969060773480663</v>
      </c>
      <c r="CX56" s="27">
        <v>0.96791875371188463</v>
      </c>
    </row>
    <row r="57" spans="38:102" x14ac:dyDescent="0.35">
      <c r="AL57" s="16" t="s">
        <v>239</v>
      </c>
      <c r="AM57" s="27">
        <v>0.97482376636455181</v>
      </c>
      <c r="AN57" s="27">
        <v>0.97402597402597402</v>
      </c>
      <c r="AO57" s="27">
        <v>0.98073022312373226</v>
      </c>
      <c r="AP57" s="27">
        <v>0.98569969356486209</v>
      </c>
      <c r="AQ57" s="27">
        <v>0.98409542743538769</v>
      </c>
      <c r="AR57" s="27">
        <v>0.99302788844621515</v>
      </c>
      <c r="AS57" s="27">
        <v>0.9859154929577465</v>
      </c>
      <c r="AT57" s="27">
        <v>0.98261692370263842</v>
      </c>
      <c r="AU57" s="27">
        <v>0.99505928853754944</v>
      </c>
      <c r="AV57" s="27">
        <v>0.99496475327291034</v>
      </c>
      <c r="AW57" s="27">
        <v>0.97578203834510591</v>
      </c>
      <c r="AX57" s="27">
        <v>0.9850746268656716</v>
      </c>
      <c r="AY57" s="27">
        <v>0.99276859504132231</v>
      </c>
      <c r="AZ57" s="27">
        <v>0.98310139165009935</v>
      </c>
      <c r="BA57" s="27">
        <v>0.98714144411473792</v>
      </c>
      <c r="BB57" s="27">
        <v>0.98769887683248514</v>
      </c>
      <c r="BC57" s="27">
        <v>0.9829145728643216</v>
      </c>
      <c r="BD57" s="27">
        <v>0.98622047244094491</v>
      </c>
      <c r="BE57" s="27">
        <v>0.95574288724973655</v>
      </c>
      <c r="BF57" s="27">
        <v>0.97872340425531912</v>
      </c>
      <c r="BG57" s="27">
        <v>0.98678861788617889</v>
      </c>
      <c r="BH57" s="27">
        <v>0.98897795591182369</v>
      </c>
      <c r="BI57" s="27">
        <v>0.99292214357937314</v>
      </c>
      <c r="BJ57" s="27">
        <v>0.98175572202681405</v>
      </c>
      <c r="BK57" s="27">
        <v>0.99197592778335009</v>
      </c>
      <c r="BL57" s="27">
        <v>0.96984924623115576</v>
      </c>
      <c r="BM57" s="27">
        <v>0.9785276073619632</v>
      </c>
      <c r="BN57" s="27">
        <v>0.96288659793814435</v>
      </c>
      <c r="BO57" s="27">
        <v>0.98199999999999998</v>
      </c>
      <c r="BP57" s="27">
        <v>0.97332015810276684</v>
      </c>
      <c r="BQ57" s="27">
        <v>0.98021760633036592</v>
      </c>
      <c r="BR57" s="27">
        <v>0.97696816339253512</v>
      </c>
      <c r="BS57" s="27">
        <v>0.96587383660806614</v>
      </c>
      <c r="BT57" s="27">
        <v>0.96701030927835052</v>
      </c>
      <c r="BU57" s="27">
        <v>0.96677050882658355</v>
      </c>
      <c r="BV57" s="27">
        <v>0.99285714285714288</v>
      </c>
      <c r="BW57" s="27">
        <v>0.94747899159663862</v>
      </c>
      <c r="BX57" s="27">
        <v>0.93717816683831101</v>
      </c>
      <c r="BY57" s="27">
        <v>0.90384615384615385</v>
      </c>
      <c r="BZ57" s="27">
        <v>0.95443072997874956</v>
      </c>
      <c r="CA57" s="27">
        <v>0.9939393939393939</v>
      </c>
      <c r="CB57" s="27">
        <v>0.97371081900910006</v>
      </c>
      <c r="CC57" s="27">
        <v>0.981018981018981</v>
      </c>
      <c r="CD57" s="27">
        <v>0.98217821782178216</v>
      </c>
      <c r="CE57" s="27">
        <v>0.98270600203458802</v>
      </c>
      <c r="CF57" s="27">
        <v>0.99296482412060305</v>
      </c>
      <c r="CG57" s="27">
        <v>0.96157735085945395</v>
      </c>
      <c r="CH57" s="27">
        <v>0.9811565126862718</v>
      </c>
      <c r="CI57" s="27">
        <v>0.97924901185770752</v>
      </c>
      <c r="CJ57" s="27">
        <v>0.97553816046966735</v>
      </c>
      <c r="CK57" s="27">
        <v>0.98195329087048833</v>
      </c>
      <c r="CL57" s="27">
        <v>0.97363083164300201</v>
      </c>
      <c r="CM57" s="27">
        <v>0.98915187376725833</v>
      </c>
      <c r="CN57" s="27">
        <v>0.98553519768563158</v>
      </c>
      <c r="CO57" s="27">
        <v>0.98838334946757023</v>
      </c>
      <c r="CP57" s="27">
        <v>0.98192024510876075</v>
      </c>
      <c r="CQ57" s="27">
        <v>0.96875</v>
      </c>
      <c r="CR57" s="27">
        <v>0.9821428571428571</v>
      </c>
      <c r="CS57" s="27">
        <v>0.96126401630988789</v>
      </c>
      <c r="CT57" s="27">
        <v>1</v>
      </c>
      <c r="CU57" s="27">
        <v>0.98729227761485827</v>
      </c>
      <c r="CV57" s="27">
        <v>0.9794921875</v>
      </c>
      <c r="CW57" s="27">
        <v>0.99117647058823533</v>
      </c>
      <c r="CX57" s="27">
        <v>0.98144540130797697</v>
      </c>
    </row>
    <row r="58" spans="38:102" x14ac:dyDescent="0.35">
      <c r="AL58" s="16" t="s">
        <v>240</v>
      </c>
      <c r="AM58" s="27">
        <v>0.91025641025641024</v>
      </c>
      <c r="AN58" s="27">
        <v>0.80128205128205132</v>
      </c>
      <c r="AO58" s="27">
        <v>0.91025641025641024</v>
      </c>
      <c r="AP58" s="27">
        <v>0.83333333333333337</v>
      </c>
      <c r="AQ58" s="27">
        <v>0.9358974358974359</v>
      </c>
      <c r="AR58" s="27">
        <v>0.8141025641025641</v>
      </c>
      <c r="AS58" s="27">
        <v>0.89743589743589747</v>
      </c>
      <c r="AT58" s="27">
        <v>0.87179487179487192</v>
      </c>
      <c r="AU58" s="27">
        <v>0.8141025641025641</v>
      </c>
      <c r="AV58" s="27">
        <v>0.89102564102564108</v>
      </c>
      <c r="AW58" s="27">
        <v>0.82051282051282048</v>
      </c>
      <c r="AX58" s="27">
        <v>0.8141025641025641</v>
      </c>
      <c r="AY58" s="27">
        <v>0.86538461538461542</v>
      </c>
      <c r="AZ58" s="27">
        <v>0.96153846153846156</v>
      </c>
      <c r="BA58" s="27">
        <v>0.9358974358974359</v>
      </c>
      <c r="BB58" s="27">
        <v>0.8717948717948717</v>
      </c>
      <c r="BC58" s="27">
        <v>0.9358974358974359</v>
      </c>
      <c r="BD58" s="27">
        <v>0.91025641025641024</v>
      </c>
      <c r="BE58" s="27">
        <v>0.88461538461538458</v>
      </c>
      <c r="BF58" s="27">
        <v>0.85256410256410253</v>
      </c>
      <c r="BG58" s="27">
        <v>0.87179487179487181</v>
      </c>
      <c r="BH58" s="27">
        <v>0.89102564102564108</v>
      </c>
      <c r="BI58" s="27">
        <v>0.92307692307692313</v>
      </c>
      <c r="BJ58" s="27">
        <v>0.89560439560439542</v>
      </c>
      <c r="BK58" s="27">
        <v>0.82051282051282048</v>
      </c>
      <c r="BL58" s="27">
        <v>0.86538461538461542</v>
      </c>
      <c r="BM58" s="27">
        <v>0.83333333333333337</v>
      </c>
      <c r="BN58" s="27">
        <v>0.84615384615384615</v>
      </c>
      <c r="BO58" s="27">
        <v>0.87179487179487181</v>
      </c>
      <c r="BP58" s="27">
        <v>0.91025641025641024</v>
      </c>
      <c r="BQ58" s="27">
        <v>0.88461538461538458</v>
      </c>
      <c r="BR58" s="27">
        <v>0.86172161172161155</v>
      </c>
      <c r="BS58" s="27">
        <v>0.55769230769230771</v>
      </c>
      <c r="BT58" s="27">
        <v>0.83974358974358976</v>
      </c>
      <c r="BU58" s="27">
        <v>0.51923076923076927</v>
      </c>
      <c r="BV58" s="27">
        <v>0.49358974358974361</v>
      </c>
      <c r="BW58" s="27">
        <v>0.55769230769230771</v>
      </c>
      <c r="BX58" s="27">
        <v>0.71794871794871795</v>
      </c>
      <c r="BY58" s="27">
        <v>0.57692307692307687</v>
      </c>
      <c r="BZ58" s="27">
        <v>0.60897435897435892</v>
      </c>
      <c r="CA58" s="27">
        <v>0.58333333333333337</v>
      </c>
      <c r="CB58" s="27">
        <v>0.5641025641025641</v>
      </c>
      <c r="CC58" s="27">
        <v>0.64102564102564108</v>
      </c>
      <c r="CD58" s="27">
        <v>0.67307692307692313</v>
      </c>
      <c r="CE58" s="27">
        <v>0.58333333333333337</v>
      </c>
      <c r="CF58" s="27">
        <v>0.48717948717948717</v>
      </c>
      <c r="CG58" s="27">
        <v>0.54487179487179482</v>
      </c>
      <c r="CH58" s="27">
        <v>0.58241758241758246</v>
      </c>
      <c r="CI58" s="27">
        <v>0.87820512820512819</v>
      </c>
      <c r="CJ58" s="27">
        <v>0.80128205128205132</v>
      </c>
      <c r="CK58" s="27">
        <v>0.83333333333333337</v>
      </c>
      <c r="CL58" s="27">
        <v>0.8141025641025641</v>
      </c>
      <c r="CM58" s="27">
        <v>0.85897435897435892</v>
      </c>
      <c r="CN58" s="27">
        <v>0.83974358974358976</v>
      </c>
      <c r="CO58" s="27">
        <v>0.8141025641025641</v>
      </c>
      <c r="CP58" s="27">
        <v>0.83424908424908417</v>
      </c>
      <c r="CQ58" s="27">
        <v>0.76923076923076927</v>
      </c>
      <c r="CR58" s="27">
        <v>0.90384615384615385</v>
      </c>
      <c r="CS58" s="27">
        <v>0.6858974358974359</v>
      </c>
      <c r="CT58" s="27">
        <v>0.63461538461538458</v>
      </c>
      <c r="CU58" s="27">
        <v>0.84615384615384615</v>
      </c>
      <c r="CV58" s="27">
        <v>0.88461538461538458</v>
      </c>
      <c r="CW58" s="27">
        <v>0.91666666666666663</v>
      </c>
      <c r="CX58" s="27">
        <v>0.80586080586080577</v>
      </c>
    </row>
    <row r="59" spans="38:102" x14ac:dyDescent="0.35">
      <c r="AL59" s="16" t="s">
        <v>241</v>
      </c>
      <c r="AM59" s="27">
        <v>0.96408317580340264</v>
      </c>
      <c r="AN59" s="27">
        <v>0.96408317580340264</v>
      </c>
      <c r="AO59" s="27">
        <v>0.96408317580340264</v>
      </c>
      <c r="AP59" s="27">
        <v>0.96408317580340264</v>
      </c>
      <c r="AQ59" s="27">
        <v>0.96408317580340264</v>
      </c>
      <c r="AR59" s="27">
        <v>0.96408317580340264</v>
      </c>
      <c r="AS59" s="27">
        <v>0.96408317580340264</v>
      </c>
      <c r="AT59" s="27">
        <v>0.96408317580340264</v>
      </c>
      <c r="AU59" s="27">
        <v>0.9780564263322884</v>
      </c>
      <c r="AV59" s="27">
        <v>0.9779458097038437</v>
      </c>
      <c r="AW59" s="27">
        <v>0.97484276729559749</v>
      </c>
      <c r="AX59" s="27">
        <v>0.96745932415519398</v>
      </c>
      <c r="AY59" s="27">
        <v>0.98424700693131695</v>
      </c>
      <c r="AZ59" s="27">
        <v>0.98676748582230622</v>
      </c>
      <c r="BA59" s="27">
        <v>0.9779458097038437</v>
      </c>
      <c r="BB59" s="27">
        <v>0.9781806614206271</v>
      </c>
      <c r="BC59" s="27">
        <v>0.96247654784240155</v>
      </c>
      <c r="BD59" s="27">
        <v>0.97812500000000002</v>
      </c>
      <c r="BE59" s="27">
        <v>0.97001873828856966</v>
      </c>
      <c r="BF59" s="27">
        <v>0.96112852664576798</v>
      </c>
      <c r="BG59" s="27">
        <v>0.97864321608040206</v>
      </c>
      <c r="BH59" s="27">
        <v>0.98181818181818181</v>
      </c>
      <c r="BI59" s="27">
        <v>0.98496240601503759</v>
      </c>
      <c r="BJ59" s="27">
        <v>0.97388180238433719</v>
      </c>
      <c r="BK59" s="27">
        <v>0.96259351620947631</v>
      </c>
      <c r="BL59" s="27">
        <v>0.96549560853199501</v>
      </c>
      <c r="BM59" s="27">
        <v>0.95392278953922793</v>
      </c>
      <c r="BN59" s="27">
        <v>0.97080745341614905</v>
      </c>
      <c r="BO59" s="27">
        <v>0.97499999999999998</v>
      </c>
      <c r="BP59" s="27">
        <v>0.97872340425531912</v>
      </c>
      <c r="BQ59" s="27">
        <v>0.97687500000000005</v>
      </c>
      <c r="BR59" s="27">
        <v>0.9690596817074526</v>
      </c>
      <c r="BS59" s="27">
        <v>0.94371482176360222</v>
      </c>
      <c r="BT59" s="27">
        <v>0.96395276569297705</v>
      </c>
      <c r="BU59" s="27">
        <v>0.93316677076826982</v>
      </c>
      <c r="BV59" s="27">
        <v>0.94592914853946553</v>
      </c>
      <c r="BW59" s="27">
        <v>0.92489137181874614</v>
      </c>
      <c r="BX59" s="27">
        <v>0.95199501246882789</v>
      </c>
      <c r="BY59" s="27">
        <v>0.89837905236907734</v>
      </c>
      <c r="BZ59" s="27">
        <v>0.93743270620299513</v>
      </c>
      <c r="CA59" s="27">
        <v>0.98129675810473815</v>
      </c>
      <c r="CB59" s="27">
        <v>0.9600748596381784</v>
      </c>
      <c r="CC59" s="27">
        <v>0.96134969325153374</v>
      </c>
      <c r="CD59" s="27">
        <v>0.96160877513711152</v>
      </c>
      <c r="CE59" s="27">
        <v>0.96204107031736152</v>
      </c>
      <c r="CF59" s="27">
        <v>0.96693699313786652</v>
      </c>
      <c r="CG59" s="27">
        <v>0.95344506517690875</v>
      </c>
      <c r="CH59" s="27">
        <v>0.96382188782338551</v>
      </c>
      <c r="CI59" s="27">
        <v>0.96726374305126617</v>
      </c>
      <c r="CJ59" s="27">
        <v>0.9688454489920586</v>
      </c>
      <c r="CK59" s="27">
        <v>0.94935145151327982</v>
      </c>
      <c r="CL59" s="27">
        <v>0.94960049170251992</v>
      </c>
      <c r="CM59" s="27">
        <v>0.95673369896404636</v>
      </c>
      <c r="CN59" s="27">
        <v>0.97493887530562351</v>
      </c>
      <c r="CO59" s="27">
        <v>0.98154981549815501</v>
      </c>
      <c r="CP59" s="27">
        <v>0.96404050357527848</v>
      </c>
      <c r="CQ59" s="27">
        <v>0.97162245527452185</v>
      </c>
      <c r="CR59" s="27">
        <v>0.96734442390634623</v>
      </c>
      <c r="CS59" s="27">
        <v>0.96177558569667077</v>
      </c>
      <c r="CT59" s="27">
        <v>0.9573283858998145</v>
      </c>
      <c r="CU59" s="27">
        <v>0.97654320987654319</v>
      </c>
      <c r="CV59" s="27">
        <v>0.9721706864564007</v>
      </c>
      <c r="CW59" s="27">
        <v>0.96971569839307792</v>
      </c>
      <c r="CX59" s="27">
        <v>0.96807149221476796</v>
      </c>
    </row>
    <row r="60" spans="38:102" x14ac:dyDescent="0.35">
      <c r="AL60" s="16" t="s">
        <v>242</v>
      </c>
      <c r="AM60" s="27">
        <v>0.5</v>
      </c>
      <c r="AN60" s="27">
        <v>0.33333333333333331</v>
      </c>
      <c r="AO60" s="27">
        <v>0.5</v>
      </c>
      <c r="AP60" s="27">
        <v>0.5</v>
      </c>
      <c r="AQ60" s="27">
        <v>0.70833333333333337</v>
      </c>
      <c r="AR60" s="27">
        <v>0.70833333333333337</v>
      </c>
      <c r="AS60" s="27">
        <v>0.75</v>
      </c>
      <c r="AT60" s="27">
        <v>0.5714285714285714</v>
      </c>
      <c r="AU60" s="27">
        <v>0.66666666666666663</v>
      </c>
      <c r="AV60" s="27">
        <v>0.375</v>
      </c>
      <c r="AW60" s="27">
        <v>0.70833333333333337</v>
      </c>
      <c r="AX60" s="27">
        <v>0.33333333333333331</v>
      </c>
      <c r="AY60" s="27">
        <v>0.625</v>
      </c>
      <c r="AZ60" s="27">
        <v>0.41666666666666669</v>
      </c>
      <c r="BA60" s="27">
        <v>0.5</v>
      </c>
      <c r="BB60" s="27">
        <v>0.5178571428571429</v>
      </c>
      <c r="BC60" s="27">
        <v>0.875</v>
      </c>
      <c r="BD60" s="27">
        <v>0.5</v>
      </c>
      <c r="BE60" s="27">
        <v>0.83333333333333337</v>
      </c>
      <c r="BF60" s="27">
        <v>0.58333333333333337</v>
      </c>
      <c r="BG60" s="27">
        <v>0.91666666666666663</v>
      </c>
      <c r="BH60" s="27">
        <v>0.58333333333333337</v>
      </c>
      <c r="BI60" s="27">
        <v>0.625</v>
      </c>
      <c r="BJ60" s="27">
        <v>0.70238095238095233</v>
      </c>
      <c r="BK60" s="27">
        <v>0.875</v>
      </c>
      <c r="BL60" s="27">
        <v>0.625</v>
      </c>
      <c r="BM60" s="27">
        <v>0.70833333333333337</v>
      </c>
      <c r="BN60" s="27">
        <v>0.58333333333333337</v>
      </c>
      <c r="BO60" s="27">
        <v>0.70833333333333337</v>
      </c>
      <c r="BP60" s="27">
        <v>0.79166666666666663</v>
      </c>
      <c r="BQ60" s="27">
        <v>0.75</v>
      </c>
      <c r="BR60" s="27">
        <v>0.72023809523809512</v>
      </c>
      <c r="BS60" s="27">
        <v>0.375</v>
      </c>
      <c r="BT60" s="27">
        <v>0.375</v>
      </c>
      <c r="BU60" s="27">
        <v>0.66666666666666663</v>
      </c>
      <c r="BV60" s="27">
        <v>0.375</v>
      </c>
      <c r="BW60" s="27">
        <v>0.33333333333333331</v>
      </c>
      <c r="BX60" s="27">
        <v>0.29166666666666669</v>
      </c>
      <c r="BY60" s="27">
        <v>0.33333333333333331</v>
      </c>
      <c r="BZ60" s="27">
        <v>0.39285714285714285</v>
      </c>
      <c r="CA60" s="27">
        <v>0.33333333333333331</v>
      </c>
      <c r="CB60" s="27">
        <v>0.33333333333333331</v>
      </c>
      <c r="CC60" s="27">
        <v>0.41666666666666669</v>
      </c>
      <c r="CD60" s="27">
        <v>0.41666666666666669</v>
      </c>
      <c r="CE60" s="27">
        <v>0.33333333333333331</v>
      </c>
      <c r="CF60" s="27">
        <v>0.66666666666666663</v>
      </c>
      <c r="CG60" s="27">
        <v>0.66666666666666663</v>
      </c>
      <c r="CH60" s="27">
        <v>0.45238095238095227</v>
      </c>
      <c r="CI60" s="27">
        <v>0.5</v>
      </c>
      <c r="CJ60" s="27">
        <v>0.33333333333333331</v>
      </c>
      <c r="CK60" s="27">
        <v>0.54166666666666663</v>
      </c>
      <c r="CL60" s="27">
        <v>0.70833333333333337</v>
      </c>
      <c r="CM60" s="27">
        <v>0.75</v>
      </c>
      <c r="CN60" s="27">
        <v>0.375</v>
      </c>
      <c r="CO60" s="27">
        <v>0.58333333333333337</v>
      </c>
      <c r="CP60" s="27">
        <v>0.54166666666666663</v>
      </c>
      <c r="CQ60" s="27">
        <v>0.66666666666666663</v>
      </c>
      <c r="CR60" s="27">
        <v>0.45833333333333331</v>
      </c>
      <c r="CS60" s="27">
        <v>0.625</v>
      </c>
      <c r="CT60" s="27">
        <v>0.54166666666666663</v>
      </c>
      <c r="CU60" s="27">
        <v>0.875</v>
      </c>
      <c r="CV60" s="27">
        <v>0.625</v>
      </c>
      <c r="CW60" s="27">
        <v>0.70833333333333337</v>
      </c>
      <c r="CX60" s="27">
        <v>0.6428571428571429</v>
      </c>
    </row>
    <row r="61" spans="38:102" x14ac:dyDescent="0.35">
      <c r="AL61" s="16" t="s">
        <v>243</v>
      </c>
      <c r="AM61" s="27">
        <v>0.94940202391904327</v>
      </c>
      <c r="AN61" s="27">
        <v>0.93557422969187676</v>
      </c>
      <c r="AO61" s="27">
        <v>0.95238095238095233</v>
      </c>
      <c r="AP61" s="27">
        <v>0.93603010348071491</v>
      </c>
      <c r="AQ61" s="27">
        <v>0.95628415300546443</v>
      </c>
      <c r="AR61" s="27">
        <v>0.95541401273885351</v>
      </c>
      <c r="AS61" s="27">
        <v>0.93956043956043955</v>
      </c>
      <c r="AT61" s="27">
        <v>0.94637798782533511</v>
      </c>
      <c r="AU61" s="27">
        <v>0.95522388059701491</v>
      </c>
      <c r="AV61" s="27">
        <v>0.93173431734317347</v>
      </c>
      <c r="AW61" s="27">
        <v>0.93545369504209541</v>
      </c>
      <c r="AX61" s="27">
        <v>0.95794392523364491</v>
      </c>
      <c r="AY61" s="27">
        <v>0.9630314232902033</v>
      </c>
      <c r="AZ61" s="27">
        <v>0.95081967213114749</v>
      </c>
      <c r="BA61" s="27">
        <v>0.95137614678899085</v>
      </c>
      <c r="BB61" s="27">
        <v>0.94936900863232432</v>
      </c>
      <c r="BC61" s="27">
        <v>0.9507299270072993</v>
      </c>
      <c r="BD61" s="27">
        <v>0.95937211449676829</v>
      </c>
      <c r="BE61" s="27">
        <v>0.94864612511671331</v>
      </c>
      <c r="BF61" s="27">
        <v>0.96981132075471699</v>
      </c>
      <c r="BG61" s="27">
        <v>0.96139705882352944</v>
      </c>
      <c r="BH61" s="27">
        <v>0.95791399817017386</v>
      </c>
      <c r="BI61" s="27">
        <v>0.96051423324150598</v>
      </c>
      <c r="BJ61" s="27">
        <v>0.95834068251581528</v>
      </c>
      <c r="BK61" s="27">
        <v>0.94634597594819614</v>
      </c>
      <c r="BL61" s="27">
        <v>0.96461824953445063</v>
      </c>
      <c r="BM61" s="27">
        <v>0.92877225866916591</v>
      </c>
      <c r="BN61" s="27">
        <v>0.93010251630941287</v>
      </c>
      <c r="BO61" s="27">
        <v>0.9633363886342805</v>
      </c>
      <c r="BP61" s="27">
        <v>0.96860986547085204</v>
      </c>
      <c r="BQ61" s="27">
        <v>0.97130044843049324</v>
      </c>
      <c r="BR61" s="27">
        <v>0.95329795757097868</v>
      </c>
      <c r="BS61" s="27">
        <v>0.93093922651933703</v>
      </c>
      <c r="BT61" s="27">
        <v>0.937442502299908</v>
      </c>
      <c r="BU61" s="27">
        <v>0.93061979648473636</v>
      </c>
      <c r="BV61" s="27">
        <v>0.93779015784586817</v>
      </c>
      <c r="BW61" s="27">
        <v>0.9143126177024482</v>
      </c>
      <c r="BX61" s="27">
        <v>0.96687555953446735</v>
      </c>
      <c r="BY61" s="27">
        <v>0.96687555953446735</v>
      </c>
      <c r="BZ61" s="27">
        <v>0.94069363141731888</v>
      </c>
      <c r="CA61" s="27">
        <v>0.96520146520146521</v>
      </c>
      <c r="CB61" s="27">
        <v>0.94280442804428044</v>
      </c>
      <c r="CC61" s="27">
        <v>0.96268656716417911</v>
      </c>
      <c r="CD61" s="27">
        <v>0.96306555863342569</v>
      </c>
      <c r="CE61" s="27">
        <v>0.94674012855831036</v>
      </c>
      <c r="CF61" s="27">
        <v>0.94139194139194138</v>
      </c>
      <c r="CG61" s="27">
        <v>0.94444444444444442</v>
      </c>
      <c r="CH61" s="27">
        <v>0.95233350477686385</v>
      </c>
      <c r="CI61" s="27">
        <v>0.96195652173913049</v>
      </c>
      <c r="CJ61" s="27">
        <v>0.96340347666971637</v>
      </c>
      <c r="CK61" s="27">
        <v>0.9616438356164384</v>
      </c>
      <c r="CL61" s="27">
        <v>0.96283185840707963</v>
      </c>
      <c r="CM61" s="27">
        <v>0.95336322869955159</v>
      </c>
      <c r="CN61" s="27">
        <v>0.97686832740213525</v>
      </c>
      <c r="CO61" s="27">
        <v>0.97249334516415264</v>
      </c>
      <c r="CP61" s="27">
        <v>0.96465151338545774</v>
      </c>
      <c r="CQ61" s="27">
        <v>0.9695613249776186</v>
      </c>
      <c r="CR61" s="27">
        <v>0.96185286103542234</v>
      </c>
      <c r="CS61" s="27">
        <v>0.95220919747520294</v>
      </c>
      <c r="CT61" s="27">
        <v>0.94887892376681615</v>
      </c>
      <c r="CU61" s="27">
        <v>0.96799999999999997</v>
      </c>
      <c r="CV61" s="27">
        <v>0.97589285714285712</v>
      </c>
      <c r="CW61" s="27">
        <v>0.97426796805678795</v>
      </c>
      <c r="CX61" s="27">
        <v>0.96438044749352936</v>
      </c>
    </row>
    <row r="62" spans="38:102" x14ac:dyDescent="0.35">
      <c r="AL62" s="16" t="s">
        <v>244</v>
      </c>
      <c r="AM62" s="27">
        <v>0.87625899280575537</v>
      </c>
      <c r="AN62" s="27">
        <v>0.89316239316239321</v>
      </c>
      <c r="AO62" s="27">
        <v>0.8446043165467626</v>
      </c>
      <c r="AP62" s="27">
        <v>0.86819484240687683</v>
      </c>
      <c r="AQ62" s="27">
        <v>0.88873038516405134</v>
      </c>
      <c r="AR62" s="27">
        <v>0.89473684210526316</v>
      </c>
      <c r="AS62" s="27">
        <v>0.89586305278174039</v>
      </c>
      <c r="AT62" s="27">
        <v>0.88022154642469175</v>
      </c>
      <c r="AU62" s="27">
        <v>0.87878787878787878</v>
      </c>
      <c r="AV62" s="27">
        <v>0.8737446197991392</v>
      </c>
      <c r="AW62" s="27">
        <v>0.86023054755043227</v>
      </c>
      <c r="AX62" s="27">
        <v>0.88583815028901736</v>
      </c>
      <c r="AY62" s="27">
        <v>0.88571428571428568</v>
      </c>
      <c r="AZ62" s="27">
        <v>0.87948350071736014</v>
      </c>
      <c r="BA62" s="27">
        <v>0.87356321839080464</v>
      </c>
      <c r="BB62" s="27">
        <v>0.87676602874984533</v>
      </c>
      <c r="BC62" s="27">
        <v>0.84760522496371549</v>
      </c>
      <c r="BD62" s="27">
        <v>0.87643678160919536</v>
      </c>
      <c r="BE62" s="27">
        <v>0.85260115606936415</v>
      </c>
      <c r="BF62" s="27">
        <v>0.86994219653179194</v>
      </c>
      <c r="BG62" s="27">
        <v>0.85942028985507246</v>
      </c>
      <c r="BH62" s="27">
        <v>0.87948350071736014</v>
      </c>
      <c r="BI62" s="27">
        <v>0.86811594202898545</v>
      </c>
      <c r="BJ62" s="27">
        <v>0.86480072739649783</v>
      </c>
      <c r="BK62" s="27">
        <v>0.87356321839080464</v>
      </c>
      <c r="BL62" s="27">
        <v>0.88</v>
      </c>
      <c r="BM62" s="27">
        <v>0.83597122302158278</v>
      </c>
      <c r="BN62" s="27">
        <v>0.8472622478386167</v>
      </c>
      <c r="BO62" s="27">
        <v>0.86043165467625904</v>
      </c>
      <c r="BP62" s="27">
        <v>0.88522238163558109</v>
      </c>
      <c r="BQ62" s="27">
        <v>0.87696709585121602</v>
      </c>
      <c r="BR62" s="27">
        <v>0.86563111734486586</v>
      </c>
      <c r="BS62" s="27">
        <v>0.8517985611510791</v>
      </c>
      <c r="BT62" s="27">
        <v>0.85650887573964496</v>
      </c>
      <c r="BU62" s="27">
        <v>0.83884892086330931</v>
      </c>
      <c r="BV62" s="27">
        <v>0.85775862068965514</v>
      </c>
      <c r="BW62" s="27">
        <v>0.85425685425685427</v>
      </c>
      <c r="BX62" s="27">
        <v>0.84559884559884557</v>
      </c>
      <c r="BY62" s="27">
        <v>0.77665706051873196</v>
      </c>
      <c r="BZ62" s="27">
        <v>0.84020396268830289</v>
      </c>
      <c r="CA62" s="27">
        <v>0.89</v>
      </c>
      <c r="CB62" s="27">
        <v>0.86962750716332382</v>
      </c>
      <c r="CC62" s="27">
        <v>0.88571428571428568</v>
      </c>
      <c r="CD62" s="27">
        <v>0.89428571428571424</v>
      </c>
      <c r="CE62" s="27">
        <v>0.89556509298998566</v>
      </c>
      <c r="CF62" s="27">
        <v>0.88</v>
      </c>
      <c r="CG62" s="27">
        <v>0.89828080229226359</v>
      </c>
      <c r="CH62" s="27">
        <v>0.88763905749222471</v>
      </c>
      <c r="CI62" s="27">
        <v>0.89161849710982655</v>
      </c>
      <c r="CJ62" s="27">
        <v>0.8995695839311334</v>
      </c>
      <c r="CK62" s="27">
        <v>0.87988422575976843</v>
      </c>
      <c r="CL62" s="27">
        <v>0.88856729377713461</v>
      </c>
      <c r="CM62" s="27">
        <v>0.88184438040345825</v>
      </c>
      <c r="CN62" s="27">
        <v>0.89556509298998566</v>
      </c>
      <c r="CO62" s="27">
        <v>0.88362068965517238</v>
      </c>
      <c r="CP62" s="27">
        <v>0.88866710908949709</v>
      </c>
      <c r="CQ62" s="27">
        <v>0.90014265335235377</v>
      </c>
      <c r="CR62" s="27">
        <v>0.89413447782546496</v>
      </c>
      <c r="CS62" s="27">
        <v>0.8968481375358166</v>
      </c>
      <c r="CT62" s="27">
        <v>0.90557939914163088</v>
      </c>
      <c r="CU62" s="27">
        <v>0.90100430416068866</v>
      </c>
      <c r="CV62" s="27">
        <v>0.89367816091954022</v>
      </c>
      <c r="CW62" s="27">
        <v>0.89739884393063585</v>
      </c>
      <c r="CX62" s="27">
        <v>0.89839799669516152</v>
      </c>
    </row>
    <row r="63" spans="38:102" x14ac:dyDescent="0.35">
      <c r="AL63" s="16" t="s">
        <v>245</v>
      </c>
      <c r="AM63" s="27">
        <v>0.96406660823838741</v>
      </c>
      <c r="AN63" s="27">
        <v>0.93733567046450483</v>
      </c>
      <c r="AO63" s="27">
        <v>0.96406660823838741</v>
      </c>
      <c r="AP63" s="27">
        <v>0.96406660823838741</v>
      </c>
      <c r="AQ63" s="27">
        <v>0.95617879053461874</v>
      </c>
      <c r="AR63" s="27">
        <v>0.95442594215600352</v>
      </c>
      <c r="AS63" s="27">
        <v>0.94697633654688873</v>
      </c>
      <c r="AT63" s="27">
        <v>0.95530236634531118</v>
      </c>
      <c r="AU63" s="27">
        <v>0.94434706397896584</v>
      </c>
      <c r="AV63" s="27">
        <v>0.93295354951796672</v>
      </c>
      <c r="AW63" s="27">
        <v>0.91016652059596848</v>
      </c>
      <c r="AX63" s="27">
        <v>0.91630148992112181</v>
      </c>
      <c r="AY63" s="27">
        <v>0.95179666958808062</v>
      </c>
      <c r="AZ63" s="27">
        <v>0.96581945661700264</v>
      </c>
      <c r="BA63" s="27">
        <v>0.95836985100788785</v>
      </c>
      <c r="BB63" s="27">
        <v>0.93996494303242772</v>
      </c>
      <c r="BC63" s="27">
        <v>0.94215600350569673</v>
      </c>
      <c r="BD63" s="27">
        <v>0.92725679228746716</v>
      </c>
      <c r="BE63" s="27">
        <v>0.91367221735319892</v>
      </c>
      <c r="BF63" s="27">
        <v>0.90841367221735325</v>
      </c>
      <c r="BG63" s="27">
        <v>0.93426818580192816</v>
      </c>
      <c r="BH63" s="27">
        <v>0.94259421560035062</v>
      </c>
      <c r="BI63" s="27">
        <v>0.93689745836985105</v>
      </c>
      <c r="BJ63" s="27">
        <v>0.92932264930512076</v>
      </c>
      <c r="BK63" s="27">
        <v>0.93382997370727427</v>
      </c>
      <c r="BL63" s="27">
        <v>0.92243645924627515</v>
      </c>
      <c r="BM63" s="27">
        <v>0.90797546012269936</v>
      </c>
      <c r="BN63" s="27">
        <v>0.89745836985100791</v>
      </c>
      <c r="BO63" s="27">
        <v>0.93952673093777384</v>
      </c>
      <c r="BP63" s="27">
        <v>0.93470639789658194</v>
      </c>
      <c r="BQ63" s="27">
        <v>0.94566170026292729</v>
      </c>
      <c r="BR63" s="27">
        <v>0.92594215600350582</v>
      </c>
      <c r="BS63" s="27">
        <v>0.85144609991235753</v>
      </c>
      <c r="BT63" s="27">
        <v>0.89702015775635413</v>
      </c>
      <c r="BU63" s="27">
        <v>0.86021034180543388</v>
      </c>
      <c r="BV63" s="27">
        <v>0.85582822085889576</v>
      </c>
      <c r="BW63" s="27">
        <v>0.81726555652936017</v>
      </c>
      <c r="BX63" s="27">
        <v>0.87992988606485534</v>
      </c>
      <c r="BY63" s="27">
        <v>0.79798422436459249</v>
      </c>
      <c r="BZ63" s="27">
        <v>0.85138349818454995</v>
      </c>
      <c r="CA63" s="27">
        <v>0.91121908127208484</v>
      </c>
      <c r="CB63" s="27">
        <v>0.8926380368098159</v>
      </c>
      <c r="CC63" s="27">
        <v>0.90150176678445226</v>
      </c>
      <c r="CD63" s="27">
        <v>0.90017667844522964</v>
      </c>
      <c r="CE63" s="27">
        <v>0.90052585451358458</v>
      </c>
      <c r="CF63" s="27">
        <v>0.90359333917616125</v>
      </c>
      <c r="CG63" s="27">
        <v>0.90359333917616125</v>
      </c>
      <c r="CH63" s="27">
        <v>0.90189258516821291</v>
      </c>
      <c r="CI63" s="27">
        <v>0.93683745583038869</v>
      </c>
      <c r="CJ63" s="27">
        <v>0.92093639575971731</v>
      </c>
      <c r="CK63" s="27">
        <v>0.91916961130742048</v>
      </c>
      <c r="CL63" s="27">
        <v>0.92314487632508835</v>
      </c>
      <c r="CM63" s="27">
        <v>0.93860424028268552</v>
      </c>
      <c r="CN63" s="27">
        <v>0.92932862190812726</v>
      </c>
      <c r="CO63" s="27">
        <v>0.93374558303886923</v>
      </c>
      <c r="CP63" s="27">
        <v>0.92882382635032823</v>
      </c>
      <c r="CQ63" s="27">
        <v>0.93507067137809186</v>
      </c>
      <c r="CR63" s="27">
        <v>0.92756183745583043</v>
      </c>
      <c r="CS63" s="27">
        <v>0.9319787985865724</v>
      </c>
      <c r="CT63" s="27">
        <v>0.92712014134275622</v>
      </c>
      <c r="CU63" s="27">
        <v>0.93904593639575973</v>
      </c>
      <c r="CV63" s="27">
        <v>0.93462897526501765</v>
      </c>
      <c r="CW63" s="27">
        <v>0.9372791519434629</v>
      </c>
      <c r="CX63" s="27">
        <v>0.9332407874810702</v>
      </c>
    </row>
    <row r="64" spans="38:102" x14ac:dyDescent="0.35">
      <c r="AL64" s="16" t="s">
        <v>246</v>
      </c>
      <c r="AM64" s="27">
        <v>0.96167883211678828</v>
      </c>
      <c r="AN64" s="27">
        <v>0.96897810218978098</v>
      </c>
      <c r="AO64" s="27">
        <v>0.96532846715328469</v>
      </c>
      <c r="AP64" s="27">
        <v>0.97445255474452552</v>
      </c>
      <c r="AQ64" s="27">
        <v>0.98905109489051091</v>
      </c>
      <c r="AR64" s="27">
        <v>0.98175182481751821</v>
      </c>
      <c r="AS64" s="27">
        <v>0.96709323583180984</v>
      </c>
      <c r="AT64" s="27">
        <v>0.97261915882060257</v>
      </c>
      <c r="AU64" s="27">
        <v>0.95620437956204385</v>
      </c>
      <c r="AV64" s="27">
        <v>0.96167883211678828</v>
      </c>
      <c r="AW64" s="27">
        <v>0.97080291970802923</v>
      </c>
      <c r="AX64" s="27">
        <v>0.98171846435100552</v>
      </c>
      <c r="AY64" s="27">
        <v>0.98905109489051091</v>
      </c>
      <c r="AZ64" s="27">
        <v>0.98357664233576647</v>
      </c>
      <c r="BA64" s="27">
        <v>0.96715328467153283</v>
      </c>
      <c r="BB64" s="27">
        <v>0.97288365966223966</v>
      </c>
      <c r="BC64" s="27">
        <v>0.97252747252747251</v>
      </c>
      <c r="BD64" s="27">
        <v>0.96709323583180984</v>
      </c>
      <c r="BE64" s="27">
        <v>0.96343692870201092</v>
      </c>
      <c r="BF64" s="27">
        <v>0.97623400365630708</v>
      </c>
      <c r="BG64" s="27">
        <v>0.9780621572212066</v>
      </c>
      <c r="BH64" s="27">
        <v>0.98722627737226276</v>
      </c>
      <c r="BI64" s="27">
        <v>0.99085923217550276</v>
      </c>
      <c r="BJ64" s="27">
        <v>0.97649132964093888</v>
      </c>
      <c r="BK64" s="27">
        <v>0.94171220400728595</v>
      </c>
      <c r="BL64" s="27">
        <v>0.97810218978102192</v>
      </c>
      <c r="BM64" s="27">
        <v>0.93260473588342441</v>
      </c>
      <c r="BN64" s="27">
        <v>0.94717668488160289</v>
      </c>
      <c r="BO64" s="27">
        <v>0.96539162112932608</v>
      </c>
      <c r="BP64" s="27">
        <v>0.97262773722627738</v>
      </c>
      <c r="BQ64" s="27">
        <v>0.95628415300546443</v>
      </c>
      <c r="BR64" s="27">
        <v>0.95627133227348615</v>
      </c>
      <c r="BS64" s="27">
        <v>0.95437956204379559</v>
      </c>
      <c r="BT64" s="27">
        <v>0.96709323583180984</v>
      </c>
      <c r="BU64" s="27">
        <v>0.95264116575591984</v>
      </c>
      <c r="BV64" s="27">
        <v>0.94899817850637525</v>
      </c>
      <c r="BW64" s="27">
        <v>0.92700729927007297</v>
      </c>
      <c r="BX64" s="27">
        <v>0.95255474452554745</v>
      </c>
      <c r="BY64" s="27">
        <v>0.89233576642335766</v>
      </c>
      <c r="BZ64" s="27">
        <v>0.94214427890812558</v>
      </c>
      <c r="CA64" s="27">
        <v>0.95438596491228067</v>
      </c>
      <c r="CB64" s="27">
        <v>0.95992714025500914</v>
      </c>
      <c r="CC64" s="27">
        <v>0.94210526315789478</v>
      </c>
      <c r="CD64" s="27">
        <v>0.95782073813708257</v>
      </c>
      <c r="CE64" s="27">
        <v>0.94210526315789478</v>
      </c>
      <c r="CF64" s="27">
        <v>0.92349726775956287</v>
      </c>
      <c r="CG64" s="27">
        <v>0.93157894736842106</v>
      </c>
      <c r="CH64" s="27">
        <v>0.9444886549640209</v>
      </c>
      <c r="CI64" s="27">
        <v>0.96654929577464788</v>
      </c>
      <c r="CJ64" s="27">
        <v>0.96836555360281196</v>
      </c>
      <c r="CK64" s="27">
        <v>0.96296296296296291</v>
      </c>
      <c r="CL64" s="27">
        <v>0.96119929453262787</v>
      </c>
      <c r="CM64" s="27">
        <v>0.97891036906854134</v>
      </c>
      <c r="CN64" s="27">
        <v>0.95079086115992972</v>
      </c>
      <c r="CO64" s="27">
        <v>0.97539543057996481</v>
      </c>
      <c r="CP64" s="27">
        <v>0.9663105382402124</v>
      </c>
      <c r="CQ64" s="27">
        <v>0.97163120567375882</v>
      </c>
      <c r="CR64" s="27">
        <v>0.9630281690140845</v>
      </c>
      <c r="CS64" s="27">
        <v>0.98226950354609932</v>
      </c>
      <c r="CT64" s="27">
        <v>0.96814159292035395</v>
      </c>
      <c r="CU64" s="27">
        <v>0.97354497354497349</v>
      </c>
      <c r="CV64" s="27">
        <v>0.95767195767195767</v>
      </c>
      <c r="CW64" s="27">
        <v>0.97178130511463845</v>
      </c>
      <c r="CX64" s="27">
        <v>0.96972410106940943</v>
      </c>
    </row>
    <row r="65" spans="38:102" x14ac:dyDescent="0.35">
      <c r="AL65" s="16" t="s">
        <v>247</v>
      </c>
      <c r="AM65" s="27">
        <v>0.97881010594947027</v>
      </c>
      <c r="AN65" s="27">
        <v>0.98119378577269012</v>
      </c>
      <c r="AO65" s="27">
        <v>0.97684036393713813</v>
      </c>
      <c r="AP65" s="27">
        <v>0.97575250836120397</v>
      </c>
      <c r="AQ65" s="27">
        <v>0.98128559804719284</v>
      </c>
      <c r="AR65" s="27">
        <v>0.98525798525798525</v>
      </c>
      <c r="AS65" s="27">
        <v>0.98204081632653062</v>
      </c>
      <c r="AT65" s="27">
        <v>0.98016873766460155</v>
      </c>
      <c r="AU65" s="27">
        <v>0.98146655922643034</v>
      </c>
      <c r="AV65" s="27">
        <v>0.98698128559804721</v>
      </c>
      <c r="AW65" s="27">
        <v>0.98494983277591974</v>
      </c>
      <c r="AX65" s="27">
        <v>0.98274445357436324</v>
      </c>
      <c r="AY65" s="27">
        <v>0.9862459546925566</v>
      </c>
      <c r="AZ65" s="27">
        <v>0.98353909465020573</v>
      </c>
      <c r="BA65" s="27">
        <v>0.98285714285714287</v>
      </c>
      <c r="BB65" s="27">
        <v>0.98411204619638082</v>
      </c>
      <c r="BC65" s="27">
        <v>0.98630136986301364</v>
      </c>
      <c r="BD65" s="27">
        <v>0.98785425101214575</v>
      </c>
      <c r="BE65" s="27">
        <v>0.9826014913007457</v>
      </c>
      <c r="BF65" s="27">
        <v>0.9867659222497932</v>
      </c>
      <c r="BG65" s="27">
        <v>0.97640358014646056</v>
      </c>
      <c r="BH65" s="27">
        <v>0.98729150119142173</v>
      </c>
      <c r="BI65" s="27">
        <v>0.98949070331447053</v>
      </c>
      <c r="BJ65" s="27">
        <v>0.98524411701115</v>
      </c>
      <c r="BK65" s="27">
        <v>0.97942386831275718</v>
      </c>
      <c r="BL65" s="27">
        <v>0.98868229587712209</v>
      </c>
      <c r="BM65" s="27">
        <v>0.96830692243536276</v>
      </c>
      <c r="BN65" s="27">
        <v>0.97829716193656091</v>
      </c>
      <c r="BO65" s="27">
        <v>0.98292682926829267</v>
      </c>
      <c r="BP65" s="27">
        <v>0.98237179487179482</v>
      </c>
      <c r="BQ65" s="27">
        <v>0.98625707356507675</v>
      </c>
      <c r="BR65" s="27">
        <v>0.98089513518099536</v>
      </c>
      <c r="BS65" s="27">
        <v>0.95405179615705926</v>
      </c>
      <c r="BT65" s="27">
        <v>0.9908561928512053</v>
      </c>
      <c r="BU65" s="27">
        <v>0.97174657534246578</v>
      </c>
      <c r="BV65" s="27">
        <v>0.96930946291560105</v>
      </c>
      <c r="BW65" s="27">
        <v>0.92973436161096834</v>
      </c>
      <c r="BX65" s="27">
        <v>0.98885077186963977</v>
      </c>
      <c r="BY65" s="27">
        <v>0.92394122731201378</v>
      </c>
      <c r="BZ65" s="27">
        <v>0.96121291257985042</v>
      </c>
      <c r="CA65" s="27">
        <v>0.98455284552845523</v>
      </c>
      <c r="CB65" s="27">
        <v>0.97247706422018354</v>
      </c>
      <c r="CC65" s="27">
        <v>0.9720338983050848</v>
      </c>
      <c r="CD65" s="27">
        <v>0.99078726968174202</v>
      </c>
      <c r="CE65" s="27">
        <v>0.98238255033557043</v>
      </c>
      <c r="CF65" s="27">
        <v>0.98747913188647751</v>
      </c>
      <c r="CG65" s="27">
        <v>0.96652360515021463</v>
      </c>
      <c r="CH65" s="27">
        <v>0.97946233787253256</v>
      </c>
      <c r="CI65" s="27">
        <v>0.98270181219110375</v>
      </c>
      <c r="CJ65" s="27">
        <v>0.9718196457326892</v>
      </c>
      <c r="CK65" s="27">
        <v>0.98220338983050848</v>
      </c>
      <c r="CL65" s="27">
        <v>0.98239731768650462</v>
      </c>
      <c r="CM65" s="27">
        <v>0.98503740648379057</v>
      </c>
      <c r="CN65" s="27">
        <v>0.9836199836199836</v>
      </c>
      <c r="CO65" s="27">
        <v>0.99836333878887074</v>
      </c>
      <c r="CP65" s="27">
        <v>0.98373469919049306</v>
      </c>
      <c r="CQ65" s="27">
        <v>0.98522167487684731</v>
      </c>
      <c r="CR65" s="27">
        <v>0.97777777777777775</v>
      </c>
      <c r="CS65" s="27">
        <v>0.9843621399176955</v>
      </c>
      <c r="CT65" s="27">
        <v>0.98777506112469438</v>
      </c>
      <c r="CU65" s="27">
        <v>0.984375</v>
      </c>
      <c r="CV65" s="27">
        <v>0.98856209150326801</v>
      </c>
      <c r="CW65" s="27">
        <v>0.97433774834437081</v>
      </c>
      <c r="CX65" s="27">
        <v>0.98320164193495063</v>
      </c>
    </row>
    <row r="66" spans="38:102" x14ac:dyDescent="0.35">
      <c r="AL66" s="16" t="s">
        <v>248</v>
      </c>
      <c r="AM66" s="27">
        <v>0.96627906976744182</v>
      </c>
      <c r="AN66" s="27">
        <v>0.95243553008595994</v>
      </c>
      <c r="AO66" s="27">
        <v>0.94828588030214989</v>
      </c>
      <c r="AP66" s="27">
        <v>0.93648018648018649</v>
      </c>
      <c r="AQ66" s="27">
        <v>0.96182764603817239</v>
      </c>
      <c r="AR66" s="27">
        <v>0.96414112203585889</v>
      </c>
      <c r="AS66" s="27">
        <v>0.96064814814814814</v>
      </c>
      <c r="AT66" s="27">
        <v>0.95572822612255959</v>
      </c>
      <c r="AU66" s="27">
        <v>0.97441860465116281</v>
      </c>
      <c r="AV66" s="27">
        <v>0.95538818076477405</v>
      </c>
      <c r="AW66" s="27">
        <v>0.95028901734104043</v>
      </c>
      <c r="AX66" s="27">
        <v>0.9558908879860708</v>
      </c>
      <c r="AY66" s="27">
        <v>0.97737819025522044</v>
      </c>
      <c r="AZ66" s="27">
        <v>0.97330237957051657</v>
      </c>
      <c r="BA66" s="27">
        <v>0.97126436781609193</v>
      </c>
      <c r="BB66" s="27">
        <v>0.96541880405498237</v>
      </c>
      <c r="BC66" s="27">
        <v>0.96151636990235501</v>
      </c>
      <c r="BD66" s="27">
        <v>0.9666090961427749</v>
      </c>
      <c r="BE66" s="27">
        <v>0.94913294797687864</v>
      </c>
      <c r="BF66" s="27">
        <v>0.95488721804511278</v>
      </c>
      <c r="BG66" s="27">
        <v>0.97456647398843932</v>
      </c>
      <c r="BH66" s="27">
        <v>0.96714697406340056</v>
      </c>
      <c r="BI66" s="27">
        <v>0.97031963470319638</v>
      </c>
      <c r="BJ66" s="27">
        <v>0.96345410211745119</v>
      </c>
      <c r="BK66" s="27">
        <v>0.95909090909090911</v>
      </c>
      <c r="BL66" s="27">
        <v>0.95449374288964728</v>
      </c>
      <c r="BM66" s="27">
        <v>0.95323325635103928</v>
      </c>
      <c r="BN66" s="27">
        <v>0.93630573248407645</v>
      </c>
      <c r="BO66" s="27">
        <v>0.97427101200686106</v>
      </c>
      <c r="BP66" s="27">
        <v>0.97365406643757157</v>
      </c>
      <c r="BQ66" s="27">
        <v>0.98680436029833618</v>
      </c>
      <c r="BR66" s="27">
        <v>0.96255043993692013</v>
      </c>
      <c r="BS66" s="27">
        <v>0.92285549798503164</v>
      </c>
      <c r="BT66" s="27">
        <v>0.95257374204742629</v>
      </c>
      <c r="BU66" s="27">
        <v>0.93089663049685889</v>
      </c>
      <c r="BV66" s="27">
        <v>0.94314951677089254</v>
      </c>
      <c r="BW66" s="27">
        <v>0.89165701042873702</v>
      </c>
      <c r="BX66" s="27">
        <v>0.94367015098722418</v>
      </c>
      <c r="BY66" s="27">
        <v>0.89801864801864806</v>
      </c>
      <c r="BZ66" s="27">
        <v>0.92611731381925977</v>
      </c>
      <c r="CA66" s="27">
        <v>0.9462786793508674</v>
      </c>
      <c r="CB66" s="27">
        <v>0.94671201814058958</v>
      </c>
      <c r="CC66" s="27">
        <v>0.9533969679955081</v>
      </c>
      <c r="CD66" s="27">
        <v>0.96070615034168561</v>
      </c>
      <c r="CE66" s="27">
        <v>0.94450736126840318</v>
      </c>
      <c r="CF66" s="27">
        <v>0.96127946127946129</v>
      </c>
      <c r="CG66" s="27">
        <v>0.95056818181818181</v>
      </c>
      <c r="CH66" s="27">
        <v>0.95192126002781396</v>
      </c>
      <c r="CI66" s="27">
        <v>0.94537346711259751</v>
      </c>
      <c r="CJ66" s="27">
        <v>0.96458684654300164</v>
      </c>
      <c r="CK66" s="27">
        <v>0.93813273340832393</v>
      </c>
      <c r="CL66" s="27">
        <v>0.92724196277495774</v>
      </c>
      <c r="CM66" s="27">
        <v>0.95951192457016088</v>
      </c>
      <c r="CN66" s="27">
        <v>0.956400223588597</v>
      </c>
      <c r="CO66" s="27">
        <v>0.94818941504178278</v>
      </c>
      <c r="CP66" s="27">
        <v>0.94849093900563164</v>
      </c>
      <c r="CQ66" s="27">
        <v>0.97103918228279384</v>
      </c>
      <c r="CR66" s="27">
        <v>0.95367231638418082</v>
      </c>
      <c r="CS66" s="27">
        <v>0.96507042253521125</v>
      </c>
      <c r="CT66" s="27">
        <v>0.95774647887323938</v>
      </c>
      <c r="CU66" s="27">
        <v>0.96306659205372136</v>
      </c>
      <c r="CV66" s="27">
        <v>0.94935284186831737</v>
      </c>
      <c r="CW66" s="27">
        <v>0.9572933998890738</v>
      </c>
      <c r="CX66" s="27">
        <v>0.95960589055521961</v>
      </c>
    </row>
    <row r="67" spans="38:102" x14ac:dyDescent="0.35">
      <c r="AL67" s="16" t="s">
        <v>249</v>
      </c>
      <c r="AM67" s="27">
        <v>0.92412451361867709</v>
      </c>
      <c r="AN67" s="27">
        <v>0.97041420118343191</v>
      </c>
      <c r="AO67" s="27">
        <v>0.95991983967935868</v>
      </c>
      <c r="AP67" s="27">
        <v>0.9664694280078896</v>
      </c>
      <c r="AQ67" s="27">
        <v>0.93702290076335881</v>
      </c>
      <c r="AR67" s="27">
        <v>0.94831013916500995</v>
      </c>
      <c r="AS67" s="27">
        <v>0.96259842519685035</v>
      </c>
      <c r="AT67" s="27">
        <v>0.95269420680208239</v>
      </c>
      <c r="AU67" s="27">
        <v>0.95066413662239091</v>
      </c>
      <c r="AV67" s="27">
        <v>0.97813121272365811</v>
      </c>
      <c r="AW67" s="27">
        <v>0.91102514506769827</v>
      </c>
      <c r="AX67" s="27">
        <v>0.93050193050193053</v>
      </c>
      <c r="AY67" s="27">
        <v>0.96175908221797324</v>
      </c>
      <c r="AZ67" s="27">
        <v>0.9760956175298805</v>
      </c>
      <c r="BA67" s="27">
        <v>0.9262135922330097</v>
      </c>
      <c r="BB67" s="27">
        <v>0.94777010241379167</v>
      </c>
      <c r="BC67" s="27">
        <v>0.9476635514018692</v>
      </c>
      <c r="BD67" s="27">
        <v>0.94161958568738224</v>
      </c>
      <c r="BE67" s="27">
        <v>0.94756554307116103</v>
      </c>
      <c r="BF67" s="27">
        <v>0.95291902071563084</v>
      </c>
      <c r="BG67" s="27">
        <v>0.95131086142322097</v>
      </c>
      <c r="BH67" s="27">
        <v>0.96233521657250476</v>
      </c>
      <c r="BI67" s="27">
        <v>0.93071161048689144</v>
      </c>
      <c r="BJ67" s="27">
        <v>0.94773219847980872</v>
      </c>
      <c r="BK67" s="27">
        <v>0.87030075187969924</v>
      </c>
      <c r="BL67" s="27">
        <v>0.92627599243856329</v>
      </c>
      <c r="BM67" s="27">
        <v>0.86792452830188682</v>
      </c>
      <c r="BN67" s="27">
        <v>0.87992495309568475</v>
      </c>
      <c r="BO67" s="27">
        <v>0.84885764499121263</v>
      </c>
      <c r="BP67" s="27">
        <v>0.92193308550185871</v>
      </c>
      <c r="BQ67" s="27">
        <v>0.8927272727272727</v>
      </c>
      <c r="BR67" s="27">
        <v>0.88684917556231124</v>
      </c>
      <c r="BS67" s="27">
        <v>0.88888888888888884</v>
      </c>
      <c r="BT67" s="27">
        <v>0.78966789667896675</v>
      </c>
      <c r="BU67" s="27">
        <v>0.88783269961977185</v>
      </c>
      <c r="BV67" s="27">
        <v>0.89393939393939392</v>
      </c>
      <c r="BW67" s="27">
        <v>0.83804143126177022</v>
      </c>
      <c r="BX67" s="27">
        <v>0.75468164794007486</v>
      </c>
      <c r="BY67" s="27">
        <v>0.7992424242424242</v>
      </c>
      <c r="BZ67" s="27">
        <v>0.83604205465304138</v>
      </c>
      <c r="CA67" s="27">
        <v>0.9435336976320583</v>
      </c>
      <c r="CB67" s="27">
        <v>0.89757914338919931</v>
      </c>
      <c r="CC67" s="27">
        <v>0.94649446494464939</v>
      </c>
      <c r="CD67" s="27">
        <v>0.97781885397412205</v>
      </c>
      <c r="CE67" s="27">
        <v>0.92910447761194026</v>
      </c>
      <c r="CF67" s="27">
        <v>0.93198529411764708</v>
      </c>
      <c r="CG67" s="27">
        <v>0.9269662921348315</v>
      </c>
      <c r="CH67" s="27">
        <v>0.93621174625777825</v>
      </c>
      <c r="CI67" s="27">
        <v>0.95375722543352603</v>
      </c>
      <c r="CJ67" s="27">
        <v>0.93078324225865205</v>
      </c>
      <c r="CK67" s="27">
        <v>0.95533980582524269</v>
      </c>
      <c r="CL67" s="27">
        <v>0.95585412667946257</v>
      </c>
      <c r="CM67" s="27">
        <v>0.9424860853432282</v>
      </c>
      <c r="CN67" s="27">
        <v>0.9363636363636364</v>
      </c>
      <c r="CO67" s="27">
        <v>0.95421245421245426</v>
      </c>
      <c r="CP67" s="27">
        <v>0.94697093944517174</v>
      </c>
      <c r="CQ67" s="27">
        <v>0.92467043314500941</v>
      </c>
      <c r="CR67" s="27">
        <v>0.9050279329608939</v>
      </c>
      <c r="CS67" s="27">
        <v>0.95194085027726427</v>
      </c>
      <c r="CT67" s="27">
        <v>0.94052044609665431</v>
      </c>
      <c r="CU67" s="27">
        <v>0.94876660341555974</v>
      </c>
      <c r="CV67" s="27">
        <v>0.95370370370370372</v>
      </c>
      <c r="CW67" s="27">
        <v>0.95910780669144979</v>
      </c>
      <c r="CX67" s="27">
        <v>0.94053396804150491</v>
      </c>
    </row>
    <row r="68" spans="38:102" x14ac:dyDescent="0.35">
      <c r="AL68" s="16" t="s">
        <v>250</v>
      </c>
      <c r="AM68" s="27">
        <v>0.95062923523717324</v>
      </c>
      <c r="AN68" s="27">
        <v>0.97959183673469385</v>
      </c>
      <c r="AO68" s="27">
        <v>0.95718654434250761</v>
      </c>
      <c r="AP68" s="27">
        <v>0.9616977225672878</v>
      </c>
      <c r="AQ68" s="27">
        <v>0.95467695274831244</v>
      </c>
      <c r="AR68" s="27">
        <v>0.97281553398058251</v>
      </c>
      <c r="AS68" s="27">
        <v>0.9775390625</v>
      </c>
      <c r="AT68" s="27">
        <v>0.96487669830150813</v>
      </c>
      <c r="AU68" s="27">
        <v>0.95626822157434399</v>
      </c>
      <c r="AV68" s="27">
        <v>0.96469465648854957</v>
      </c>
      <c r="AW68" s="27">
        <v>0.91846758349705304</v>
      </c>
      <c r="AX68" s="27">
        <v>0.95004995004995008</v>
      </c>
      <c r="AY68" s="27">
        <v>0.94716618635926997</v>
      </c>
      <c r="AZ68" s="27">
        <v>0.94696239151398265</v>
      </c>
      <c r="BA68" s="27">
        <v>0.93907156673114123</v>
      </c>
      <c r="BB68" s="27">
        <v>0.94609722231632731</v>
      </c>
      <c r="BC68" s="27">
        <v>0.95441319107662459</v>
      </c>
      <c r="BD68" s="27">
        <v>0.95744680851063835</v>
      </c>
      <c r="BE68" s="27">
        <v>0.94117647058823528</v>
      </c>
      <c r="BF68" s="27">
        <v>0.92842942345924451</v>
      </c>
      <c r="BG68" s="27">
        <v>0.94869312681510165</v>
      </c>
      <c r="BH68" s="27">
        <v>0.95882352941176474</v>
      </c>
      <c r="BI68" s="27">
        <v>0.96270853778213938</v>
      </c>
      <c r="BJ68" s="27">
        <v>0.95024158394910685</v>
      </c>
      <c r="BK68" s="27">
        <v>0.93761996161228411</v>
      </c>
      <c r="BL68" s="27">
        <v>0.95164410058027082</v>
      </c>
      <c r="BM68" s="27">
        <v>0.92495126705653019</v>
      </c>
      <c r="BN68" s="27">
        <v>0.93083003952569165</v>
      </c>
      <c r="BO68" s="27">
        <v>0.92607003891050588</v>
      </c>
      <c r="BP68" s="27">
        <v>0.94605009633911363</v>
      </c>
      <c r="BQ68" s="27">
        <v>0.93262752646775748</v>
      </c>
      <c r="BR68" s="27">
        <v>0.93568471864173619</v>
      </c>
      <c r="BS68" s="27">
        <v>0.91130604288499029</v>
      </c>
      <c r="BT68" s="27">
        <v>0.93840230991337825</v>
      </c>
      <c r="BU68" s="27">
        <v>0.90706679574056148</v>
      </c>
      <c r="BV68" s="27">
        <v>0.91367604267701263</v>
      </c>
      <c r="BW68" s="27">
        <v>0.90294117647058825</v>
      </c>
      <c r="BX68" s="27">
        <v>0.94140249759846306</v>
      </c>
      <c r="BY68" s="27">
        <v>0.90909090909090906</v>
      </c>
      <c r="BZ68" s="27">
        <v>0.91769796776798618</v>
      </c>
      <c r="CA68" s="27">
        <v>0.93506493506493504</v>
      </c>
      <c r="CB68" s="27">
        <v>0.94391634980988592</v>
      </c>
      <c r="CC68" s="27">
        <v>0.92042186001917548</v>
      </c>
      <c r="CD68" s="27">
        <v>0.93100097181729835</v>
      </c>
      <c r="CE68" s="27">
        <v>0.93202979515828677</v>
      </c>
      <c r="CF68" s="27">
        <v>0.92502343017806932</v>
      </c>
      <c r="CG68" s="27">
        <v>0.91312741312741308</v>
      </c>
      <c r="CH68" s="27">
        <v>0.9286549650250091</v>
      </c>
      <c r="CI68" s="27">
        <v>0.97348484848484851</v>
      </c>
      <c r="CJ68" s="27">
        <v>0.94128611369990678</v>
      </c>
      <c r="CK68" s="27">
        <v>0.96484375</v>
      </c>
      <c r="CL68" s="27">
        <v>0.96074582924435725</v>
      </c>
      <c r="CM68" s="27">
        <v>0.94018691588785042</v>
      </c>
      <c r="CN68" s="27">
        <v>0.9524253731343284</v>
      </c>
      <c r="CO68" s="27">
        <v>0.9410112359550562</v>
      </c>
      <c r="CP68" s="27">
        <v>0.95342629520090683</v>
      </c>
      <c r="CQ68" s="27">
        <v>0.95813510941960034</v>
      </c>
      <c r="CR68" s="27">
        <v>0.95631970260223054</v>
      </c>
      <c r="CS68" s="27">
        <v>0.93936477382098171</v>
      </c>
      <c r="CT68" s="27">
        <v>0.97468354430379744</v>
      </c>
      <c r="CU68" s="27">
        <v>0.94007490636704116</v>
      </c>
      <c r="CV68" s="27">
        <v>0.97350993377483441</v>
      </c>
      <c r="CW68" s="27">
        <v>0.94962686567164178</v>
      </c>
      <c r="CX68" s="27">
        <v>0.95595926228001815</v>
      </c>
    </row>
    <row r="69" spans="38:102" x14ac:dyDescent="0.35">
      <c r="AL69" s="16" t="s">
        <v>251</v>
      </c>
      <c r="AM69" s="27">
        <v>0.92307692307692313</v>
      </c>
      <c r="AN69" s="27">
        <v>0.90293040293040294</v>
      </c>
      <c r="AO69" s="27">
        <v>0.89194139194139199</v>
      </c>
      <c r="AP69" s="27">
        <v>0.86996336996336998</v>
      </c>
      <c r="AQ69" s="27">
        <v>0.9285714285714286</v>
      </c>
      <c r="AR69" s="27">
        <v>0.91391941391941389</v>
      </c>
      <c r="AS69" s="27">
        <v>0.93406593406593408</v>
      </c>
      <c r="AT69" s="27">
        <v>0.90920983778126641</v>
      </c>
      <c r="AU69" s="27">
        <v>0.93040293040293043</v>
      </c>
      <c r="AV69" s="27">
        <v>0.89926739926739929</v>
      </c>
      <c r="AW69" s="27">
        <v>0.88278388278388276</v>
      </c>
      <c r="AX69" s="27">
        <v>0.88095238095238093</v>
      </c>
      <c r="AY69" s="27">
        <v>0.90842490842490842</v>
      </c>
      <c r="AZ69" s="27">
        <v>0.91391941391941389</v>
      </c>
      <c r="BA69" s="27">
        <v>0.91941391941391937</v>
      </c>
      <c r="BB69" s="27">
        <v>0.90502354788069084</v>
      </c>
      <c r="BC69" s="27">
        <v>0.94139194139194138</v>
      </c>
      <c r="BD69" s="27">
        <v>0.92124542124542119</v>
      </c>
      <c r="BE69" s="27">
        <v>0.90476190476190477</v>
      </c>
      <c r="BF69" s="27">
        <v>0.89743589743589747</v>
      </c>
      <c r="BG69" s="27">
        <v>0.92124542124542119</v>
      </c>
      <c r="BH69" s="27">
        <v>0.94871794871794868</v>
      </c>
      <c r="BI69" s="27">
        <v>0.90659340659340659</v>
      </c>
      <c r="BJ69" s="27">
        <v>0.92019884877027736</v>
      </c>
      <c r="BK69" s="27">
        <v>0.87362637362637363</v>
      </c>
      <c r="BL69" s="27">
        <v>0.90293040293040294</v>
      </c>
      <c r="BM69" s="27">
        <v>0.85531135531135527</v>
      </c>
      <c r="BN69" s="27">
        <v>0.84065934065934067</v>
      </c>
      <c r="BO69" s="27">
        <v>0.88095238095238093</v>
      </c>
      <c r="BP69" s="27">
        <v>0.92673992673992678</v>
      </c>
      <c r="BQ69" s="27">
        <v>0.89743589743589747</v>
      </c>
      <c r="BR69" s="27">
        <v>0.88252223966509669</v>
      </c>
      <c r="BS69" s="27">
        <v>0.85531135531135527</v>
      </c>
      <c r="BT69" s="27">
        <v>0.87728937728937728</v>
      </c>
      <c r="BU69" s="27">
        <v>0.84615384615384615</v>
      </c>
      <c r="BV69" s="27">
        <v>0.87545787545787546</v>
      </c>
      <c r="BW69" s="27">
        <v>0.81135531135531136</v>
      </c>
      <c r="BX69" s="27">
        <v>0.86263736263736268</v>
      </c>
      <c r="BY69" s="27">
        <v>0.7783882783882784</v>
      </c>
      <c r="BZ69" s="27">
        <v>0.8437990580847724</v>
      </c>
      <c r="CA69" s="27">
        <v>0.9432234432234432</v>
      </c>
      <c r="CB69" s="27">
        <v>0.87179487179487181</v>
      </c>
      <c r="CC69" s="27">
        <v>0.94139194139194138</v>
      </c>
      <c r="CD69" s="27">
        <v>0.93772893772893773</v>
      </c>
      <c r="CE69" s="27">
        <v>0.92673992673992678</v>
      </c>
      <c r="CF69" s="27">
        <v>0.90293040293040294</v>
      </c>
      <c r="CG69" s="27">
        <v>0.88278388278388276</v>
      </c>
      <c r="CH69" s="27">
        <v>0.9152276295133438</v>
      </c>
      <c r="CI69" s="27">
        <v>0.95183044315992293</v>
      </c>
      <c r="CJ69" s="27">
        <v>0.96703296703296704</v>
      </c>
      <c r="CK69" s="27">
        <v>0.95953757225433522</v>
      </c>
      <c r="CL69" s="27">
        <v>0.95183044315992293</v>
      </c>
      <c r="CM69" s="27">
        <v>0.94990366088631983</v>
      </c>
      <c r="CN69" s="27">
        <v>0.95761078998073212</v>
      </c>
      <c r="CO69" s="27">
        <v>0.94797687861271673</v>
      </c>
      <c r="CP69" s="27">
        <v>0.95510325072670255</v>
      </c>
      <c r="CQ69" s="27">
        <v>0.94026974951830444</v>
      </c>
      <c r="CR69" s="27">
        <v>0.94797687861271673</v>
      </c>
      <c r="CS69" s="27">
        <v>0.94026974951830444</v>
      </c>
      <c r="CT69" s="27">
        <v>0.94990366088631983</v>
      </c>
      <c r="CU69" s="27">
        <v>0.95183044315992293</v>
      </c>
      <c r="CV69" s="27">
        <v>0.94026974951830444</v>
      </c>
      <c r="CW69" s="27">
        <v>0.93834296724470134</v>
      </c>
      <c r="CX69" s="27">
        <v>0.94412331406551053</v>
      </c>
    </row>
    <row r="70" spans="38:102" x14ac:dyDescent="0.35">
      <c r="AL70" s="16" t="s">
        <v>252</v>
      </c>
      <c r="AM70" s="27">
        <v>0.6</v>
      </c>
      <c r="AN70" s="27">
        <v>0.1</v>
      </c>
      <c r="AO70" s="27">
        <v>0.7</v>
      </c>
      <c r="AP70" s="27">
        <v>0.5</v>
      </c>
      <c r="AQ70" s="27">
        <v>0.2</v>
      </c>
      <c r="AR70" s="27">
        <v>0.1</v>
      </c>
      <c r="AS70" s="27">
        <v>0.6</v>
      </c>
      <c r="AT70" s="27">
        <v>0.39999999999999997</v>
      </c>
      <c r="AU70" s="27">
        <v>0.6</v>
      </c>
      <c r="AV70" s="27">
        <v>0.1</v>
      </c>
      <c r="AW70" s="27">
        <v>0.2</v>
      </c>
      <c r="AX70" s="27">
        <v>0.1</v>
      </c>
      <c r="AY70" s="27">
        <v>0.4</v>
      </c>
      <c r="AZ70" s="27">
        <v>0.1</v>
      </c>
      <c r="BA70" s="27">
        <v>0.5</v>
      </c>
      <c r="BB70" s="27">
        <v>0.2857142857142857</v>
      </c>
      <c r="BC70" s="27">
        <v>0.5</v>
      </c>
      <c r="BD70" s="27">
        <v>0.2</v>
      </c>
      <c r="BE70" s="27">
        <v>0.4</v>
      </c>
      <c r="BF70" s="27">
        <v>0.1</v>
      </c>
      <c r="BG70" s="27">
        <v>0.5</v>
      </c>
      <c r="BH70" s="27">
        <v>0.2</v>
      </c>
      <c r="BI70" s="27">
        <v>0.2</v>
      </c>
      <c r="BJ70" s="27">
        <v>0.3</v>
      </c>
      <c r="BK70" s="27">
        <v>0.5</v>
      </c>
      <c r="BL70" s="27">
        <v>0</v>
      </c>
      <c r="BM70" s="27">
        <v>0.3</v>
      </c>
      <c r="BN70" s="27">
        <v>0.3</v>
      </c>
      <c r="BO70" s="27">
        <v>0.3</v>
      </c>
      <c r="BP70" s="27">
        <v>0.5</v>
      </c>
      <c r="BQ70" s="27">
        <v>0.3</v>
      </c>
      <c r="BR70" s="27">
        <v>0.31428571428571433</v>
      </c>
      <c r="BS70" s="27">
        <v>0</v>
      </c>
      <c r="BT70" s="27">
        <v>0.1</v>
      </c>
      <c r="BU70" s="27">
        <v>0</v>
      </c>
      <c r="BV70" s="27">
        <v>0</v>
      </c>
      <c r="BW70" s="27">
        <v>0</v>
      </c>
      <c r="BX70" s="27">
        <v>0.1</v>
      </c>
      <c r="BY70" s="27">
        <v>0</v>
      </c>
      <c r="BZ70" s="27">
        <v>2.8571428571428574E-2</v>
      </c>
      <c r="CA70" s="27">
        <v>0.2</v>
      </c>
      <c r="CB70" s="27">
        <v>0.1</v>
      </c>
      <c r="CC70" s="27">
        <v>0</v>
      </c>
      <c r="CD70" s="27">
        <v>0.2</v>
      </c>
      <c r="CE70" s="27">
        <v>0.1</v>
      </c>
      <c r="CF70" s="27">
        <v>0.3</v>
      </c>
      <c r="CG70" s="27">
        <v>0.1</v>
      </c>
      <c r="CH70" s="27">
        <v>0.14285714285714285</v>
      </c>
      <c r="CI70" s="27">
        <v>0.4</v>
      </c>
      <c r="CJ70" s="27">
        <v>0.2</v>
      </c>
      <c r="CK70" s="27">
        <v>0.2</v>
      </c>
      <c r="CL70" s="27">
        <v>0.3</v>
      </c>
      <c r="CM70" s="27">
        <v>0.5</v>
      </c>
      <c r="CN70" s="27">
        <v>0.6</v>
      </c>
      <c r="CO70" s="27">
        <v>0.6</v>
      </c>
      <c r="CP70" s="27">
        <v>0.39999999999999997</v>
      </c>
      <c r="CQ70" s="27">
        <v>0.5</v>
      </c>
      <c r="CR70" s="27">
        <v>0.2</v>
      </c>
      <c r="CS70" s="27">
        <v>0.2</v>
      </c>
      <c r="CT70" s="27">
        <v>0.2</v>
      </c>
      <c r="CU70" s="27">
        <v>0.9</v>
      </c>
      <c r="CV70" s="27">
        <v>0.2</v>
      </c>
      <c r="CW70" s="27">
        <v>0.7</v>
      </c>
      <c r="CX70" s="27">
        <v>0.41428571428571431</v>
      </c>
    </row>
    <row r="71" spans="38:102" x14ac:dyDescent="0.35">
      <c r="AL71" s="16" t="s">
        <v>253</v>
      </c>
      <c r="AM71" s="27">
        <v>0.98867147270854794</v>
      </c>
      <c r="AN71" s="27">
        <v>0.95055499495459128</v>
      </c>
      <c r="AO71" s="27">
        <v>0.96421267893660534</v>
      </c>
      <c r="AP71" s="27">
        <v>0.97872340425531912</v>
      </c>
      <c r="AQ71" s="27">
        <v>0.97551020408163269</v>
      </c>
      <c r="AR71" s="27">
        <v>0.99294354838709675</v>
      </c>
      <c r="AS71" s="27">
        <v>0.97242083758937692</v>
      </c>
      <c r="AT71" s="27">
        <v>0.97471959155902443</v>
      </c>
      <c r="AU71" s="27">
        <v>0.96979166666666672</v>
      </c>
      <c r="AV71" s="27">
        <v>0.98893360160965793</v>
      </c>
      <c r="AW71" s="27">
        <v>0.96697626418988647</v>
      </c>
      <c r="AX71" s="27">
        <v>0.98676171079429731</v>
      </c>
      <c r="AY71" s="27">
        <v>0.95820591233435271</v>
      </c>
      <c r="AZ71" s="27">
        <v>0.984015984015984</v>
      </c>
      <c r="BA71" s="27">
        <v>0.98194583751253761</v>
      </c>
      <c r="BB71" s="27">
        <v>0.97666156816048322</v>
      </c>
      <c r="BC71" s="27">
        <v>0.95542046605876396</v>
      </c>
      <c r="BD71" s="27">
        <v>0.99591002044989774</v>
      </c>
      <c r="BE71" s="27">
        <v>0.96991701244813278</v>
      </c>
      <c r="BF71" s="27">
        <v>0.97157360406091375</v>
      </c>
      <c r="BG71" s="27">
        <v>0.9683026584867076</v>
      </c>
      <c r="BH71" s="27">
        <v>0.99277605779153766</v>
      </c>
      <c r="BI71" s="27">
        <v>0.97344228804902966</v>
      </c>
      <c r="BJ71" s="27">
        <v>0.9753345867635691</v>
      </c>
      <c r="BK71" s="27">
        <v>0.96747114375655818</v>
      </c>
      <c r="BL71" s="27">
        <v>0.9868686868686869</v>
      </c>
      <c r="BM71" s="27">
        <v>0.94736842105263153</v>
      </c>
      <c r="BN71" s="27">
        <v>0.93968253968253967</v>
      </c>
      <c r="BO71" s="27">
        <v>0.97757390417940881</v>
      </c>
      <c r="BP71" s="27">
        <v>0.99177800616649536</v>
      </c>
      <c r="BQ71" s="27">
        <v>0.98274111675126907</v>
      </c>
      <c r="BR71" s="27">
        <v>0.97049768835108419</v>
      </c>
      <c r="BS71" s="27">
        <v>0.93695652173913047</v>
      </c>
      <c r="BT71" s="27">
        <v>0.94037656903765687</v>
      </c>
      <c r="BU71" s="27">
        <v>0.96034297963558413</v>
      </c>
      <c r="BV71" s="27">
        <v>0.95550847457627119</v>
      </c>
      <c r="BW71" s="27">
        <v>0.8773274917853231</v>
      </c>
      <c r="BX71" s="27">
        <v>0.92055084745762716</v>
      </c>
      <c r="BY71" s="27">
        <v>0.85460599334073251</v>
      </c>
      <c r="BZ71" s="27">
        <v>0.92080983965318919</v>
      </c>
      <c r="CA71" s="27">
        <v>0.96548117154811719</v>
      </c>
      <c r="CB71" s="27">
        <v>0.97710718002081165</v>
      </c>
      <c r="CC71" s="27">
        <v>0.96487603305785119</v>
      </c>
      <c r="CD71" s="27">
        <v>0.95473684210526311</v>
      </c>
      <c r="CE71" s="27">
        <v>0.96670135275754421</v>
      </c>
      <c r="CF71" s="27">
        <v>0.95962732919254656</v>
      </c>
      <c r="CG71" s="27">
        <v>0.95322245322245325</v>
      </c>
      <c r="CH71" s="27">
        <v>0.96310748027208393</v>
      </c>
      <c r="CI71" s="27">
        <v>0.94650205761316875</v>
      </c>
      <c r="CJ71" s="27">
        <v>0.98348813209494323</v>
      </c>
      <c r="CK71" s="27">
        <v>0.94895833333333335</v>
      </c>
      <c r="CL71" s="27">
        <v>0.95873015873015877</v>
      </c>
      <c r="CM71" s="27">
        <v>0.97083333333333333</v>
      </c>
      <c r="CN71" s="27">
        <v>0.96916752312435761</v>
      </c>
      <c r="CO71" s="27">
        <v>0.96852791878172584</v>
      </c>
      <c r="CP71" s="27">
        <v>0.96374392243014584</v>
      </c>
      <c r="CQ71" s="27">
        <v>0.95346432264736303</v>
      </c>
      <c r="CR71" s="27">
        <v>0.96113445378151263</v>
      </c>
      <c r="CS71" s="27">
        <v>0.93995859213250521</v>
      </c>
      <c r="CT71" s="27">
        <v>0.93945720250521925</v>
      </c>
      <c r="CU71" s="27">
        <v>0.94932781799379529</v>
      </c>
      <c r="CV71" s="27">
        <v>0.97401247401247404</v>
      </c>
      <c r="CW71" s="27">
        <v>0.94135802469135799</v>
      </c>
      <c r="CX71" s="27">
        <v>0.95124469825203251</v>
      </c>
    </row>
    <row r="72" spans="38:102" x14ac:dyDescent="0.35">
      <c r="AL72" s="16" t="s">
        <v>254</v>
      </c>
      <c r="AM72" s="27">
        <v>0.97890295358649793</v>
      </c>
      <c r="AN72" s="27">
        <v>0.9726315789473684</v>
      </c>
      <c r="AO72" s="27">
        <v>0.97985153764581123</v>
      </c>
      <c r="AP72" s="27">
        <v>0.98299681190223165</v>
      </c>
      <c r="AQ72" s="27">
        <v>0.97379454926624742</v>
      </c>
      <c r="AR72" s="27">
        <v>0.98078975453575246</v>
      </c>
      <c r="AS72" s="27">
        <v>0.97885835095137419</v>
      </c>
      <c r="AT72" s="27">
        <v>0.97826079097646901</v>
      </c>
      <c r="AU72" s="27">
        <v>0.98078975453575246</v>
      </c>
      <c r="AV72" s="27">
        <v>0.98730158730158735</v>
      </c>
      <c r="AW72" s="27">
        <v>0.96905016008537892</v>
      </c>
      <c r="AX72" s="27">
        <v>0.96141479099678462</v>
      </c>
      <c r="AY72" s="27">
        <v>0.9777542372881356</v>
      </c>
      <c r="AZ72" s="27">
        <v>0.98839662447257381</v>
      </c>
      <c r="BA72" s="27">
        <v>0.98417721518987344</v>
      </c>
      <c r="BB72" s="27">
        <v>0.97841205283858379</v>
      </c>
      <c r="BC72" s="27">
        <v>0.97396963123644253</v>
      </c>
      <c r="BD72" s="27">
        <v>0.970873786407767</v>
      </c>
      <c r="BE72" s="27">
        <v>0.96966413867822321</v>
      </c>
      <c r="BF72" s="27">
        <v>0.96966413867822321</v>
      </c>
      <c r="BG72" s="27">
        <v>0.96637744034707163</v>
      </c>
      <c r="BH72" s="27">
        <v>0.96626768226332971</v>
      </c>
      <c r="BI72" s="27">
        <v>0.9740540540540541</v>
      </c>
      <c r="BJ72" s="27">
        <v>0.9701244102378731</v>
      </c>
      <c r="BK72" s="27">
        <v>0.97433155080213907</v>
      </c>
      <c r="BL72" s="27">
        <v>0.95740149094781679</v>
      </c>
      <c r="BM72" s="27">
        <v>0.94187298170075351</v>
      </c>
      <c r="BN72" s="27">
        <v>0.94130434782608696</v>
      </c>
      <c r="BO72" s="27">
        <v>0.97932535364526663</v>
      </c>
      <c r="BP72" s="27">
        <v>0.97851772287862515</v>
      </c>
      <c r="BQ72" s="27">
        <v>0.97300215982721383</v>
      </c>
      <c r="BR72" s="27">
        <v>0.96367937251827163</v>
      </c>
      <c r="BS72" s="27">
        <v>0.90572390572390571</v>
      </c>
      <c r="BT72" s="27">
        <v>0.94468546637744033</v>
      </c>
      <c r="BU72" s="27">
        <v>0.93057110862262038</v>
      </c>
      <c r="BV72" s="27">
        <v>0.92699115044247793</v>
      </c>
      <c r="BW72" s="27">
        <v>0.86486486486486491</v>
      </c>
      <c r="BX72" s="27">
        <v>0.93267108167770418</v>
      </c>
      <c r="BY72" s="27">
        <v>0.8699551569506726</v>
      </c>
      <c r="BZ72" s="27">
        <v>0.91078039066566951</v>
      </c>
      <c r="CA72" s="27">
        <v>0.97758804695837775</v>
      </c>
      <c r="CB72" s="27">
        <v>0.9574700109051254</v>
      </c>
      <c r="CC72" s="27">
        <v>0.98264642082429499</v>
      </c>
      <c r="CD72" s="27">
        <v>0.97189189189189185</v>
      </c>
      <c r="CE72" s="27">
        <v>0.971830985915493</v>
      </c>
      <c r="CF72" s="27">
        <v>0.94474539544962077</v>
      </c>
      <c r="CG72" s="27">
        <v>0.96288209606986896</v>
      </c>
      <c r="CH72" s="27">
        <v>0.96700783543066748</v>
      </c>
      <c r="CI72" s="27">
        <v>0.97761194029850751</v>
      </c>
      <c r="CJ72" s="27">
        <v>0.97145877378435519</v>
      </c>
      <c r="CK72" s="27">
        <v>0.98473282442748089</v>
      </c>
      <c r="CL72" s="27">
        <v>0.97391304347826091</v>
      </c>
      <c r="CM72" s="27">
        <v>0.98501070663811563</v>
      </c>
      <c r="CN72" s="27">
        <v>0.97532188841201717</v>
      </c>
      <c r="CO72" s="27">
        <v>0.98183760683760679</v>
      </c>
      <c r="CP72" s="27">
        <v>0.9785552548394777</v>
      </c>
      <c r="CQ72" s="27">
        <v>0.98821007502679525</v>
      </c>
      <c r="CR72" s="27">
        <v>0.98342541436464093</v>
      </c>
      <c r="CS72" s="27">
        <v>0.97934782608695647</v>
      </c>
      <c r="CT72" s="27">
        <v>0.9686147186147186</v>
      </c>
      <c r="CU72" s="27">
        <v>0.98491379310344829</v>
      </c>
      <c r="CV72" s="27">
        <v>0.98177920685959275</v>
      </c>
      <c r="CW72" s="27">
        <v>0.98599137931034486</v>
      </c>
      <c r="CX72" s="27">
        <v>0.98175463048092826</v>
      </c>
    </row>
    <row r="73" spans="38:102" x14ac:dyDescent="0.35">
      <c r="AL73" s="16" t="s">
        <v>255</v>
      </c>
      <c r="AM73" s="27">
        <v>0.909688013136289</v>
      </c>
      <c r="AN73" s="27">
        <v>0.92483660130718959</v>
      </c>
      <c r="AO73" s="27">
        <v>0.89967105263157898</v>
      </c>
      <c r="AP73" s="27">
        <v>0.91368078175895762</v>
      </c>
      <c r="AQ73" s="27">
        <v>0.93137254901960786</v>
      </c>
      <c r="AR73" s="27">
        <v>0.95315024232633283</v>
      </c>
      <c r="AS73" s="27">
        <v>0.94625407166123776</v>
      </c>
      <c r="AT73" s="27">
        <v>0.9255219016915992</v>
      </c>
      <c r="AU73" s="27">
        <v>0.91311475409836063</v>
      </c>
      <c r="AV73" s="27">
        <v>0.90864600326264278</v>
      </c>
      <c r="AW73" s="27">
        <v>0.92904290429042902</v>
      </c>
      <c r="AX73" s="27">
        <v>0.92953020134228193</v>
      </c>
      <c r="AY73" s="27">
        <v>0.94607843137254899</v>
      </c>
      <c r="AZ73" s="27">
        <v>0.93790849673202614</v>
      </c>
      <c r="BA73" s="27">
        <v>0.92647058823529416</v>
      </c>
      <c r="BB73" s="27">
        <v>0.92725591133336926</v>
      </c>
      <c r="BC73" s="27">
        <v>0.90349417637271212</v>
      </c>
      <c r="BD73" s="27">
        <v>0.91103789126853374</v>
      </c>
      <c r="BE73" s="27">
        <v>0.86688851913477538</v>
      </c>
      <c r="BF73" s="27">
        <v>0.87751677852348997</v>
      </c>
      <c r="BG73" s="27">
        <v>0.88998357963875208</v>
      </c>
      <c r="BH73" s="27">
        <v>0.92751235584843494</v>
      </c>
      <c r="BI73" s="27">
        <v>0.89508196721311473</v>
      </c>
      <c r="BJ73" s="27">
        <v>0.89593075257140187</v>
      </c>
      <c r="BK73" s="27">
        <v>0.86776859504132231</v>
      </c>
      <c r="BL73" s="27">
        <v>0.89586776859504136</v>
      </c>
      <c r="BM73" s="27">
        <v>0.87959866220735783</v>
      </c>
      <c r="BN73" s="27">
        <v>0.87416107382550334</v>
      </c>
      <c r="BO73" s="27">
        <v>0.88391376451077941</v>
      </c>
      <c r="BP73" s="27">
        <v>0.91362126245847175</v>
      </c>
      <c r="BQ73" s="27">
        <v>0.91268533772652394</v>
      </c>
      <c r="BR73" s="27">
        <v>0.88965949490928575</v>
      </c>
      <c r="BS73" s="27">
        <v>0.87604690117252937</v>
      </c>
      <c r="BT73" s="27">
        <v>0.92205638474295193</v>
      </c>
      <c r="BU73" s="27">
        <v>0.89</v>
      </c>
      <c r="BV73" s="27">
        <v>0.91428571428571426</v>
      </c>
      <c r="BW73" s="27">
        <v>0.86926994906621391</v>
      </c>
      <c r="BX73" s="27">
        <v>0.87939698492462315</v>
      </c>
      <c r="BY73" s="27">
        <v>0.82646048109965631</v>
      </c>
      <c r="BZ73" s="27">
        <v>0.8825023450416698</v>
      </c>
      <c r="CA73" s="27">
        <v>0.89291598023064256</v>
      </c>
      <c r="CB73" s="27">
        <v>0.89508196721311473</v>
      </c>
      <c r="CC73" s="27">
        <v>0.89273927392739272</v>
      </c>
      <c r="CD73" s="27">
        <v>0.91268533772652394</v>
      </c>
      <c r="CE73" s="27">
        <v>0.88429752066115708</v>
      </c>
      <c r="CF73" s="27">
        <v>0.87642276422764231</v>
      </c>
      <c r="CG73" s="27">
        <v>0.90317195325542576</v>
      </c>
      <c r="CH73" s="27">
        <v>0.89390211389169971</v>
      </c>
      <c r="CI73" s="27">
        <v>0.89326765188834156</v>
      </c>
      <c r="CJ73" s="27">
        <v>0.92270531400966183</v>
      </c>
      <c r="CK73" s="27">
        <v>0.90247933884297515</v>
      </c>
      <c r="CL73" s="27">
        <v>0.89261744966442957</v>
      </c>
      <c r="CM73" s="27">
        <v>0.91639344262295086</v>
      </c>
      <c r="CN73" s="27">
        <v>0.90614886731391586</v>
      </c>
      <c r="CO73" s="27">
        <v>0.92775041050903118</v>
      </c>
      <c r="CP73" s="27">
        <v>0.90876606783590097</v>
      </c>
      <c r="CQ73" s="27">
        <v>0.89603960396039606</v>
      </c>
      <c r="CR73" s="27">
        <v>0.8856209150326797</v>
      </c>
      <c r="CS73" s="27">
        <v>0.89421487603305783</v>
      </c>
      <c r="CT73" s="27">
        <v>0.914572864321608</v>
      </c>
      <c r="CU73" s="27">
        <v>0.88557213930348255</v>
      </c>
      <c r="CV73" s="27">
        <v>0.90413223140495869</v>
      </c>
      <c r="CW73" s="27">
        <v>0.89917355371900831</v>
      </c>
      <c r="CX73" s="27">
        <v>0.8970465976821701</v>
      </c>
    </row>
    <row r="74" spans="38:102" x14ac:dyDescent="0.35">
      <c r="AL74" s="16" t="s">
        <v>256</v>
      </c>
      <c r="AM74" s="27">
        <v>1</v>
      </c>
      <c r="AN74" s="27">
        <v>1</v>
      </c>
      <c r="AO74" s="27">
        <v>1</v>
      </c>
      <c r="AP74" s="27">
        <v>1</v>
      </c>
      <c r="AQ74" s="27">
        <v>1</v>
      </c>
      <c r="AR74" s="27">
        <v>1</v>
      </c>
      <c r="AS74" s="27">
        <v>1</v>
      </c>
      <c r="AT74" s="27">
        <v>1</v>
      </c>
      <c r="AU74" s="27">
        <v>1</v>
      </c>
      <c r="AV74" s="27">
        <v>1</v>
      </c>
      <c r="AW74" s="27">
        <v>0.99784017278617709</v>
      </c>
      <c r="AX74" s="27">
        <v>0.99568034557235419</v>
      </c>
      <c r="AY74" s="27">
        <v>1</v>
      </c>
      <c r="AZ74" s="27">
        <v>1</v>
      </c>
      <c r="BA74" s="27">
        <v>1</v>
      </c>
      <c r="BB74" s="27">
        <v>0.99907435976550452</v>
      </c>
      <c r="BC74" s="27">
        <v>1</v>
      </c>
      <c r="BD74" s="27">
        <v>1</v>
      </c>
      <c r="BE74" s="27">
        <v>1</v>
      </c>
      <c r="BF74" s="27">
        <v>1</v>
      </c>
      <c r="BG74" s="27">
        <v>1</v>
      </c>
      <c r="BH74" s="27">
        <v>1</v>
      </c>
      <c r="BI74" s="27">
        <v>1</v>
      </c>
      <c r="BJ74" s="27">
        <v>1</v>
      </c>
      <c r="BK74" s="27">
        <v>1</v>
      </c>
      <c r="BL74" s="27">
        <v>1</v>
      </c>
      <c r="BM74" s="27">
        <v>1</v>
      </c>
      <c r="BN74" s="27">
        <v>1</v>
      </c>
      <c r="BO74" s="27">
        <v>1</v>
      </c>
      <c r="BP74" s="27">
        <v>1</v>
      </c>
      <c r="BQ74" s="27">
        <v>1</v>
      </c>
      <c r="BR74" s="27">
        <v>1</v>
      </c>
      <c r="BS74" s="27">
        <v>0.9955357142857143</v>
      </c>
      <c r="BT74" s="27">
        <v>0.9910714285714286</v>
      </c>
      <c r="BU74" s="27">
        <v>0.9955357142857143</v>
      </c>
      <c r="BV74" s="27">
        <v>0.9955357142857143</v>
      </c>
      <c r="BW74" s="27">
        <v>1</v>
      </c>
      <c r="BX74" s="27">
        <v>1</v>
      </c>
      <c r="BY74" s="27">
        <v>1</v>
      </c>
      <c r="BZ74" s="27">
        <v>0.99681122448979598</v>
      </c>
      <c r="CA74" s="27"/>
      <c r="CB74" s="27"/>
      <c r="CC74" s="27"/>
      <c r="CD74" s="27"/>
      <c r="CE74" s="27"/>
      <c r="CF74" s="27"/>
      <c r="CG74" s="27"/>
      <c r="CH74" s="27"/>
      <c r="CI74" s="27"/>
      <c r="CJ74" s="27"/>
      <c r="CK74" s="27"/>
      <c r="CL74" s="27"/>
      <c r="CM74" s="27"/>
      <c r="CN74" s="27"/>
      <c r="CO74" s="27"/>
      <c r="CP74" s="27"/>
      <c r="CQ74" s="27"/>
      <c r="CR74" s="27"/>
      <c r="CS74" s="27"/>
      <c r="CT74" s="27"/>
      <c r="CU74" s="27"/>
      <c r="CV74" s="27"/>
      <c r="CW74" s="27"/>
      <c r="CX74" s="27"/>
    </row>
    <row r="75" spans="38:102" x14ac:dyDescent="0.35">
      <c r="AL75" s="16" t="s">
        <v>257</v>
      </c>
      <c r="AM75" s="27">
        <v>0.9507299270072993</v>
      </c>
      <c r="AN75" s="27">
        <v>0.94475138121546964</v>
      </c>
      <c r="AO75" s="27">
        <v>0.93738489871086561</v>
      </c>
      <c r="AP75" s="27">
        <v>0.93186003683241247</v>
      </c>
      <c r="AQ75" s="27">
        <v>0.95495495495495497</v>
      </c>
      <c r="AR75" s="27">
        <v>0.96139705882352944</v>
      </c>
      <c r="AS75" s="27">
        <v>0.9779411764705882</v>
      </c>
      <c r="AT75" s="27">
        <v>0.95128849057358844</v>
      </c>
      <c r="AU75" s="27">
        <v>0.95740740740740737</v>
      </c>
      <c r="AV75" s="27">
        <v>0.93418647166361979</v>
      </c>
      <c r="AW75" s="27">
        <v>0.90841121495327104</v>
      </c>
      <c r="AX75" s="27">
        <v>0.95291902071563084</v>
      </c>
      <c r="AY75" s="27">
        <v>0.96050269299820468</v>
      </c>
      <c r="AZ75" s="27">
        <v>0.96897810218978098</v>
      </c>
      <c r="BA75" s="27">
        <v>0.96209386281588449</v>
      </c>
      <c r="BB75" s="27">
        <v>0.94921411039197134</v>
      </c>
      <c r="BC75" s="27">
        <v>0.94117647058823528</v>
      </c>
      <c r="BD75" s="27">
        <v>0.96052631578947367</v>
      </c>
      <c r="BE75" s="27">
        <v>0.91682070240295743</v>
      </c>
      <c r="BF75" s="27">
        <v>0.91896869244935542</v>
      </c>
      <c r="BG75" s="27">
        <v>0.93430656934306566</v>
      </c>
      <c r="BH75" s="27">
        <v>0.95652173913043481</v>
      </c>
      <c r="BI75" s="27">
        <v>0.93944954128440372</v>
      </c>
      <c r="BJ75" s="27">
        <v>0.93825286156970378</v>
      </c>
      <c r="BK75" s="27">
        <v>0.95340501792114696</v>
      </c>
      <c r="BL75" s="27">
        <v>0.93297101449275366</v>
      </c>
      <c r="BM75" s="27">
        <v>0.86727272727272731</v>
      </c>
      <c r="BN75" s="27">
        <v>0.87867647058823528</v>
      </c>
      <c r="BO75" s="27">
        <v>0.94727272727272727</v>
      </c>
      <c r="BP75" s="27">
        <v>0.94234234234234238</v>
      </c>
      <c r="BQ75" s="27">
        <v>0.95660036166365281</v>
      </c>
      <c r="BR75" s="27">
        <v>0.92550580879336941</v>
      </c>
      <c r="BS75" s="27">
        <v>0.90719696969696972</v>
      </c>
      <c r="BT75" s="27">
        <v>0.90757855822550837</v>
      </c>
      <c r="BU75" s="27">
        <v>0.89265536723163841</v>
      </c>
      <c r="BV75" s="27">
        <v>0.9149338374291115</v>
      </c>
      <c r="BW75" s="27">
        <v>0.83206106870229013</v>
      </c>
      <c r="BX75" s="27">
        <v>0.87385740402193779</v>
      </c>
      <c r="BY75" s="27">
        <v>0.78490566037735854</v>
      </c>
      <c r="BZ75" s="27">
        <v>0.8733126950978306</v>
      </c>
      <c r="CA75" s="27">
        <v>0.9497307001795332</v>
      </c>
      <c r="CB75" s="27">
        <v>0.93560606060606055</v>
      </c>
      <c r="CC75" s="27">
        <v>0.92057761732851984</v>
      </c>
      <c r="CD75" s="27">
        <v>0.94227188081936686</v>
      </c>
      <c r="CE75" s="27">
        <v>0.93967093235831811</v>
      </c>
      <c r="CF75" s="27">
        <v>0.97588126159554733</v>
      </c>
      <c r="CG75" s="27">
        <v>0.93956043956043955</v>
      </c>
      <c r="CH75" s="27">
        <v>0.94332841320682648</v>
      </c>
      <c r="CI75" s="27">
        <v>0.95204262877442269</v>
      </c>
      <c r="CJ75" s="27">
        <v>0.96435272045028142</v>
      </c>
      <c r="CK75" s="27">
        <v>0.92349726775956287</v>
      </c>
      <c r="CL75" s="27">
        <v>0.95281306715063518</v>
      </c>
      <c r="CM75" s="27">
        <v>0.95187165775401072</v>
      </c>
      <c r="CN75" s="27">
        <v>0.95567375886524819</v>
      </c>
      <c r="CO75" s="27">
        <v>0.94295900178253123</v>
      </c>
      <c r="CP75" s="27">
        <v>0.94903001464809889</v>
      </c>
      <c r="CQ75" s="27">
        <v>0.95652173913043481</v>
      </c>
      <c r="CR75" s="27">
        <v>0.95390070921985815</v>
      </c>
      <c r="CS75" s="27">
        <v>0.89748201438848918</v>
      </c>
      <c r="CT75" s="27">
        <v>0.91351351351351351</v>
      </c>
      <c r="CU75" s="27">
        <v>0.96167883211678828</v>
      </c>
      <c r="CV75" s="27">
        <v>0.94921190893169882</v>
      </c>
      <c r="CW75" s="27">
        <v>0.96607142857142858</v>
      </c>
      <c r="CX75" s="27">
        <v>0.94262573512460157</v>
      </c>
    </row>
    <row r="76" spans="38:102" x14ac:dyDescent="0.35">
      <c r="AL76" s="16" t="s">
        <v>258</v>
      </c>
      <c r="AM76" s="27">
        <v>0.9641791044776119</v>
      </c>
      <c r="AN76" s="27">
        <v>0.97076612903225812</v>
      </c>
      <c r="AO76" s="27">
        <v>0.96596596596596596</v>
      </c>
      <c r="AP76" s="27">
        <v>0.95799999999999996</v>
      </c>
      <c r="AQ76" s="27">
        <v>0.95776031434184672</v>
      </c>
      <c r="AR76" s="27">
        <v>0.97128712871287126</v>
      </c>
      <c r="AS76" s="27">
        <v>0.96256157635467976</v>
      </c>
      <c r="AT76" s="27">
        <v>0.96436003126931902</v>
      </c>
      <c r="AU76" s="27">
        <v>0.97213930348258704</v>
      </c>
      <c r="AV76" s="27">
        <v>0.97817460317460314</v>
      </c>
      <c r="AW76" s="27">
        <v>0.96761133603238869</v>
      </c>
      <c r="AX76" s="27">
        <v>0.96676737160120851</v>
      </c>
      <c r="AY76" s="27">
        <v>0.96893787575150303</v>
      </c>
      <c r="AZ76" s="27">
        <v>0.95341922695738357</v>
      </c>
      <c r="BA76" s="27">
        <v>0.96084337349397586</v>
      </c>
      <c r="BB76" s="27">
        <v>0.96684187007052125</v>
      </c>
      <c r="BC76" s="27">
        <v>0.96825396825396826</v>
      </c>
      <c r="BD76" s="27">
        <v>0.9751737835153923</v>
      </c>
      <c r="BE76" s="27">
        <v>0.96099999999999997</v>
      </c>
      <c r="BF76" s="27">
        <v>0.96596596596596596</v>
      </c>
      <c r="BG76" s="27">
        <v>0.97534516765285995</v>
      </c>
      <c r="BH76" s="27">
        <v>0.97350343473994116</v>
      </c>
      <c r="BI76" s="27">
        <v>0.97740667976424367</v>
      </c>
      <c r="BJ76" s="27">
        <v>0.97094985712748161</v>
      </c>
      <c r="BK76" s="27">
        <v>0.97337278106508873</v>
      </c>
      <c r="BL76" s="27">
        <v>0.97044334975369462</v>
      </c>
      <c r="BM76" s="27">
        <v>0.93942403177755707</v>
      </c>
      <c r="BN76" s="27">
        <v>0.92729083665338641</v>
      </c>
      <c r="BO76" s="27">
        <v>0.974609375</v>
      </c>
      <c r="BP76" s="27">
        <v>0.98060135790494662</v>
      </c>
      <c r="BQ76" s="27">
        <v>0.98440545808966862</v>
      </c>
      <c r="BR76" s="27">
        <v>0.96430674146347761</v>
      </c>
      <c r="BS76" s="27">
        <v>0.92807192807192807</v>
      </c>
      <c r="BT76" s="27">
        <v>0.95422885572139304</v>
      </c>
      <c r="BU76" s="27">
        <v>0.93936381709741545</v>
      </c>
      <c r="BV76" s="27">
        <v>0.94257425742574252</v>
      </c>
      <c r="BW76" s="27">
        <v>0.8858858858858859</v>
      </c>
      <c r="BX76" s="27">
        <v>0.94674556213017746</v>
      </c>
      <c r="BY76" s="27">
        <v>0.87171717171717167</v>
      </c>
      <c r="BZ76" s="27">
        <v>0.92408392543567341</v>
      </c>
      <c r="CA76" s="27">
        <v>0.9638671875</v>
      </c>
      <c r="CB76" s="27">
        <v>0.96865817825661116</v>
      </c>
      <c r="CC76" s="27">
        <v>0.96868884540117417</v>
      </c>
      <c r="CD76" s="27">
        <v>0.96808510638297873</v>
      </c>
      <c r="CE76" s="27">
        <v>0.9638671875</v>
      </c>
      <c r="CF76" s="27">
        <v>0.96274509803921571</v>
      </c>
      <c r="CG76" s="27">
        <v>0.94559841740850648</v>
      </c>
      <c r="CH76" s="27">
        <v>0.96307286006978365</v>
      </c>
      <c r="CI76" s="27">
        <v>0.98527968596663396</v>
      </c>
      <c r="CJ76" s="27">
        <v>0.96228239845261121</v>
      </c>
      <c r="CK76" s="27">
        <v>0.95044598612487607</v>
      </c>
      <c r="CL76" s="27">
        <v>0.96211365902293122</v>
      </c>
      <c r="CM76" s="27">
        <v>0.97868217054263562</v>
      </c>
      <c r="CN76" s="27">
        <v>0.9738625363020329</v>
      </c>
      <c r="CO76" s="27">
        <v>0.97297297297297303</v>
      </c>
      <c r="CP76" s="27">
        <v>0.96937705848352773</v>
      </c>
      <c r="CQ76" s="27">
        <v>0.98435972629521018</v>
      </c>
      <c r="CR76" s="27">
        <v>0.96663395485770365</v>
      </c>
      <c r="CS76" s="27">
        <v>0.96146245059288538</v>
      </c>
      <c r="CT76" s="27">
        <v>0.9743336623889437</v>
      </c>
      <c r="CU76" s="27">
        <v>0.98221343873517786</v>
      </c>
      <c r="CV76" s="27">
        <v>0.98727984344422703</v>
      </c>
      <c r="CW76" s="27">
        <v>0.98533724340175954</v>
      </c>
      <c r="CX76" s="27">
        <v>0.97737433138798668</v>
      </c>
    </row>
    <row r="77" spans="38:102" x14ac:dyDescent="0.35">
      <c r="AL77" s="16" t="s">
        <v>259</v>
      </c>
      <c r="AM77" s="27">
        <v>0.98421807747489243</v>
      </c>
      <c r="AN77" s="27">
        <v>0.99855699855699853</v>
      </c>
      <c r="AO77" s="27">
        <v>0.98998569384835478</v>
      </c>
      <c r="AP77" s="27">
        <v>0.9885057471264368</v>
      </c>
      <c r="AQ77" s="27">
        <v>0.96556671449067433</v>
      </c>
      <c r="AR77" s="27">
        <v>0.99136690647482018</v>
      </c>
      <c r="AS77" s="27">
        <v>0.97138769670958514</v>
      </c>
      <c r="AT77" s="27">
        <v>0.98422683352596607</v>
      </c>
      <c r="AU77" s="27">
        <v>0.96551724137931039</v>
      </c>
      <c r="AV77" s="27">
        <v>0.97564469914040119</v>
      </c>
      <c r="AW77" s="27">
        <v>0.95100864553314124</v>
      </c>
      <c r="AX77" s="27">
        <v>0.96700143472022959</v>
      </c>
      <c r="AY77" s="27">
        <v>0.97285714285714286</v>
      </c>
      <c r="AZ77" s="27">
        <v>0.97997138769670955</v>
      </c>
      <c r="BA77" s="27">
        <v>0.97854077253218885</v>
      </c>
      <c r="BB77" s="27">
        <v>0.97007733197987478</v>
      </c>
      <c r="BC77" s="27">
        <v>0.97571428571428576</v>
      </c>
      <c r="BD77" s="27">
        <v>0.98142857142857143</v>
      </c>
      <c r="BE77" s="27">
        <v>0.96280400572246061</v>
      </c>
      <c r="BF77" s="27">
        <v>0.95558739255014324</v>
      </c>
      <c r="BG77" s="27">
        <v>0.97138769670958514</v>
      </c>
      <c r="BH77" s="27">
        <v>0.98137535816618915</v>
      </c>
      <c r="BI77" s="27">
        <v>0.98571428571428577</v>
      </c>
      <c r="BJ77" s="27">
        <v>0.97343022800078871</v>
      </c>
      <c r="BK77" s="27">
        <v>0.97496318114874814</v>
      </c>
      <c r="BL77" s="27">
        <v>0.96291012838801715</v>
      </c>
      <c r="BM77" s="27">
        <v>0.9486803519061584</v>
      </c>
      <c r="BN77" s="27">
        <v>0.96449704142011838</v>
      </c>
      <c r="BO77" s="27">
        <v>0.97214076246334313</v>
      </c>
      <c r="BP77" s="27">
        <v>0.96857142857142853</v>
      </c>
      <c r="BQ77" s="27">
        <v>0.96704871060171915</v>
      </c>
      <c r="BR77" s="27">
        <v>0.96554451492850468</v>
      </c>
      <c r="BS77" s="27">
        <v>0.94213649851632042</v>
      </c>
      <c r="BT77" s="27">
        <v>0.9661764705882353</v>
      </c>
      <c r="BU77" s="27">
        <v>0.93639053254437865</v>
      </c>
      <c r="BV77" s="27">
        <v>0.94940476190476186</v>
      </c>
      <c r="BW77" s="27">
        <v>0.94205052005943535</v>
      </c>
      <c r="BX77" s="27">
        <v>0.95568685376661744</v>
      </c>
      <c r="BY77" s="27">
        <v>0.9151785714285714</v>
      </c>
      <c r="BZ77" s="27">
        <v>0.9438606012583316</v>
      </c>
      <c r="CA77" s="27">
        <v>0.97067448680351909</v>
      </c>
      <c r="CB77" s="27">
        <v>0.95882352941176474</v>
      </c>
      <c r="CC77" s="27">
        <v>0.95741556534508077</v>
      </c>
      <c r="CD77" s="27">
        <v>0.94721407624633436</v>
      </c>
      <c r="CE77" s="27">
        <v>0.94713656387665202</v>
      </c>
      <c r="CF77" s="27">
        <v>0.95614035087719296</v>
      </c>
      <c r="CG77" s="27">
        <v>0.94526627218934911</v>
      </c>
      <c r="CH77" s="27">
        <v>0.95466726353569908</v>
      </c>
      <c r="CI77" s="27">
        <v>0.95273264401772528</v>
      </c>
      <c r="CJ77" s="27">
        <v>0.9692982456140351</v>
      </c>
      <c r="CK77" s="27">
        <v>0.93768545994065278</v>
      </c>
      <c r="CL77" s="27">
        <v>0.93601190476190477</v>
      </c>
      <c r="CM77" s="27">
        <v>0.9544117647058824</v>
      </c>
      <c r="CN77" s="27">
        <v>0.96345029239766078</v>
      </c>
      <c r="CO77" s="27">
        <v>0.95107913669064748</v>
      </c>
      <c r="CP77" s="27">
        <v>0.95209563544692977</v>
      </c>
      <c r="CQ77" s="27">
        <v>0.93961708394698085</v>
      </c>
      <c r="CR77" s="27">
        <v>0.94666666666666666</v>
      </c>
      <c r="CS77" s="27">
        <v>0.94666666666666666</v>
      </c>
      <c r="CT77" s="27">
        <v>0.94091580502215655</v>
      </c>
      <c r="CU77" s="27">
        <v>0.94925373134328361</v>
      </c>
      <c r="CV77" s="27">
        <v>0.93970588235294117</v>
      </c>
      <c r="CW77" s="27">
        <v>0.9661764705882353</v>
      </c>
      <c r="CX77" s="27">
        <v>0.94700032951241864</v>
      </c>
    </row>
    <row r="78" spans="38:102" x14ac:dyDescent="0.35">
      <c r="AL78" s="16" t="s">
        <v>260</v>
      </c>
      <c r="AM78" s="27">
        <v>0.89274447949526814</v>
      </c>
      <c r="AN78" s="27">
        <v>0.8957800511508951</v>
      </c>
      <c r="AO78" s="27">
        <v>0.88582183186951069</v>
      </c>
      <c r="AP78" s="27">
        <v>0.91002570694087404</v>
      </c>
      <c r="AQ78" s="27">
        <v>0.90717029449423814</v>
      </c>
      <c r="AR78" s="27">
        <v>0.90549169859514689</v>
      </c>
      <c r="AS78" s="27">
        <v>0.91229193341869397</v>
      </c>
      <c r="AT78" s="27">
        <v>0.90133228513780395</v>
      </c>
      <c r="AU78" s="27">
        <v>0.90593434343434343</v>
      </c>
      <c r="AV78" s="27">
        <v>0.92312620115310695</v>
      </c>
      <c r="AW78" s="27">
        <v>0.8988476312419974</v>
      </c>
      <c r="AX78" s="27">
        <v>0.91709511568123392</v>
      </c>
      <c r="AY78" s="27">
        <v>0.91293213828425102</v>
      </c>
      <c r="AZ78" s="27">
        <v>0.92380952380952386</v>
      </c>
      <c r="BA78" s="27">
        <v>0.92637644046094747</v>
      </c>
      <c r="BB78" s="27">
        <v>0.91544591343791482</v>
      </c>
      <c r="BC78" s="27">
        <v>0.88348271446862991</v>
      </c>
      <c r="BD78" s="27">
        <v>0.92806679511881829</v>
      </c>
      <c r="BE78" s="27">
        <v>0.86615186615186612</v>
      </c>
      <c r="BF78" s="27">
        <v>0.85907335907335902</v>
      </c>
      <c r="BG78" s="27">
        <v>0.91933418693982072</v>
      </c>
      <c r="BH78" s="27">
        <v>0.92765685019206146</v>
      </c>
      <c r="BI78" s="27">
        <v>0.92957746478873238</v>
      </c>
      <c r="BJ78" s="27">
        <v>0.901906176676184</v>
      </c>
      <c r="BK78" s="27">
        <v>0.89308578745198464</v>
      </c>
      <c r="BL78" s="27">
        <v>0.91212315586914694</v>
      </c>
      <c r="BM78" s="27">
        <v>0.86043533930857874</v>
      </c>
      <c r="BN78" s="27">
        <v>0.86936936936936937</v>
      </c>
      <c r="BO78" s="27">
        <v>0.88540332906530095</v>
      </c>
      <c r="BP78" s="27">
        <v>0.88860435339308574</v>
      </c>
      <c r="BQ78" s="27">
        <v>0.90588988476312415</v>
      </c>
      <c r="BR78" s="27">
        <v>0.88784445988865579</v>
      </c>
      <c r="BS78" s="27">
        <v>0.86202450032237266</v>
      </c>
      <c r="BT78" s="27">
        <v>0.89189189189189189</v>
      </c>
      <c r="BU78" s="27">
        <v>0.87402597402597404</v>
      </c>
      <c r="BV78" s="27">
        <v>0.91270358306188926</v>
      </c>
      <c r="BW78" s="27">
        <v>0.83387410772225823</v>
      </c>
      <c r="BX78" s="27">
        <v>0.85944551901998711</v>
      </c>
      <c r="BY78" s="27">
        <v>0.79285714285714282</v>
      </c>
      <c r="BZ78" s="27">
        <v>0.86097467412878803</v>
      </c>
      <c r="CA78" s="27">
        <v>0.92033142128744427</v>
      </c>
      <c r="CB78" s="27">
        <v>0.91287636130685457</v>
      </c>
      <c r="CC78" s="27">
        <v>0.92337662337662341</v>
      </c>
      <c r="CD78" s="27">
        <v>0.93289902280130288</v>
      </c>
      <c r="CE78" s="27">
        <v>0.90885914595283623</v>
      </c>
      <c r="CF78" s="27">
        <v>0.90601023017902815</v>
      </c>
      <c r="CG78" s="27">
        <v>0.89350649350649347</v>
      </c>
      <c r="CH78" s="27">
        <v>0.91397989977294036</v>
      </c>
      <c r="CI78" s="27">
        <v>0.92402597402597397</v>
      </c>
      <c r="CJ78" s="27">
        <v>0.94293125810635536</v>
      </c>
      <c r="CK78" s="27">
        <v>0.89480519480519483</v>
      </c>
      <c r="CL78" s="27">
        <v>0.9048239895697523</v>
      </c>
      <c r="CM78" s="27">
        <v>0.92662337662337657</v>
      </c>
      <c r="CN78" s="27">
        <v>0.93246753246753245</v>
      </c>
      <c r="CO78" s="27">
        <v>0.94285714285714284</v>
      </c>
      <c r="CP78" s="27">
        <v>0.92407635263647536</v>
      </c>
      <c r="CQ78" s="27">
        <v>0.90259740259740262</v>
      </c>
      <c r="CR78" s="27">
        <v>0.916015625</v>
      </c>
      <c r="CS78" s="27">
        <v>0.86345903771131338</v>
      </c>
      <c r="CT78" s="27">
        <v>0.8867924528301887</v>
      </c>
      <c r="CU78" s="27">
        <v>0.90844155844155849</v>
      </c>
      <c r="CV78" s="27">
        <v>0.92077922077922081</v>
      </c>
      <c r="CW78" s="27">
        <v>0.91363636363636369</v>
      </c>
      <c r="CX78" s="27">
        <v>0.9016745229994354</v>
      </c>
    </row>
    <row r="79" spans="38:102" x14ac:dyDescent="0.35">
      <c r="AL79" s="16" t="s">
        <v>261</v>
      </c>
      <c r="AM79" s="27">
        <v>0.91811023622047239</v>
      </c>
      <c r="AN79" s="27">
        <v>0.9581939799331104</v>
      </c>
      <c r="AO79" s="27">
        <v>0.91640378548895896</v>
      </c>
      <c r="AP79" s="27">
        <v>0.91428571428571426</v>
      </c>
      <c r="AQ79" s="27">
        <v>0.93312101910828027</v>
      </c>
      <c r="AR79" s="27">
        <v>0.95959595959595956</v>
      </c>
      <c r="AS79" s="27">
        <v>0.94974874371859297</v>
      </c>
      <c r="AT79" s="27">
        <v>0.93563706262158419</v>
      </c>
      <c r="AU79" s="27">
        <v>0.92246835443037978</v>
      </c>
      <c r="AV79" s="27">
        <v>0.93026941362916005</v>
      </c>
      <c r="AW79" s="27">
        <v>0.90764331210191085</v>
      </c>
      <c r="AX79" s="27">
        <v>0.90559999999999996</v>
      </c>
      <c r="AY79" s="27">
        <v>0.93343898573692552</v>
      </c>
      <c r="AZ79" s="27">
        <v>0.93481717011128773</v>
      </c>
      <c r="BA79" s="27">
        <v>0.94070512820512819</v>
      </c>
      <c r="BB79" s="27">
        <v>0.9249917663163989</v>
      </c>
      <c r="BC79" s="27">
        <v>0.92753623188405798</v>
      </c>
      <c r="BD79" s="27">
        <v>0.92096774193548392</v>
      </c>
      <c r="BE79" s="27">
        <v>0.93606557377049182</v>
      </c>
      <c r="BF79" s="27">
        <v>0.92357723577235773</v>
      </c>
      <c r="BG79" s="27">
        <v>0.92753623188405798</v>
      </c>
      <c r="BH79" s="27">
        <v>0.93269230769230771</v>
      </c>
      <c r="BI79" s="27">
        <v>0.94489465153970831</v>
      </c>
      <c r="BJ79" s="27">
        <v>0.93046713921120949</v>
      </c>
      <c r="BK79" s="27">
        <v>0.92993630573248409</v>
      </c>
      <c r="BL79" s="27">
        <v>0.9550561797752809</v>
      </c>
      <c r="BM79" s="27">
        <v>0.91800643086816724</v>
      </c>
      <c r="BN79" s="27">
        <v>0.92459016393442628</v>
      </c>
      <c r="BO79" s="27">
        <v>0.92539682539682544</v>
      </c>
      <c r="BP79" s="27">
        <v>0.96091205211726383</v>
      </c>
      <c r="BQ79" s="27">
        <v>0.93460925039872411</v>
      </c>
      <c r="BR79" s="27">
        <v>0.93550102974616745</v>
      </c>
      <c r="BS79" s="27">
        <v>0.90099009900990101</v>
      </c>
      <c r="BT79" s="27">
        <v>0.94934640522875813</v>
      </c>
      <c r="BU79" s="27">
        <v>0.92131147540983604</v>
      </c>
      <c r="BV79" s="27">
        <v>0.92845528455284554</v>
      </c>
      <c r="BW79" s="27">
        <v>0.89333333333333331</v>
      </c>
      <c r="BX79" s="27">
        <v>0.93973941368078173</v>
      </c>
      <c r="BY79" s="27">
        <v>0.85996705107084015</v>
      </c>
      <c r="BZ79" s="27">
        <v>0.91330615175518515</v>
      </c>
      <c r="CA79" s="27">
        <v>0.94975688816855752</v>
      </c>
      <c r="CB79" s="27">
        <v>0.95121951219512191</v>
      </c>
      <c r="CC79" s="27">
        <v>0.92903225806451617</v>
      </c>
      <c r="CD79" s="27">
        <v>0.94032258064516128</v>
      </c>
      <c r="CE79" s="27">
        <v>0.94233937397034595</v>
      </c>
      <c r="CF79" s="27">
        <v>0.93841166936790921</v>
      </c>
      <c r="CG79" s="27">
        <v>0.90909090909090906</v>
      </c>
      <c r="CH79" s="27">
        <v>0.93716759878607436</v>
      </c>
      <c r="CI79" s="27">
        <v>0.93660855784469099</v>
      </c>
      <c r="CJ79" s="27">
        <v>0.95432300163132133</v>
      </c>
      <c r="CK79" s="27">
        <v>0.92063492063492058</v>
      </c>
      <c r="CL79" s="27">
        <v>0.9102362204724409</v>
      </c>
      <c r="CM79" s="27">
        <v>0.94303797468354433</v>
      </c>
      <c r="CN79" s="27">
        <v>0.95686900958466459</v>
      </c>
      <c r="CO79" s="27">
        <v>0.94357366771159878</v>
      </c>
      <c r="CP79" s="27">
        <v>0.93789762179474023</v>
      </c>
      <c r="CQ79" s="27">
        <v>0.93228346456692912</v>
      </c>
      <c r="CR79" s="27">
        <v>0.92913385826771655</v>
      </c>
      <c r="CS79" s="27">
        <v>0.91718750000000004</v>
      </c>
      <c r="CT79" s="27">
        <v>0.93103448275862066</v>
      </c>
      <c r="CU79" s="27">
        <v>0.92093023255813955</v>
      </c>
      <c r="CV79" s="27">
        <v>0.93593749999999998</v>
      </c>
      <c r="CW79" s="27">
        <v>0.9285714285714286</v>
      </c>
      <c r="CX79" s="27">
        <v>0.92786835238897647</v>
      </c>
    </row>
    <row r="80" spans="38:102" x14ac:dyDescent="0.35">
      <c r="AL80" s="16" t="s">
        <v>262</v>
      </c>
      <c r="AM80" s="27">
        <v>0.93271461716937354</v>
      </c>
      <c r="AN80" s="27">
        <v>0.93012600229095077</v>
      </c>
      <c r="AO80" s="27">
        <v>0.90307867730900793</v>
      </c>
      <c r="AP80" s="27">
        <v>0.91986062717770034</v>
      </c>
      <c r="AQ80" s="27">
        <v>0.93387470997679811</v>
      </c>
      <c r="AR80" s="27">
        <v>0.9363636363636364</v>
      </c>
      <c r="AS80" s="27">
        <v>0.9276693455797933</v>
      </c>
      <c r="AT80" s="27">
        <v>0.92624108798103733</v>
      </c>
      <c r="AU80" s="27">
        <v>0.91914387633769323</v>
      </c>
      <c r="AV80" s="27">
        <v>0.93023255813953487</v>
      </c>
      <c r="AW80" s="27">
        <v>0.91686746987951806</v>
      </c>
      <c r="AX80" s="27">
        <v>0.90156062424969985</v>
      </c>
      <c r="AY80" s="27">
        <v>0.93634259259259256</v>
      </c>
      <c r="AZ80" s="27">
        <v>0.9511918274687855</v>
      </c>
      <c r="BA80" s="27">
        <v>0.94610091743119262</v>
      </c>
      <c r="BB80" s="27">
        <v>0.92877712372843102</v>
      </c>
      <c r="BC80" s="27">
        <v>0.9314420803782506</v>
      </c>
      <c r="BD80" s="27">
        <v>0.91805225653206646</v>
      </c>
      <c r="BE80" s="27">
        <v>0.88715486194477788</v>
      </c>
      <c r="BF80" s="27">
        <v>0.8928571428571429</v>
      </c>
      <c r="BG80" s="27">
        <v>0.92387543252595161</v>
      </c>
      <c r="BH80" s="27">
        <v>0.94083526682134566</v>
      </c>
      <c r="BI80" s="27">
        <v>0.9282407407407407</v>
      </c>
      <c r="BJ80" s="27">
        <v>0.91749396882861078</v>
      </c>
      <c r="BK80" s="27">
        <v>0.91743119266055051</v>
      </c>
      <c r="BL80" s="27">
        <v>0.98287671232876717</v>
      </c>
      <c r="BM80" s="27">
        <v>0.89145496535796764</v>
      </c>
      <c r="BN80" s="27">
        <v>0.88862559241706163</v>
      </c>
      <c r="BO80" s="27">
        <v>0.9279069767441861</v>
      </c>
      <c r="BP80" s="27">
        <v>0.93692660550458717</v>
      </c>
      <c r="BQ80" s="27">
        <v>0.93341121495327106</v>
      </c>
      <c r="BR80" s="27">
        <v>0.92551903713805572</v>
      </c>
      <c r="BS80" s="27">
        <v>0.88187134502923981</v>
      </c>
      <c r="BT80" s="27">
        <v>0.90783410138248843</v>
      </c>
      <c r="BU80" s="27">
        <v>0.88990825688073394</v>
      </c>
      <c r="BV80" s="27">
        <v>0.89092996555683124</v>
      </c>
      <c r="BW80" s="27">
        <v>0.85136741973840668</v>
      </c>
      <c r="BX80" s="27">
        <v>0.8917647058823529</v>
      </c>
      <c r="BY80" s="27">
        <v>0.85443786982248515</v>
      </c>
      <c r="BZ80" s="27">
        <v>0.88115909489893407</v>
      </c>
      <c r="CA80" s="27">
        <v>0.93868450390189517</v>
      </c>
      <c r="CB80" s="27">
        <v>0.9082672706681767</v>
      </c>
      <c r="CC80" s="27">
        <v>0.93468468468468469</v>
      </c>
      <c r="CD80" s="27">
        <v>0.91977401129943503</v>
      </c>
      <c r="CE80" s="27">
        <v>0.927683615819209</v>
      </c>
      <c r="CF80" s="27">
        <v>0.92943770672546855</v>
      </c>
      <c r="CG80" s="27">
        <v>0.92238470191226096</v>
      </c>
      <c r="CH80" s="27">
        <v>0.92584521357301852</v>
      </c>
      <c r="CI80" s="27">
        <v>0.94903737259343146</v>
      </c>
      <c r="CJ80" s="27">
        <v>0.93088071348940915</v>
      </c>
      <c r="CK80" s="27">
        <v>0.9579545454545455</v>
      </c>
      <c r="CL80" s="27">
        <v>0.95248868778280538</v>
      </c>
      <c r="CM80" s="27">
        <v>0.95222222222222219</v>
      </c>
      <c r="CN80" s="27">
        <v>0.9446290143964563</v>
      </c>
      <c r="CO80" s="27">
        <v>0.95143487858719644</v>
      </c>
      <c r="CP80" s="27">
        <v>0.9483782049322953</v>
      </c>
      <c r="CQ80" s="27">
        <v>0.93932584269662922</v>
      </c>
      <c r="CR80" s="27">
        <v>0.94659090909090904</v>
      </c>
      <c r="CS80" s="27">
        <v>0.92431192660550454</v>
      </c>
      <c r="CT80" s="27">
        <v>0.93455797933409879</v>
      </c>
      <c r="CU80" s="27">
        <v>0.94444444444444442</v>
      </c>
      <c r="CV80" s="27">
        <v>0.9438202247191011</v>
      </c>
      <c r="CW80" s="27">
        <v>0.95525727069351229</v>
      </c>
      <c r="CX80" s="27">
        <v>0.94118694251202839</v>
      </c>
    </row>
    <row r="81" spans="38:102" x14ac:dyDescent="0.35">
      <c r="AL81" s="16" t="s">
        <v>263</v>
      </c>
      <c r="AM81" s="27">
        <v>0.94789816459443454</v>
      </c>
      <c r="AN81" s="27">
        <v>0.92335329341317363</v>
      </c>
      <c r="AO81" s="27">
        <v>0.90580568720379151</v>
      </c>
      <c r="AP81" s="27">
        <v>0.90293588975434391</v>
      </c>
      <c r="AQ81" s="27">
        <v>0.95857988165680474</v>
      </c>
      <c r="AR81" s="27">
        <v>0.95150798344175047</v>
      </c>
      <c r="AS81" s="27">
        <v>0.94835680751173712</v>
      </c>
      <c r="AT81" s="27">
        <v>0.93406252965371939</v>
      </c>
      <c r="AU81" s="27">
        <v>0.95133531157270035</v>
      </c>
      <c r="AV81" s="27">
        <v>0.93052256532066513</v>
      </c>
      <c r="AW81" s="27">
        <v>0.92266824085005905</v>
      </c>
      <c r="AX81" s="27">
        <v>0.91312056737588654</v>
      </c>
      <c r="AY81" s="27">
        <v>0.95548961424332346</v>
      </c>
      <c r="AZ81" s="27">
        <v>0.95519713261648742</v>
      </c>
      <c r="BA81" s="27">
        <v>0.96147006520450506</v>
      </c>
      <c r="BB81" s="27">
        <v>0.94140049959766103</v>
      </c>
      <c r="BC81" s="27">
        <v>0.93478260869565222</v>
      </c>
      <c r="BD81" s="27">
        <v>0.92085056113408148</v>
      </c>
      <c r="BE81" s="27">
        <v>0.900417412045319</v>
      </c>
      <c r="BF81" s="27">
        <v>0.90090090090090091</v>
      </c>
      <c r="BG81" s="27">
        <v>0.93478260869565222</v>
      </c>
      <c r="BH81" s="27">
        <v>0.93137829912023462</v>
      </c>
      <c r="BI81" s="27">
        <v>0.95240893066980026</v>
      </c>
      <c r="BJ81" s="27">
        <v>0.92507447446594859</v>
      </c>
      <c r="BK81" s="27">
        <v>0.94956011730205281</v>
      </c>
      <c r="BL81" s="27">
        <v>0.9316696375519905</v>
      </c>
      <c r="BM81" s="27">
        <v>0.90919881305637984</v>
      </c>
      <c r="BN81" s="27">
        <v>0.88862418106015484</v>
      </c>
      <c r="BO81" s="27">
        <v>0.95146198830409356</v>
      </c>
      <c r="BP81" s="27">
        <v>0.95677915926583779</v>
      </c>
      <c r="BQ81" s="27">
        <v>0.94473838918283359</v>
      </c>
      <c r="BR81" s="27">
        <v>0.9331474693890488</v>
      </c>
      <c r="BS81" s="27">
        <v>0.86165048543689315</v>
      </c>
      <c r="BT81" s="27">
        <v>0.89126559714795006</v>
      </c>
      <c r="BU81" s="27">
        <v>0.86336515513126488</v>
      </c>
      <c r="BV81" s="27">
        <v>0.87091017251635927</v>
      </c>
      <c r="BW81" s="27">
        <v>0.8134872417982989</v>
      </c>
      <c r="BX81" s="27">
        <v>0.8835697399527187</v>
      </c>
      <c r="BY81" s="27">
        <v>0.81125226860254085</v>
      </c>
      <c r="BZ81" s="27">
        <v>0.8565000943694322</v>
      </c>
      <c r="CA81" s="27">
        <v>0.93115519253208867</v>
      </c>
      <c r="CB81" s="27">
        <v>0.91494388659184878</v>
      </c>
      <c r="CC81" s="27">
        <v>0.93407886992348443</v>
      </c>
      <c r="CD81" s="27">
        <v>0.930368636629608</v>
      </c>
      <c r="CE81" s="27">
        <v>0.9081812831077104</v>
      </c>
      <c r="CF81" s="27">
        <v>0.91764705882352937</v>
      </c>
      <c r="CG81" s="27">
        <v>0.90205278592375371</v>
      </c>
      <c r="CH81" s="27">
        <v>0.91977538764743194</v>
      </c>
      <c r="CI81" s="27">
        <v>0.93782383419689119</v>
      </c>
      <c r="CJ81" s="27">
        <v>0.93125361062969381</v>
      </c>
      <c r="CK81" s="27">
        <v>0.95446685878962534</v>
      </c>
      <c r="CL81" s="27">
        <v>0.93888242142025613</v>
      </c>
      <c r="CM81" s="27">
        <v>0.95415472779369626</v>
      </c>
      <c r="CN81" s="27">
        <v>0.94833524684270953</v>
      </c>
      <c r="CO81" s="27">
        <v>0.9571917808219178</v>
      </c>
      <c r="CP81" s="27">
        <v>0.9460154972135415</v>
      </c>
      <c r="CQ81" s="27">
        <v>0.94694348327566324</v>
      </c>
      <c r="CR81" s="27">
        <v>0.94250871080139376</v>
      </c>
      <c r="CS81" s="27">
        <v>0.93268124280782505</v>
      </c>
      <c r="CT81" s="27">
        <v>0.93559718969555039</v>
      </c>
      <c r="CU81" s="27">
        <v>0.95363480251860333</v>
      </c>
      <c r="CV81" s="27">
        <v>0.9594907407407407</v>
      </c>
      <c r="CW81" s="27">
        <v>0.95639701663798049</v>
      </c>
      <c r="CX81" s="27">
        <v>0.94675045521110823</v>
      </c>
    </row>
    <row r="82" spans="38:102" x14ac:dyDescent="0.35">
      <c r="AL82" s="16" t="s">
        <v>264</v>
      </c>
      <c r="AM82" s="27">
        <v>0.96537678207739308</v>
      </c>
      <c r="AN82" s="27">
        <v>0.94300518134715028</v>
      </c>
      <c r="AO82" s="27">
        <v>0.94677584442169904</v>
      </c>
      <c r="AP82" s="27">
        <v>0.94672131147540983</v>
      </c>
      <c r="AQ82" s="27">
        <v>0.9704081632653061</v>
      </c>
      <c r="AR82" s="27">
        <v>0.97551020408163269</v>
      </c>
      <c r="AS82" s="27">
        <v>0.97160243407707914</v>
      </c>
      <c r="AT82" s="27">
        <v>0.95991427439223853</v>
      </c>
      <c r="AU82" s="27">
        <v>0.96052631578947367</v>
      </c>
      <c r="AV82" s="27">
        <v>0.92515592515592515</v>
      </c>
      <c r="AW82" s="27">
        <v>0.9532520325203252</v>
      </c>
      <c r="AX82" s="27">
        <v>0.93865030674846628</v>
      </c>
      <c r="AY82" s="27">
        <v>0.97250509164969445</v>
      </c>
      <c r="AZ82" s="27">
        <v>0.96106557377049184</v>
      </c>
      <c r="BA82" s="27">
        <v>0.9581632653061225</v>
      </c>
      <c r="BB82" s="27">
        <v>0.95275978727721422</v>
      </c>
      <c r="BC82" s="27">
        <v>0.96088264794383149</v>
      </c>
      <c r="BD82" s="27">
        <v>0.94725956566701142</v>
      </c>
      <c r="BE82" s="27">
        <v>0.94505494505494503</v>
      </c>
      <c r="BF82" s="27">
        <v>0.93445878848063557</v>
      </c>
      <c r="BG82" s="27">
        <v>0.95367573011077544</v>
      </c>
      <c r="BH82" s="27">
        <v>0.95286885245901642</v>
      </c>
      <c r="BI82" s="27">
        <v>0.94822335025380711</v>
      </c>
      <c r="BJ82" s="27">
        <v>0.94891769713857477</v>
      </c>
      <c r="BK82" s="27">
        <v>0.95852968897266733</v>
      </c>
      <c r="BL82" s="27">
        <v>0.93034825870646765</v>
      </c>
      <c r="BM82" s="27">
        <v>0.96418473138548544</v>
      </c>
      <c r="BN82" s="27">
        <v>0.96564885496183206</v>
      </c>
      <c r="BO82" s="27">
        <v>0.96324951644100576</v>
      </c>
      <c r="BP82" s="27">
        <v>0.94747274529236869</v>
      </c>
      <c r="BQ82" s="27">
        <v>0.95034756703078449</v>
      </c>
      <c r="BR82" s="27">
        <v>0.95425448039865868</v>
      </c>
      <c r="BS82" s="27">
        <v>0.85130890052356023</v>
      </c>
      <c r="BT82" s="27">
        <v>0.92756539235412472</v>
      </c>
      <c r="BU82" s="27">
        <v>0.87918781725888329</v>
      </c>
      <c r="BV82" s="27">
        <v>0.93451143451143448</v>
      </c>
      <c r="BW82" s="27">
        <v>0.84607329842931933</v>
      </c>
      <c r="BX82" s="27">
        <v>0.94291338582677164</v>
      </c>
      <c r="BY82" s="27">
        <v>0.87629937629937626</v>
      </c>
      <c r="BZ82" s="27">
        <v>0.89397994360049571</v>
      </c>
      <c r="CA82" s="27">
        <v>0.95723014256619143</v>
      </c>
      <c r="CB82" s="27">
        <v>0.92708333333333337</v>
      </c>
      <c r="CC82" s="27">
        <v>0.9658291457286432</v>
      </c>
      <c r="CD82" s="27">
        <v>0.92864125122189634</v>
      </c>
      <c r="CE82" s="27">
        <v>0.92771084337349397</v>
      </c>
      <c r="CF82" s="27">
        <v>0.94736842105263153</v>
      </c>
      <c r="CG82" s="27">
        <v>0.94762845849802368</v>
      </c>
      <c r="CH82" s="27">
        <v>0.94307022796774487</v>
      </c>
      <c r="CI82" s="27">
        <v>0.95742667928098391</v>
      </c>
      <c r="CJ82" s="27">
        <v>0.91642084562438542</v>
      </c>
      <c r="CK82" s="27">
        <v>0.93643263757115747</v>
      </c>
      <c r="CL82" s="27">
        <v>0.93643263757115747</v>
      </c>
      <c r="CM82" s="27">
        <v>0.93484419263456087</v>
      </c>
      <c r="CN82" s="27">
        <v>0.96453201970443347</v>
      </c>
      <c r="CO82" s="27">
        <v>0.93434823977164605</v>
      </c>
      <c r="CP82" s="27">
        <v>0.94006246459404641</v>
      </c>
      <c r="CQ82" s="27">
        <v>0.96142991533396049</v>
      </c>
      <c r="CR82" s="27">
        <v>0.94470924690181124</v>
      </c>
      <c r="CS82" s="27">
        <v>0.94939081537019676</v>
      </c>
      <c r="CT82" s="27">
        <v>0.94073377234242705</v>
      </c>
      <c r="CU82" s="27">
        <v>0.94905660377358492</v>
      </c>
      <c r="CV82" s="27">
        <v>0.9459203036053131</v>
      </c>
      <c r="CW82" s="27">
        <v>0.93850520340586563</v>
      </c>
      <c r="CX82" s="27">
        <v>0.94710655153330847</v>
      </c>
    </row>
    <row r="83" spans="38:102" x14ac:dyDescent="0.35">
      <c r="AL83" s="16" t="s">
        <v>265</v>
      </c>
      <c r="AM83" s="27">
        <v>0.97713280562884786</v>
      </c>
      <c r="AN83" s="27">
        <v>0.96619217081850539</v>
      </c>
      <c r="AO83" s="27">
        <v>0.98212689901697947</v>
      </c>
      <c r="AP83" s="27">
        <v>0.98309608540925264</v>
      </c>
      <c r="AQ83" s="27">
        <v>0.9850746268656716</v>
      </c>
      <c r="AR83" s="27">
        <v>0.98667850799289525</v>
      </c>
      <c r="AS83" s="27">
        <v>0.98586572438162545</v>
      </c>
      <c r="AT83" s="27">
        <v>0.98088097430196819</v>
      </c>
      <c r="AU83" s="27">
        <v>0.97822299651567945</v>
      </c>
      <c r="AV83" s="27">
        <v>0.98673740053050396</v>
      </c>
      <c r="AW83" s="27">
        <v>0.97309417040358748</v>
      </c>
      <c r="AX83" s="27">
        <v>0.97307001795332138</v>
      </c>
      <c r="AY83" s="27">
        <v>0.97569444444444442</v>
      </c>
      <c r="AZ83" s="27">
        <v>0.98961038961038961</v>
      </c>
      <c r="BA83" s="27">
        <v>0.98606271777003485</v>
      </c>
      <c r="BB83" s="27">
        <v>0.98035601960399443</v>
      </c>
      <c r="BC83" s="27">
        <v>0.9687228496959166</v>
      </c>
      <c r="BD83" s="27">
        <v>0.96119929453262787</v>
      </c>
      <c r="BE83" s="27">
        <v>0.96505376344086025</v>
      </c>
      <c r="BF83" s="27">
        <v>0.95498676081200351</v>
      </c>
      <c r="BG83" s="27">
        <v>0.96825396825396826</v>
      </c>
      <c r="BH83" s="27">
        <v>0.96822594880847312</v>
      </c>
      <c r="BI83" s="27">
        <v>0.96850393700787396</v>
      </c>
      <c r="BJ83" s="27">
        <v>0.96499236036453195</v>
      </c>
      <c r="BK83" s="27">
        <v>0.95957820738137078</v>
      </c>
      <c r="BL83" s="27">
        <v>0.96028243601059138</v>
      </c>
      <c r="BM83" s="27">
        <v>0.96195652173913049</v>
      </c>
      <c r="BN83" s="27">
        <v>0.95742753623188404</v>
      </c>
      <c r="BO83" s="27">
        <v>0.96390845070422537</v>
      </c>
      <c r="BP83" s="27">
        <v>0.98581560283687941</v>
      </c>
      <c r="BQ83" s="27">
        <v>0.97612732095490717</v>
      </c>
      <c r="BR83" s="27">
        <v>0.96644229655128411</v>
      </c>
      <c r="BS83" s="27">
        <v>0.93601462522851919</v>
      </c>
      <c r="BT83" s="27">
        <v>0.94538943598925695</v>
      </c>
      <c r="BU83" s="27">
        <v>0.94170403587443952</v>
      </c>
      <c r="BV83" s="27">
        <v>0.96129612961296129</v>
      </c>
      <c r="BW83" s="27">
        <v>0.93213949104618288</v>
      </c>
      <c r="BX83" s="27">
        <v>0.94246575342465755</v>
      </c>
      <c r="BY83" s="27">
        <v>0.88389513108614237</v>
      </c>
      <c r="BZ83" s="27">
        <v>0.93470065746602293</v>
      </c>
      <c r="CA83" s="27">
        <v>0.95136518771331058</v>
      </c>
      <c r="CB83" s="27">
        <v>0.94351279788172993</v>
      </c>
      <c r="CC83" s="27">
        <v>0.96080139372822304</v>
      </c>
      <c r="CD83" s="27">
        <v>0.93259385665529015</v>
      </c>
      <c r="CE83" s="27">
        <v>0.94551845342706498</v>
      </c>
      <c r="CF83" s="27">
        <v>0.93986254295532645</v>
      </c>
      <c r="CG83" s="27">
        <v>0.97545454545454546</v>
      </c>
      <c r="CH83" s="27">
        <v>0.94987268254507018</v>
      </c>
      <c r="CI83" s="27">
        <v>0.96003330557868438</v>
      </c>
      <c r="CJ83" s="27">
        <v>0.95575959933222032</v>
      </c>
      <c r="CK83" s="27">
        <v>0.96422487223168651</v>
      </c>
      <c r="CL83" s="27">
        <v>0.9465195246179966</v>
      </c>
      <c r="CM83" s="27">
        <v>0.96597510373443984</v>
      </c>
      <c r="CN83" s="27">
        <v>0.95799011532125211</v>
      </c>
      <c r="CO83" s="27">
        <v>0.94728304947283049</v>
      </c>
      <c r="CP83" s="27">
        <v>0.95682651004130148</v>
      </c>
      <c r="CQ83" s="27">
        <v>0.97267292912040992</v>
      </c>
      <c r="CR83" s="27">
        <v>0.96711635750421587</v>
      </c>
      <c r="CS83" s="27">
        <v>0.96660808435852374</v>
      </c>
      <c r="CT83" s="27">
        <v>0.98133333333333328</v>
      </c>
      <c r="CU83" s="27">
        <v>0.96994991652754592</v>
      </c>
      <c r="CV83" s="27">
        <v>0.95004095004095002</v>
      </c>
      <c r="CW83" s="27">
        <v>0.96283783783783783</v>
      </c>
      <c r="CX83" s="27">
        <v>0.96722277267468815</v>
      </c>
    </row>
    <row r="84" spans="38:102" x14ac:dyDescent="0.35">
      <c r="AL84" s="16" t="s">
        <v>266</v>
      </c>
      <c r="AM84" s="27">
        <v>0.74545454545454548</v>
      </c>
      <c r="AN84" s="27">
        <v>0.4</v>
      </c>
      <c r="AO84" s="27">
        <v>0.63636363636363635</v>
      </c>
      <c r="AP84" s="27">
        <v>0.63636363636363635</v>
      </c>
      <c r="AQ84" s="27">
        <v>0.72727272727272729</v>
      </c>
      <c r="AR84" s="27">
        <v>0.65454545454545454</v>
      </c>
      <c r="AS84" s="27">
        <v>0.67272727272727273</v>
      </c>
      <c r="AT84" s="27">
        <v>0.63896103896103906</v>
      </c>
      <c r="AU84" s="27">
        <v>0.47272727272727272</v>
      </c>
      <c r="AV84" s="27">
        <v>0.38181818181818183</v>
      </c>
      <c r="AW84" s="27">
        <v>0.4</v>
      </c>
      <c r="AX84" s="27">
        <v>0.41818181818181815</v>
      </c>
      <c r="AY84" s="27">
        <v>0.50909090909090904</v>
      </c>
      <c r="AZ84" s="27">
        <v>0.50909090909090904</v>
      </c>
      <c r="BA84" s="27">
        <v>0.54545454545454541</v>
      </c>
      <c r="BB84" s="27">
        <v>0.46233766233766227</v>
      </c>
      <c r="BC84" s="27">
        <v>0.45454545454545453</v>
      </c>
      <c r="BD84" s="27">
        <v>0.36363636363636365</v>
      </c>
      <c r="BE84" s="27">
        <v>0.58181818181818179</v>
      </c>
      <c r="BF84" s="27">
        <v>0.38181818181818183</v>
      </c>
      <c r="BG84" s="27">
        <v>0.52727272727272723</v>
      </c>
      <c r="BH84" s="27">
        <v>0.4</v>
      </c>
      <c r="BI84" s="27">
        <v>0.54545454545454541</v>
      </c>
      <c r="BJ84" s="27">
        <v>0.46493506493506498</v>
      </c>
      <c r="BK84" s="27">
        <v>0.50909090909090904</v>
      </c>
      <c r="BL84" s="27">
        <v>0.47272727272727272</v>
      </c>
      <c r="BM84" s="27">
        <v>0.6</v>
      </c>
      <c r="BN84" s="27">
        <v>0.32727272727272727</v>
      </c>
      <c r="BO84" s="27">
        <v>0.47272727272727272</v>
      </c>
      <c r="BP84" s="27">
        <v>0.5714285714285714</v>
      </c>
      <c r="BQ84" s="27">
        <v>0.41818181818181815</v>
      </c>
      <c r="BR84" s="27">
        <v>0.48163265306122449</v>
      </c>
      <c r="BS84" s="27">
        <v>0.25454545454545452</v>
      </c>
      <c r="BT84" s="27">
        <v>0.38181818181818183</v>
      </c>
      <c r="BU84" s="27">
        <v>0.25862068965517243</v>
      </c>
      <c r="BV84" s="27">
        <v>0.2</v>
      </c>
      <c r="BW84" s="27">
        <v>0.4</v>
      </c>
      <c r="BX84" s="27">
        <v>0.43636363636363634</v>
      </c>
      <c r="BY84" s="27">
        <v>0.23636363636363636</v>
      </c>
      <c r="BZ84" s="27">
        <v>0.30967308553515449</v>
      </c>
      <c r="CA84" s="27">
        <v>0.27272727272727271</v>
      </c>
      <c r="CB84" s="27">
        <v>0.18181818181818182</v>
      </c>
      <c r="CC84" s="27">
        <v>0.29090909090909089</v>
      </c>
      <c r="CD84" s="27">
        <v>0.23636363636363636</v>
      </c>
      <c r="CE84" s="27">
        <v>0.21818181818181817</v>
      </c>
      <c r="CF84" s="27">
        <v>0.29090909090909089</v>
      </c>
      <c r="CG84" s="27">
        <v>0.25454545454545452</v>
      </c>
      <c r="CH84" s="27">
        <v>0.24935064935064938</v>
      </c>
      <c r="CI84" s="27">
        <v>0.45454545454545453</v>
      </c>
      <c r="CJ84" s="27">
        <v>0.18181818181818182</v>
      </c>
      <c r="CK84" s="27">
        <v>0.43636363636363634</v>
      </c>
      <c r="CL84" s="27">
        <v>0.47272727272727272</v>
      </c>
      <c r="CM84" s="27">
        <v>0.45454545454545453</v>
      </c>
      <c r="CN84" s="27">
        <v>0.30909090909090908</v>
      </c>
      <c r="CO84" s="27">
        <v>0.4</v>
      </c>
      <c r="CP84" s="27">
        <v>0.38701298701298698</v>
      </c>
      <c r="CQ84" s="27">
        <v>0.50909090909090904</v>
      </c>
      <c r="CR84" s="27">
        <v>0.32727272727272727</v>
      </c>
      <c r="CS84" s="27">
        <v>0.41818181818181815</v>
      </c>
      <c r="CT84" s="27">
        <v>0.4</v>
      </c>
      <c r="CU84" s="27">
        <v>0.49090909090909091</v>
      </c>
      <c r="CV84" s="27">
        <v>0.32727272727272727</v>
      </c>
      <c r="CW84" s="27">
        <v>0.43636363636363634</v>
      </c>
      <c r="CX84" s="27">
        <v>0.41558441558441556</v>
      </c>
    </row>
    <row r="85" spans="38:102" x14ac:dyDescent="0.35">
      <c r="AL85" s="16" t="s">
        <v>267</v>
      </c>
      <c r="AM85" s="27">
        <v>0.91785714285714282</v>
      </c>
      <c r="AN85" s="27">
        <v>0.95096322241681264</v>
      </c>
      <c r="AO85" s="27">
        <v>0.9194991055456172</v>
      </c>
      <c r="AP85" s="27">
        <v>0.91833030852994557</v>
      </c>
      <c r="AQ85" s="27">
        <v>0.946524064171123</v>
      </c>
      <c r="AR85" s="27">
        <v>0.94623655913978499</v>
      </c>
      <c r="AS85" s="27">
        <v>0.95519713261648742</v>
      </c>
      <c r="AT85" s="27">
        <v>0.93637250503955904</v>
      </c>
      <c r="AU85" s="27">
        <v>0.95438596491228067</v>
      </c>
      <c r="AV85" s="27">
        <v>0.96903460837887068</v>
      </c>
      <c r="AW85" s="27">
        <v>0.94003527336860671</v>
      </c>
      <c r="AX85" s="27">
        <v>0.96140350877192982</v>
      </c>
      <c r="AY85" s="27">
        <v>0.95936395759717319</v>
      </c>
      <c r="AZ85" s="27">
        <v>0.95929203539823005</v>
      </c>
      <c r="BA85" s="27">
        <v>0.98395721925133695</v>
      </c>
      <c r="BB85" s="27">
        <v>0.96106750966834686</v>
      </c>
      <c r="BC85" s="27">
        <v>0.95287958115183247</v>
      </c>
      <c r="BD85" s="27">
        <v>0.96289752650176674</v>
      </c>
      <c r="BE85" s="27">
        <v>0.93309859154929575</v>
      </c>
      <c r="BF85" s="27">
        <v>0.95044247787610614</v>
      </c>
      <c r="BG85" s="27">
        <v>0.96328671328671334</v>
      </c>
      <c r="BH85" s="27">
        <v>0.95454545454545459</v>
      </c>
      <c r="BI85" s="27">
        <v>0.94627383015597921</v>
      </c>
      <c r="BJ85" s="27">
        <v>0.95191773929530699</v>
      </c>
      <c r="BK85" s="27">
        <v>0.92932862190812726</v>
      </c>
      <c r="BL85" s="27">
        <v>0.97495527728085862</v>
      </c>
      <c r="BM85" s="27">
        <v>0.91901408450704225</v>
      </c>
      <c r="BN85" s="27">
        <v>0.9369527145359019</v>
      </c>
      <c r="BO85" s="27">
        <v>0.94599303135888502</v>
      </c>
      <c r="BP85" s="27">
        <v>0.95950704225352113</v>
      </c>
      <c r="BQ85" s="27">
        <v>0.961335676625659</v>
      </c>
      <c r="BR85" s="27">
        <v>0.94672663549571368</v>
      </c>
      <c r="BS85" s="27">
        <v>0.9097345132743363</v>
      </c>
      <c r="BT85" s="27">
        <v>0.94097222222222221</v>
      </c>
      <c r="BU85" s="27">
        <v>0.91504424778761062</v>
      </c>
      <c r="BV85" s="27">
        <v>0.93286219081272082</v>
      </c>
      <c r="BW85" s="27">
        <v>0.87102473498233213</v>
      </c>
      <c r="BX85" s="27">
        <v>0.94159292035398234</v>
      </c>
      <c r="BY85" s="27">
        <v>0.853309481216458</v>
      </c>
      <c r="BZ85" s="27">
        <v>0.90922004437852322</v>
      </c>
      <c r="CA85" s="27">
        <v>0.94511149228130364</v>
      </c>
      <c r="CB85" s="27">
        <v>0.94608695652173913</v>
      </c>
      <c r="CC85" s="27">
        <v>0.93508771929824563</v>
      </c>
      <c r="CD85" s="27">
        <v>0.94974003466204504</v>
      </c>
      <c r="CE85" s="27">
        <v>0.93881118881118886</v>
      </c>
      <c r="CF85" s="27">
        <v>0.9264448336252189</v>
      </c>
      <c r="CG85" s="27">
        <v>0.93661971830985913</v>
      </c>
      <c r="CH85" s="27">
        <v>0.93970027764422859</v>
      </c>
      <c r="CI85" s="27">
        <v>0.96869565217391307</v>
      </c>
      <c r="CJ85" s="27">
        <v>0.93356047700170353</v>
      </c>
      <c r="CK85" s="27">
        <v>0.95263157894736838</v>
      </c>
      <c r="CL85" s="27">
        <v>0.96160558464223389</v>
      </c>
      <c r="CM85" s="27">
        <v>0.95446584938704027</v>
      </c>
      <c r="CN85" s="27">
        <v>0.96598639455782309</v>
      </c>
      <c r="CO85" s="27">
        <v>0.97274275979557068</v>
      </c>
      <c r="CP85" s="27">
        <v>0.95852689950080772</v>
      </c>
      <c r="CQ85" s="27">
        <v>0.96907216494845361</v>
      </c>
      <c r="CR85" s="27">
        <v>0.97418244406196208</v>
      </c>
      <c r="CS85" s="27">
        <v>0.95221843003412965</v>
      </c>
      <c r="CT85" s="27">
        <v>0.94845360824742264</v>
      </c>
      <c r="CU85" s="27">
        <v>0.95918367346938771</v>
      </c>
      <c r="CV85" s="27">
        <v>0.96200345423143352</v>
      </c>
      <c r="CW85" s="27">
        <v>0.96027633851468053</v>
      </c>
      <c r="CX85" s="27">
        <v>0.96077001621535274</v>
      </c>
    </row>
    <row r="86" spans="38:102" x14ac:dyDescent="0.35">
      <c r="AL86" s="16" t="s">
        <v>268</v>
      </c>
      <c r="AM86" s="27">
        <v>0.98255813953488369</v>
      </c>
      <c r="AN86" s="27">
        <v>0.98200899550224885</v>
      </c>
      <c r="AO86" s="27">
        <v>0.9716417910447761</v>
      </c>
      <c r="AP86" s="27">
        <v>0.95658682634730541</v>
      </c>
      <c r="AQ86" s="27">
        <v>0.97391304347826091</v>
      </c>
      <c r="AR86" s="27">
        <v>0.97488921713441656</v>
      </c>
      <c r="AS86" s="27">
        <v>0.97950219619326506</v>
      </c>
      <c r="AT86" s="27">
        <v>0.97444288703359394</v>
      </c>
      <c r="AU86" s="27">
        <v>0.97488921713441656</v>
      </c>
      <c r="AV86" s="27">
        <v>0.96159527326440175</v>
      </c>
      <c r="AW86" s="27">
        <v>0.97451274362818596</v>
      </c>
      <c r="AX86" s="27">
        <v>0.97293233082706765</v>
      </c>
      <c r="AY86" s="27">
        <v>0.9722627737226277</v>
      </c>
      <c r="AZ86" s="27">
        <v>0.96334310850439886</v>
      </c>
      <c r="BA86" s="27">
        <v>0.96480938416422291</v>
      </c>
      <c r="BB86" s="27">
        <v>0.96919211874933153</v>
      </c>
      <c r="BC86" s="27">
        <v>0.96755162241887904</v>
      </c>
      <c r="BD86" s="27">
        <v>0.97647058823529409</v>
      </c>
      <c r="BE86" s="27">
        <v>0.95909090909090911</v>
      </c>
      <c r="BF86" s="27">
        <v>0.96352583586626139</v>
      </c>
      <c r="BG86" s="27">
        <v>0.97050147492625372</v>
      </c>
      <c r="BH86" s="27">
        <v>0.98391812865497075</v>
      </c>
      <c r="BI86" s="27">
        <v>0.97222222222222221</v>
      </c>
      <c r="BJ86" s="27">
        <v>0.97046868305925571</v>
      </c>
      <c r="BK86" s="27">
        <v>0.96599690880989186</v>
      </c>
      <c r="BL86" s="27">
        <v>0.96423248882265278</v>
      </c>
      <c r="BM86" s="27">
        <v>0.97476340694006314</v>
      </c>
      <c r="BN86" s="27">
        <v>0.9461172741679873</v>
      </c>
      <c r="BO86" s="27">
        <v>0.98318042813455653</v>
      </c>
      <c r="BP86" s="27">
        <v>0.98198198198198194</v>
      </c>
      <c r="BQ86" s="27">
        <v>0.97443609022556388</v>
      </c>
      <c r="BR86" s="27">
        <v>0.97010122558324241</v>
      </c>
      <c r="BS86" s="27">
        <v>0.94254658385093171</v>
      </c>
      <c r="BT86" s="27">
        <v>0.97209302325581393</v>
      </c>
      <c r="BU86" s="27">
        <v>0.93548387096774188</v>
      </c>
      <c r="BV86" s="27">
        <v>0.95865237366003064</v>
      </c>
      <c r="BW86" s="27">
        <v>0.90251572327044027</v>
      </c>
      <c r="BX86" s="27">
        <v>0.95305164319248825</v>
      </c>
      <c r="BY86" s="27">
        <v>0.90734824281150162</v>
      </c>
      <c r="BZ86" s="27">
        <v>0.93881306585842128</v>
      </c>
      <c r="CA86" s="27">
        <v>0.96911764705882353</v>
      </c>
      <c r="CB86" s="27">
        <v>0.96808510638297873</v>
      </c>
      <c r="CC86" s="27">
        <v>0.95522388059701491</v>
      </c>
      <c r="CD86" s="27">
        <v>0.9503759398496241</v>
      </c>
      <c r="CE86" s="27">
        <v>0.96716417910447761</v>
      </c>
      <c r="CF86" s="27">
        <v>0.96987951807228912</v>
      </c>
      <c r="CG86" s="27">
        <v>0.94954128440366969</v>
      </c>
      <c r="CH86" s="27">
        <v>0.96134107935269675</v>
      </c>
      <c r="CI86" s="27">
        <v>0.95161290322580649</v>
      </c>
      <c r="CJ86" s="27">
        <v>0.95870206489675514</v>
      </c>
      <c r="CK86" s="27">
        <v>0.96101949025487254</v>
      </c>
      <c r="CL86" s="27">
        <v>0.96671709531013617</v>
      </c>
      <c r="CM86" s="27">
        <v>0.95362318840579707</v>
      </c>
      <c r="CN86" s="27">
        <v>0.95626822157434399</v>
      </c>
      <c r="CO86" s="27">
        <v>0.96092619392185241</v>
      </c>
      <c r="CP86" s="27">
        <v>0.95840987965565205</v>
      </c>
      <c r="CQ86" s="27">
        <v>0.96054628224582705</v>
      </c>
      <c r="CR86" s="27">
        <v>0.96784073506891266</v>
      </c>
      <c r="CS86" s="27">
        <v>0.95592705167173253</v>
      </c>
      <c r="CT86" s="27">
        <v>0.95363214837712518</v>
      </c>
      <c r="CU86" s="27">
        <v>0.9484066767830045</v>
      </c>
      <c r="CV86" s="27">
        <v>0.95833333333333337</v>
      </c>
      <c r="CW86" s="27">
        <v>0.9555895865237366</v>
      </c>
      <c r="CX86" s="27">
        <v>0.95718225914338184</v>
      </c>
    </row>
    <row r="87" spans="38:102" x14ac:dyDescent="0.35">
      <c r="AL87" s="16" t="s">
        <v>269</v>
      </c>
      <c r="AM87" s="27">
        <v>0.92602262837249782</v>
      </c>
      <c r="AN87" s="27">
        <v>0.93333333333333335</v>
      </c>
      <c r="AO87" s="27">
        <v>0.90782608695652178</v>
      </c>
      <c r="AP87" s="27">
        <v>0.91703056768558955</v>
      </c>
      <c r="AQ87" s="27">
        <v>0.93193717277486909</v>
      </c>
      <c r="AR87" s="27">
        <v>0.93061578490893326</v>
      </c>
      <c r="AS87" s="27">
        <v>0.92621527777777779</v>
      </c>
      <c r="AT87" s="27">
        <v>0.92471155025850316</v>
      </c>
      <c r="AU87" s="27">
        <v>0.91891891891891897</v>
      </c>
      <c r="AV87" s="27">
        <v>0.92974848222029494</v>
      </c>
      <c r="AW87" s="27">
        <v>0.90201224846894135</v>
      </c>
      <c r="AX87" s="27">
        <v>0.90096406660823836</v>
      </c>
      <c r="AY87" s="27">
        <v>0.92254134029590951</v>
      </c>
      <c r="AZ87" s="27">
        <v>0.93641114982578399</v>
      </c>
      <c r="BA87" s="27">
        <v>0.91608996539792387</v>
      </c>
      <c r="BB87" s="27">
        <v>0.91809802453371592</v>
      </c>
      <c r="BC87" s="27">
        <v>0.92059336823734728</v>
      </c>
      <c r="BD87" s="27">
        <v>0.92495636998254804</v>
      </c>
      <c r="BE87" s="27">
        <v>0.9037102473498233</v>
      </c>
      <c r="BF87" s="27">
        <v>0.91894273127753301</v>
      </c>
      <c r="BG87" s="27">
        <v>0.92</v>
      </c>
      <c r="BH87" s="27">
        <v>0.9296875</v>
      </c>
      <c r="BI87" s="27">
        <v>0.92434782608695654</v>
      </c>
      <c r="BJ87" s="27">
        <v>0.92031972041917265</v>
      </c>
      <c r="BK87" s="27">
        <v>0.89612676056338025</v>
      </c>
      <c r="BL87" s="27">
        <v>0.91630340017436795</v>
      </c>
      <c r="BM87" s="27">
        <v>0.88168273444347067</v>
      </c>
      <c r="BN87" s="27">
        <v>0.87828371278458839</v>
      </c>
      <c r="BO87" s="27">
        <v>0.91842105263157892</v>
      </c>
      <c r="BP87" s="27">
        <v>0.92080069625761529</v>
      </c>
      <c r="BQ87" s="27">
        <v>0.90853658536585369</v>
      </c>
      <c r="BR87" s="27">
        <v>0.9028792774601222</v>
      </c>
      <c r="BS87" s="27">
        <v>0.89115044247787611</v>
      </c>
      <c r="BT87" s="27">
        <v>0.89982425307557112</v>
      </c>
      <c r="BU87" s="27">
        <v>0.90280210157618213</v>
      </c>
      <c r="BV87" s="27">
        <v>0.91733333333333333</v>
      </c>
      <c r="BW87" s="27">
        <v>0.84977777777777774</v>
      </c>
      <c r="BX87" s="27">
        <v>0.88699551569506729</v>
      </c>
      <c r="BY87" s="27">
        <v>0.8023152270703473</v>
      </c>
      <c r="BZ87" s="27">
        <v>0.87859980728659359</v>
      </c>
      <c r="CA87" s="27">
        <v>0.93043478260869561</v>
      </c>
      <c r="CB87" s="27">
        <v>0.91739894551845347</v>
      </c>
      <c r="CC87" s="27">
        <v>0.91059027777777779</v>
      </c>
      <c r="CD87" s="27">
        <v>0.91191709844559588</v>
      </c>
      <c r="CE87" s="27">
        <v>0.90297202797202802</v>
      </c>
      <c r="CF87" s="27">
        <v>0.9237510955302366</v>
      </c>
      <c r="CG87" s="27">
        <v>0.90646853146853146</v>
      </c>
      <c r="CH87" s="27">
        <v>0.91479039418875974</v>
      </c>
      <c r="CI87" s="27">
        <v>0.87598944591029027</v>
      </c>
      <c r="CJ87" s="27">
        <v>0.93367786391042207</v>
      </c>
      <c r="CK87" s="27">
        <v>0.84744268077601415</v>
      </c>
      <c r="CL87" s="27">
        <v>0.85801928133216476</v>
      </c>
      <c r="CM87" s="27">
        <v>0.88936905790838372</v>
      </c>
      <c r="CN87" s="27">
        <v>0.92407247627264888</v>
      </c>
      <c r="CO87" s="27">
        <v>0.91716997411561696</v>
      </c>
      <c r="CP87" s="27">
        <v>0.89224868288936299</v>
      </c>
      <c r="CQ87" s="27">
        <v>0.89861351819757362</v>
      </c>
      <c r="CR87" s="27">
        <v>0.88606485539000879</v>
      </c>
      <c r="CS87" s="27">
        <v>0.90061028770706186</v>
      </c>
      <c r="CT87" s="27">
        <v>0.91186736474694585</v>
      </c>
      <c r="CU87" s="27">
        <v>0.9011274934952298</v>
      </c>
      <c r="CV87" s="27">
        <v>0.90655021834061134</v>
      </c>
      <c r="CW87" s="27">
        <v>0.87652173913043474</v>
      </c>
      <c r="CX87" s="27">
        <v>0.89733649671540938</v>
      </c>
    </row>
    <row r="88" spans="38:102" x14ac:dyDescent="0.35">
      <c r="AL88" s="16" t="s">
        <v>270</v>
      </c>
      <c r="AM88" s="27">
        <v>0.95436507936507942</v>
      </c>
      <c r="AN88" s="27">
        <v>0.95742574257425739</v>
      </c>
      <c r="AO88" s="27">
        <v>0.94543650793650791</v>
      </c>
      <c r="AP88" s="27">
        <v>0.95180722891566261</v>
      </c>
      <c r="AQ88" s="27">
        <v>0.94251734390485631</v>
      </c>
      <c r="AR88" s="27">
        <v>0.95548961424332346</v>
      </c>
      <c r="AS88" s="27">
        <v>0.96047430830039526</v>
      </c>
      <c r="AT88" s="27">
        <v>0.95250226074858324</v>
      </c>
      <c r="AU88" s="27">
        <v>0.95899999999999996</v>
      </c>
      <c r="AV88" s="27">
        <v>0.95883534136546189</v>
      </c>
      <c r="AW88" s="27">
        <v>0.94288577154308617</v>
      </c>
      <c r="AX88" s="27">
        <v>0.95708582834331335</v>
      </c>
      <c r="AY88" s="27">
        <v>0.95199999999999996</v>
      </c>
      <c r="AZ88" s="27">
        <v>0.9648946840521565</v>
      </c>
      <c r="BA88" s="27">
        <v>0.96099999999999997</v>
      </c>
      <c r="BB88" s="27">
        <v>0.9565288036148597</v>
      </c>
      <c r="BC88" s="27">
        <v>0.96</v>
      </c>
      <c r="BD88" s="27">
        <v>0.96007984031936133</v>
      </c>
      <c r="BE88" s="27">
        <v>0.95799999999999996</v>
      </c>
      <c r="BF88" s="27">
        <v>0.96311066799601197</v>
      </c>
      <c r="BG88" s="27">
        <v>0.96099999999999997</v>
      </c>
      <c r="BH88" s="27">
        <v>0.96399999999999997</v>
      </c>
      <c r="BI88" s="27">
        <v>0.96499999999999997</v>
      </c>
      <c r="BJ88" s="27">
        <v>0.96159864404505324</v>
      </c>
      <c r="BK88" s="27">
        <v>0.95099999999999996</v>
      </c>
      <c r="BL88" s="27">
        <v>0.96510468594217347</v>
      </c>
      <c r="BM88" s="27">
        <v>0.95199999999999996</v>
      </c>
      <c r="BN88" s="27">
        <v>0.95029821073558651</v>
      </c>
      <c r="BO88" s="27">
        <v>0.96</v>
      </c>
      <c r="BP88" s="27">
        <v>0.97399999999999998</v>
      </c>
      <c r="BQ88" s="27">
        <v>0.96499999999999997</v>
      </c>
      <c r="BR88" s="27">
        <v>0.95962898523967988</v>
      </c>
      <c r="BS88" s="27">
        <v>0.91300000000000003</v>
      </c>
      <c r="BT88" s="27">
        <v>0.94925373134328361</v>
      </c>
      <c r="BU88" s="27">
        <v>0.91</v>
      </c>
      <c r="BV88" s="27">
        <v>0.92131474103585653</v>
      </c>
      <c r="BW88" s="27">
        <v>0.89500000000000002</v>
      </c>
      <c r="BX88" s="27">
        <v>0.93200000000000005</v>
      </c>
      <c r="BY88" s="27">
        <v>0.91100000000000003</v>
      </c>
      <c r="BZ88" s="27">
        <v>0.918795496054163</v>
      </c>
      <c r="CA88" s="27">
        <v>0.96063535911602205</v>
      </c>
      <c r="CB88" s="27">
        <v>0.95169082125603865</v>
      </c>
      <c r="CC88" s="27">
        <v>0.97790055248618779</v>
      </c>
      <c r="CD88" s="27">
        <v>0.96344827586206894</v>
      </c>
      <c r="CE88" s="27">
        <v>0.96487603305785119</v>
      </c>
      <c r="CF88" s="27">
        <v>0.96963423050379571</v>
      </c>
      <c r="CG88" s="27">
        <v>0.95374149659863949</v>
      </c>
      <c r="CH88" s="27">
        <v>0.96313239555437191</v>
      </c>
      <c r="CI88" s="27">
        <v>0.97099447513812154</v>
      </c>
      <c r="CJ88" s="27">
        <v>0.96561210453920221</v>
      </c>
      <c r="CK88" s="27">
        <v>0.96311475409836067</v>
      </c>
      <c r="CL88" s="27">
        <v>0.97406143344709895</v>
      </c>
      <c r="CM88" s="27">
        <v>0.97237569060773477</v>
      </c>
      <c r="CN88" s="27">
        <v>0.98143053645116918</v>
      </c>
      <c r="CO88" s="27">
        <v>0.98066298342541436</v>
      </c>
      <c r="CP88" s="27">
        <v>0.97260742538672873</v>
      </c>
      <c r="CQ88" s="27">
        <v>0.96435915010281015</v>
      </c>
      <c r="CR88" s="27">
        <v>0.95972696245733791</v>
      </c>
      <c r="CS88" s="27">
        <v>0.97540983606557374</v>
      </c>
      <c r="CT88" s="27">
        <v>0.96996587030716719</v>
      </c>
      <c r="CU88" s="27">
        <v>0.97222222222222221</v>
      </c>
      <c r="CV88" s="27">
        <v>0.97306629834254144</v>
      </c>
      <c r="CW88" s="27">
        <v>0.96961325966850831</v>
      </c>
      <c r="CX88" s="27">
        <v>0.9691947998808802</v>
      </c>
    </row>
    <row r="89" spans="38:102" x14ac:dyDescent="0.35">
      <c r="AL89" s="16" t="s">
        <v>271</v>
      </c>
      <c r="AM89" s="27">
        <v>1</v>
      </c>
      <c r="AN89" s="27">
        <v>0.76243093922651939</v>
      </c>
      <c r="AO89" s="27">
        <v>1</v>
      </c>
      <c r="AP89" s="27">
        <v>0.72847682119205293</v>
      </c>
      <c r="AQ89" s="27">
        <v>0.8729281767955801</v>
      </c>
      <c r="AR89" s="27">
        <v>0.95580110497237569</v>
      </c>
      <c r="AS89" s="27">
        <v>0.90607734806629836</v>
      </c>
      <c r="AT89" s="27">
        <v>0.88938777003611802</v>
      </c>
      <c r="AU89" s="27">
        <v>1</v>
      </c>
      <c r="AV89" s="27">
        <v>0.91712707182320441</v>
      </c>
      <c r="AW89" s="27">
        <v>0.7814569536423841</v>
      </c>
      <c r="AX89" s="27">
        <v>0.88079470198675491</v>
      </c>
      <c r="AY89" s="27">
        <v>0.98333333333333328</v>
      </c>
      <c r="AZ89" s="27">
        <v>0.97237569060773477</v>
      </c>
      <c r="BA89" s="27">
        <v>0.93922651933701662</v>
      </c>
      <c r="BB89" s="27">
        <v>0.92490203867577547</v>
      </c>
      <c r="BC89" s="27">
        <v>0.86740331491712708</v>
      </c>
      <c r="BD89" s="27">
        <v>0.85635359116022103</v>
      </c>
      <c r="BE89" s="27">
        <v>0.86928104575163401</v>
      </c>
      <c r="BF89" s="27">
        <v>0.79084967320261434</v>
      </c>
      <c r="BG89" s="27">
        <v>0.90607734806629836</v>
      </c>
      <c r="BH89" s="27">
        <v>0.81215469613259672</v>
      </c>
      <c r="BI89" s="27">
        <v>0.8066298342541437</v>
      </c>
      <c r="BJ89" s="27">
        <v>0.84410707192637635</v>
      </c>
      <c r="BK89" s="27">
        <v>0.88622754491017963</v>
      </c>
      <c r="BL89" s="27">
        <v>0.79234972677595628</v>
      </c>
      <c r="BM89" s="27">
        <v>0.60784313725490191</v>
      </c>
      <c r="BN89" s="27">
        <v>0.5816993464052288</v>
      </c>
      <c r="BO89" s="27">
        <v>0.95081967213114749</v>
      </c>
      <c r="BP89" s="27">
        <v>0.85792349726775952</v>
      </c>
      <c r="BQ89" s="27">
        <v>0.90163934426229508</v>
      </c>
      <c r="BR89" s="27">
        <v>0.79692889557249547</v>
      </c>
      <c r="BS89" s="27">
        <v>0.5950413223140496</v>
      </c>
      <c r="BT89" s="27">
        <v>0.5696969696969697</v>
      </c>
      <c r="BU89" s="27">
        <v>0.53846153846153844</v>
      </c>
      <c r="BV89" s="27">
        <v>0.52892561983471076</v>
      </c>
      <c r="BW89" s="27">
        <v>0.55371900826446285</v>
      </c>
      <c r="BX89" s="27">
        <v>0.44444444444444442</v>
      </c>
      <c r="BY89" s="27">
        <v>0.60606060606060608</v>
      </c>
      <c r="BZ89" s="27">
        <v>0.54804992986811174</v>
      </c>
      <c r="CA89" s="27">
        <v>0.61870503597122306</v>
      </c>
      <c r="CB89" s="27">
        <v>0.6198347107438017</v>
      </c>
      <c r="CC89" s="27">
        <v>0.5467625899280576</v>
      </c>
      <c r="CD89" s="27">
        <v>0.5611510791366906</v>
      </c>
      <c r="CE89" s="27">
        <v>0.45323741007194246</v>
      </c>
      <c r="CF89" s="27">
        <v>0.69421487603305787</v>
      </c>
      <c r="CG89" s="27">
        <v>0.6198347107438017</v>
      </c>
      <c r="CH89" s="27">
        <v>0.58767720180408212</v>
      </c>
      <c r="CI89" s="27">
        <v>0.79234972677595628</v>
      </c>
      <c r="CJ89" s="27">
        <v>0.69230769230769229</v>
      </c>
      <c r="CK89" s="27">
        <v>0.79084967320261434</v>
      </c>
      <c r="CL89" s="27">
        <v>0.78431372549019607</v>
      </c>
      <c r="CM89" s="27">
        <v>0.7595628415300546</v>
      </c>
      <c r="CN89" s="27">
        <v>0.56830601092896171</v>
      </c>
      <c r="CO89" s="27">
        <v>0.85792349726775952</v>
      </c>
      <c r="CP89" s="27">
        <v>0.74937330964331927</v>
      </c>
      <c r="CQ89" s="27">
        <v>0.90163934426229508</v>
      </c>
      <c r="CR89" s="27">
        <v>0.86338797814207646</v>
      </c>
      <c r="CS89" s="27">
        <v>0.85620915032679734</v>
      </c>
      <c r="CT89" s="27">
        <v>0.80392156862745101</v>
      </c>
      <c r="CU89" s="27">
        <v>0.92896174863387981</v>
      </c>
      <c r="CV89" s="27">
        <v>0.8797814207650273</v>
      </c>
      <c r="CW89" s="27">
        <v>0.81420765027322406</v>
      </c>
      <c r="CX89" s="27">
        <v>0.86401555157582155</v>
      </c>
    </row>
    <row r="90" spans="38:102" x14ac:dyDescent="0.35">
      <c r="AL90" s="16" t="s">
        <v>272</v>
      </c>
      <c r="AM90" s="27">
        <v>0.98378378378378384</v>
      </c>
      <c r="AN90" s="27">
        <v>0.9513513513513514</v>
      </c>
      <c r="AO90" s="27">
        <v>0.994413407821229</v>
      </c>
      <c r="AP90" s="27">
        <v>0.949438202247191</v>
      </c>
      <c r="AQ90" s="27">
        <v>0.96756756756756757</v>
      </c>
      <c r="AR90" s="27">
        <v>0.97837837837837838</v>
      </c>
      <c r="AS90" s="27">
        <v>0.96216216216216222</v>
      </c>
      <c r="AT90" s="27">
        <v>0.96958497904452334</v>
      </c>
      <c r="AU90" s="27">
        <v>0.99473684210526314</v>
      </c>
      <c r="AV90" s="27">
        <v>0.98378378378378384</v>
      </c>
      <c r="AW90" s="27">
        <v>1</v>
      </c>
      <c r="AX90" s="27">
        <v>1</v>
      </c>
      <c r="AY90" s="27">
        <v>0.98918918918918919</v>
      </c>
      <c r="AZ90" s="27">
        <v>1</v>
      </c>
      <c r="BA90" s="27">
        <v>1</v>
      </c>
      <c r="BB90" s="27">
        <v>0.99538711643974798</v>
      </c>
      <c r="BC90" s="27">
        <v>0.93513513513513513</v>
      </c>
      <c r="BD90" s="27">
        <v>0.97860962566844922</v>
      </c>
      <c r="BE90" s="27">
        <v>0.96089385474860334</v>
      </c>
      <c r="BF90" s="27">
        <v>0.96089385474860334</v>
      </c>
      <c r="BG90" s="27">
        <v>0.9731182795698925</v>
      </c>
      <c r="BH90" s="27">
        <v>0.98918918918918919</v>
      </c>
      <c r="BI90" s="27">
        <v>1</v>
      </c>
      <c r="BJ90" s="27">
        <v>0.97111999129426751</v>
      </c>
      <c r="BK90" s="27">
        <v>0.94594594594594594</v>
      </c>
      <c r="BL90" s="27">
        <v>0.99459459459459465</v>
      </c>
      <c r="BM90" s="27">
        <v>0.8932584269662921</v>
      </c>
      <c r="BN90" s="27">
        <v>0.9213483146067416</v>
      </c>
      <c r="BO90" s="27">
        <v>0.95675675675675675</v>
      </c>
      <c r="BP90" s="27">
        <v>0.99459459459459465</v>
      </c>
      <c r="BQ90" s="27">
        <v>0.9946236559139785</v>
      </c>
      <c r="BR90" s="27">
        <v>0.95730318419698623</v>
      </c>
      <c r="BS90" s="27">
        <v>0.77297297297297296</v>
      </c>
      <c r="BT90" s="27">
        <v>0.90810810810810816</v>
      </c>
      <c r="BU90" s="27">
        <v>0.7696629213483146</v>
      </c>
      <c r="BV90" s="27">
        <v>0.7808988764044944</v>
      </c>
      <c r="BW90" s="27">
        <v>0.6797752808988764</v>
      </c>
      <c r="BX90" s="27">
        <v>0.81081081081081086</v>
      </c>
      <c r="BY90" s="27">
        <v>0.6797752808988764</v>
      </c>
      <c r="BZ90" s="27">
        <v>0.77171489306320773</v>
      </c>
      <c r="CA90" s="27">
        <v>0.91351351351351351</v>
      </c>
      <c r="CB90" s="27">
        <v>0.84864864864864864</v>
      </c>
      <c r="CC90" s="27">
        <v>0.848314606741573</v>
      </c>
      <c r="CD90" s="27">
        <v>0.8539325842696629</v>
      </c>
      <c r="CE90" s="27">
        <v>0.91351351351351351</v>
      </c>
      <c r="CF90" s="27">
        <v>0.98378378378378384</v>
      </c>
      <c r="CG90" s="27">
        <v>0.85</v>
      </c>
      <c r="CH90" s="27">
        <v>0.88738666435295654</v>
      </c>
      <c r="CI90" s="27">
        <v>0.956989247311828</v>
      </c>
      <c r="CJ90" s="27">
        <v>0.95675675675675675</v>
      </c>
      <c r="CK90" s="27">
        <v>0.8764044943820225</v>
      </c>
      <c r="CL90" s="27">
        <v>0.8764044943820225</v>
      </c>
      <c r="CM90" s="27">
        <v>0.94054054054054059</v>
      </c>
      <c r="CN90" s="27">
        <v>0.93513513513513513</v>
      </c>
      <c r="CO90" s="27">
        <v>0.95675675675675675</v>
      </c>
      <c r="CP90" s="27">
        <v>0.92842677503786597</v>
      </c>
      <c r="CQ90" s="27">
        <v>0.96216216216216222</v>
      </c>
      <c r="CR90" s="27">
        <v>0.96216216216216222</v>
      </c>
      <c r="CS90" s="27">
        <v>0.9550561797752809</v>
      </c>
      <c r="CT90" s="27">
        <v>0.9157303370786517</v>
      </c>
      <c r="CU90" s="27">
        <v>0.94594594594594594</v>
      </c>
      <c r="CV90" s="27">
        <v>0.92972972972972978</v>
      </c>
      <c r="CW90" s="27">
        <v>0.97297297297297303</v>
      </c>
      <c r="CX90" s="27">
        <v>0.94910849854670087</v>
      </c>
    </row>
    <row r="91" spans="38:102" x14ac:dyDescent="0.35">
      <c r="AL91" s="16" t="s">
        <v>273</v>
      </c>
      <c r="AM91" s="27">
        <v>0.97664543524416136</v>
      </c>
      <c r="AN91" s="27">
        <v>0.97441364605543712</v>
      </c>
      <c r="AO91" s="27">
        <v>0.98097251585623679</v>
      </c>
      <c r="AP91" s="27">
        <v>0.98294243070362475</v>
      </c>
      <c r="AQ91" s="27">
        <v>0.95464362850971918</v>
      </c>
      <c r="AR91" s="27">
        <v>0.9850746268656716</v>
      </c>
      <c r="AS91" s="27">
        <v>0.97228144989339016</v>
      </c>
      <c r="AT91" s="27">
        <v>0.97528196187546301</v>
      </c>
      <c r="AU91" s="27">
        <v>0.97314049586776863</v>
      </c>
      <c r="AV91" s="27">
        <v>0.99378881987577639</v>
      </c>
      <c r="AW91" s="27">
        <v>0.95218295218295224</v>
      </c>
      <c r="AX91" s="27">
        <v>0.96861924686192469</v>
      </c>
      <c r="AY91" s="27">
        <v>0.98529411764705888</v>
      </c>
      <c r="AZ91" s="27">
        <v>0.98704103671706267</v>
      </c>
      <c r="BA91" s="27">
        <v>0.98541666666666672</v>
      </c>
      <c r="BB91" s="27">
        <v>0.97792619083131582</v>
      </c>
      <c r="BC91" s="27">
        <v>0.95867768595041325</v>
      </c>
      <c r="BD91" s="27">
        <v>0.96153846153846156</v>
      </c>
      <c r="BE91" s="27">
        <v>0.96502057613168724</v>
      </c>
      <c r="BF91" s="27">
        <v>0.96828752642706128</v>
      </c>
      <c r="BG91" s="27">
        <v>0.99159663865546221</v>
      </c>
      <c r="BH91" s="27">
        <v>0.96694214876033058</v>
      </c>
      <c r="BI91" s="27">
        <v>0.97257383966244726</v>
      </c>
      <c r="BJ91" s="27">
        <v>0.96923383958940901</v>
      </c>
      <c r="BK91" s="27">
        <v>0.97291666666666665</v>
      </c>
      <c r="BL91" s="27">
        <v>0.99168399168399168</v>
      </c>
      <c r="BM91" s="27">
        <v>0.90041493775933612</v>
      </c>
      <c r="BN91" s="27">
        <v>0.91908713692946054</v>
      </c>
      <c r="BO91" s="27">
        <v>0.98750000000000004</v>
      </c>
      <c r="BP91" s="27">
        <v>0.97101449275362317</v>
      </c>
      <c r="BQ91" s="27">
        <v>0.99164926931106467</v>
      </c>
      <c r="BR91" s="27">
        <v>0.96203807072916325</v>
      </c>
      <c r="BS91" s="27">
        <v>0.92372881355932202</v>
      </c>
      <c r="BT91" s="27">
        <v>0.950207468879668</v>
      </c>
      <c r="BU91" s="27">
        <v>0.93775933609958506</v>
      </c>
      <c r="BV91" s="27">
        <v>0.9294605809128631</v>
      </c>
      <c r="BW91" s="27">
        <v>0.84067085953878407</v>
      </c>
      <c r="BX91" s="27">
        <v>0.93568464730290457</v>
      </c>
      <c r="BY91" s="27">
        <v>0.82217573221757323</v>
      </c>
      <c r="BZ91" s="27">
        <v>0.90566963407295731</v>
      </c>
      <c r="CA91" s="27">
        <v>0.97291666666666665</v>
      </c>
      <c r="CB91" s="27">
        <v>0.975103734439834</v>
      </c>
      <c r="CC91" s="27">
        <v>0.95041322314049592</v>
      </c>
      <c r="CD91" s="27">
        <v>0.97257383966244726</v>
      </c>
      <c r="CE91" s="27">
        <v>0.96900826446280997</v>
      </c>
      <c r="CF91" s="27">
        <v>0.97095435684647302</v>
      </c>
      <c r="CG91" s="27">
        <v>0.97291666666666665</v>
      </c>
      <c r="CH91" s="27">
        <v>0.96912667884077053</v>
      </c>
      <c r="CI91" s="27">
        <v>0.97520661157024791</v>
      </c>
      <c r="CJ91" s="27">
        <v>0.98541666666666672</v>
      </c>
      <c r="CK91" s="27">
        <v>0.91789473684210521</v>
      </c>
      <c r="CL91" s="27">
        <v>0.8966244725738397</v>
      </c>
      <c r="CM91" s="27">
        <v>0.99380165289256195</v>
      </c>
      <c r="CN91" s="27">
        <v>0.98553719008264462</v>
      </c>
      <c r="CO91" s="27">
        <v>0.97890295358649793</v>
      </c>
      <c r="CP91" s="27">
        <v>0.96191204060208058</v>
      </c>
      <c r="CQ91" s="27">
        <v>0.97520661157024791</v>
      </c>
      <c r="CR91" s="27">
        <v>0.94560669456066948</v>
      </c>
      <c r="CS91" s="27">
        <v>0.94142259414225937</v>
      </c>
      <c r="CT91" s="27">
        <v>0.94871794871794868</v>
      </c>
      <c r="CU91" s="27">
        <v>0.96835443037974689</v>
      </c>
      <c r="CV91" s="27">
        <v>0.97291666666666665</v>
      </c>
      <c r="CW91" s="27">
        <v>0.98750000000000004</v>
      </c>
      <c r="CX91" s="27">
        <v>0.962817849433934</v>
      </c>
    </row>
    <row r="92" spans="38:102" x14ac:dyDescent="0.35">
      <c r="AL92" s="16" t="s">
        <v>274</v>
      </c>
      <c r="AM92" s="27">
        <v>0.95887850467289715</v>
      </c>
      <c r="AN92" s="27">
        <v>0.98292220113851991</v>
      </c>
      <c r="AO92" s="27">
        <v>0.97740112994350281</v>
      </c>
      <c r="AP92" s="27">
        <v>0.96577946768060841</v>
      </c>
      <c r="AQ92" s="27">
        <v>0.97185741088180111</v>
      </c>
      <c r="AR92" s="27">
        <v>0.98116760828625238</v>
      </c>
      <c r="AS92" s="27">
        <v>0.98865784499054821</v>
      </c>
      <c r="AT92" s="27">
        <v>0.97523773822773285</v>
      </c>
      <c r="AU92" s="27">
        <v>0.97731568998109641</v>
      </c>
      <c r="AV92" s="27">
        <v>0.96981132075471699</v>
      </c>
      <c r="AW92" s="27">
        <v>0.96421845574387943</v>
      </c>
      <c r="AX92" s="27">
        <v>0.97551789077212803</v>
      </c>
      <c r="AY92" s="27">
        <v>0.97705544933078392</v>
      </c>
      <c r="AZ92" s="27">
        <v>0.97175141242937857</v>
      </c>
      <c r="BA92" s="27">
        <v>0.98311444652908064</v>
      </c>
      <c r="BB92" s="27">
        <v>0.9741120950772949</v>
      </c>
      <c r="BC92" s="27">
        <v>0.982791586998088</v>
      </c>
      <c r="BD92" s="27">
        <v>0.98676748582230622</v>
      </c>
      <c r="BE92" s="27">
        <v>0.94357976653696496</v>
      </c>
      <c r="BF92" s="27">
        <v>0.9452054794520548</v>
      </c>
      <c r="BG92" s="27">
        <v>0.98113207547169812</v>
      </c>
      <c r="BH92" s="27">
        <v>0.98499061913696062</v>
      </c>
      <c r="BI92" s="27">
        <v>0.97373358348968109</v>
      </c>
      <c r="BJ92" s="27">
        <v>0.97117151384396483</v>
      </c>
      <c r="BK92" s="27">
        <v>0.9502868068833652</v>
      </c>
      <c r="BL92" s="27">
        <v>0.96101364522417154</v>
      </c>
      <c r="BM92" s="27">
        <v>0.93486590038314177</v>
      </c>
      <c r="BN92" s="27">
        <v>0.94368932038834952</v>
      </c>
      <c r="BO92" s="27">
        <v>0.95019157088122608</v>
      </c>
      <c r="BP92" s="27">
        <v>0.96015180265654654</v>
      </c>
      <c r="BQ92" s="27">
        <v>0.98087954110898656</v>
      </c>
      <c r="BR92" s="27">
        <v>0.95443979821796954</v>
      </c>
      <c r="BS92" s="27">
        <v>0.88605108055009818</v>
      </c>
      <c r="BT92" s="27">
        <v>0.95516569200779722</v>
      </c>
      <c r="BU92" s="27">
        <v>0.92412451361867709</v>
      </c>
      <c r="BV92" s="27">
        <v>0.95173745173745172</v>
      </c>
      <c r="BW92" s="27">
        <v>0.845703125</v>
      </c>
      <c r="BX92" s="27">
        <v>0.92397660818713445</v>
      </c>
      <c r="BY92" s="27">
        <v>0.818359375</v>
      </c>
      <c r="BZ92" s="27">
        <v>0.90073112087159413</v>
      </c>
      <c r="CA92" s="27">
        <v>0.95516569200779722</v>
      </c>
      <c r="CB92" s="27">
        <v>0.9609375</v>
      </c>
      <c r="CC92" s="27">
        <v>0.94379844961240311</v>
      </c>
      <c r="CD92" s="27">
        <v>0.94817658349328215</v>
      </c>
      <c r="CE92" s="27">
        <v>0.96718146718146714</v>
      </c>
      <c r="CF92" s="27">
        <v>0.9538461538461539</v>
      </c>
      <c r="CG92" s="27">
        <v>0.94757281553398054</v>
      </c>
      <c r="CH92" s="27">
        <v>0.9538112373821549</v>
      </c>
      <c r="CI92" s="27">
        <v>0.96940726577437863</v>
      </c>
      <c r="CJ92" s="27">
        <v>0.97490347490347495</v>
      </c>
      <c r="CK92" s="27">
        <v>0.94208494208494209</v>
      </c>
      <c r="CL92" s="27">
        <v>0.95938104448742745</v>
      </c>
      <c r="CM92" s="27">
        <v>0.95945945945945943</v>
      </c>
      <c r="CN92" s="27">
        <v>0.95357833655705992</v>
      </c>
      <c r="CO92" s="27">
        <v>0.96317829457364346</v>
      </c>
      <c r="CP92" s="27">
        <v>0.96028468826291224</v>
      </c>
      <c r="CQ92" s="27">
        <v>0.97480620155038755</v>
      </c>
      <c r="CR92" s="27">
        <v>0.98252427184466018</v>
      </c>
      <c r="CS92" s="27">
        <v>0.93737769080234834</v>
      </c>
      <c r="CT92" s="27">
        <v>0.952191235059761</v>
      </c>
      <c r="CU92" s="27">
        <v>0.97450980392156861</v>
      </c>
      <c r="CV92" s="27">
        <v>0.97864077669902916</v>
      </c>
      <c r="CW92" s="27">
        <v>0.98054474708171202</v>
      </c>
      <c r="CX92" s="27">
        <v>0.96865638956563827</v>
      </c>
    </row>
    <row r="93" spans="38:102" x14ac:dyDescent="0.35">
      <c r="AL93" s="16" t="s">
        <v>275</v>
      </c>
      <c r="AM93" s="27">
        <v>0.97713097713097719</v>
      </c>
      <c r="AN93" s="27">
        <v>0.94838709677419353</v>
      </c>
      <c r="AO93" s="27">
        <v>0.95771670190274838</v>
      </c>
      <c r="AP93" s="27">
        <v>0.93390191897654584</v>
      </c>
      <c r="AQ93" s="27">
        <v>0.98541666666666672</v>
      </c>
      <c r="AR93" s="27">
        <v>0.98734177215189878</v>
      </c>
      <c r="AS93" s="27">
        <v>0.9831223628691983</v>
      </c>
      <c r="AT93" s="27">
        <v>0.96757392806746123</v>
      </c>
      <c r="AU93" s="27">
        <v>0.9726315789473684</v>
      </c>
      <c r="AV93" s="27">
        <v>0.95319148936170217</v>
      </c>
      <c r="AW93" s="27">
        <v>0.93790149892933616</v>
      </c>
      <c r="AX93" s="27">
        <v>0.94181034482758619</v>
      </c>
      <c r="AY93" s="27">
        <v>0.98333333333333328</v>
      </c>
      <c r="AZ93" s="27">
        <v>0.98951781970649899</v>
      </c>
      <c r="BA93" s="27">
        <v>0.97693920335429774</v>
      </c>
      <c r="BB93" s="27">
        <v>0.96504646692287466</v>
      </c>
      <c r="BC93" s="27">
        <v>0.9642857142857143</v>
      </c>
      <c r="BD93" s="27">
        <v>0.9635974304068522</v>
      </c>
      <c r="BE93" s="27">
        <v>0.94827586206896552</v>
      </c>
      <c r="BF93" s="27">
        <v>0.95680345572354208</v>
      </c>
      <c r="BG93" s="27">
        <v>0.96842105263157896</v>
      </c>
      <c r="BH93" s="27">
        <v>0.98942917547568709</v>
      </c>
      <c r="BI93" s="27">
        <v>0.98940677966101698</v>
      </c>
      <c r="BJ93" s="27">
        <v>0.96860278146476542</v>
      </c>
      <c r="BK93" s="27">
        <v>0.94408602150537635</v>
      </c>
      <c r="BL93" s="27">
        <v>0.94860813704496783</v>
      </c>
      <c r="BM93" s="27">
        <v>0.91973969631236441</v>
      </c>
      <c r="BN93" s="27">
        <v>0.91903719912472648</v>
      </c>
      <c r="BO93" s="27">
        <v>0.95940170940170943</v>
      </c>
      <c r="BP93" s="27">
        <v>0.97251585623678649</v>
      </c>
      <c r="BQ93" s="27">
        <v>0.99156118143459915</v>
      </c>
      <c r="BR93" s="27">
        <v>0.95070711443721856</v>
      </c>
      <c r="BS93" s="27">
        <v>0.91629955947136565</v>
      </c>
      <c r="BT93" s="27">
        <v>0.94967177242888401</v>
      </c>
      <c r="BU93" s="27">
        <v>0.92763157894736847</v>
      </c>
      <c r="BV93" s="27">
        <v>0.92008639308855289</v>
      </c>
      <c r="BW93" s="27">
        <v>0.81798245614035092</v>
      </c>
      <c r="BX93" s="27">
        <v>0.89692982456140347</v>
      </c>
      <c r="BY93" s="27">
        <v>0.80659340659340661</v>
      </c>
      <c r="BZ93" s="27">
        <v>0.89074214160447596</v>
      </c>
      <c r="CA93" s="27">
        <v>0.9458333333333333</v>
      </c>
      <c r="CB93" s="27">
        <v>0.95957446808510638</v>
      </c>
      <c r="CC93" s="27">
        <v>0.95407098121085598</v>
      </c>
      <c r="CD93" s="27">
        <v>0.96</v>
      </c>
      <c r="CE93" s="27">
        <v>0.95178197064989523</v>
      </c>
      <c r="CF93" s="27">
        <v>0.95137420718816068</v>
      </c>
      <c r="CG93" s="27">
        <v>0.94849785407725318</v>
      </c>
      <c r="CH93" s="27">
        <v>0.95301897350637199</v>
      </c>
      <c r="CI93" s="27">
        <v>0.96767241379310343</v>
      </c>
      <c r="CJ93" s="27">
        <v>0.9916666666666667</v>
      </c>
      <c r="CK93" s="27">
        <v>0.95512820512820518</v>
      </c>
      <c r="CL93" s="27">
        <v>0.93333333333333335</v>
      </c>
      <c r="CM93" s="27">
        <v>0.94218415417558887</v>
      </c>
      <c r="CN93" s="27">
        <v>0.97920997920997921</v>
      </c>
      <c r="CO93" s="27">
        <v>0.9603340292275574</v>
      </c>
      <c r="CP93" s="27">
        <v>0.96136125450491927</v>
      </c>
      <c r="CQ93" s="27">
        <v>0.95807127882599585</v>
      </c>
      <c r="CR93" s="27">
        <v>0.97452229299363058</v>
      </c>
      <c r="CS93" s="27">
        <v>0.96398305084745761</v>
      </c>
      <c r="CT93" s="27">
        <v>0.9576271186440678</v>
      </c>
      <c r="CU93" s="27">
        <v>0.98541666666666672</v>
      </c>
      <c r="CV93" s="27">
        <v>0.98538622129436326</v>
      </c>
      <c r="CW93" s="27">
        <v>0.98550724637681164</v>
      </c>
      <c r="CX93" s="27">
        <v>0.97293055366414183</v>
      </c>
    </row>
    <row r="94" spans="38:102" x14ac:dyDescent="0.35">
      <c r="AL94" s="16" t="s">
        <v>276</v>
      </c>
      <c r="AM94" s="27">
        <v>0.94250871080139376</v>
      </c>
      <c r="AN94" s="27">
        <v>0.90648854961832059</v>
      </c>
      <c r="AO94" s="27">
        <v>0.94773519163763065</v>
      </c>
      <c r="AP94" s="27">
        <v>0.95296167247386765</v>
      </c>
      <c r="AQ94" s="27">
        <v>0.95229007633587781</v>
      </c>
      <c r="AR94" s="27">
        <v>0.91793893129770987</v>
      </c>
      <c r="AS94" s="27">
        <v>0.95419847328244278</v>
      </c>
      <c r="AT94" s="27">
        <v>0.93916022934960619</v>
      </c>
      <c r="AU94" s="27">
        <v>0.93771626297577859</v>
      </c>
      <c r="AV94" s="27">
        <v>0.92160278745644597</v>
      </c>
      <c r="AW94" s="27">
        <v>0.94636678200692037</v>
      </c>
      <c r="AX94" s="27">
        <v>0.9256055363321799</v>
      </c>
      <c r="AY94" s="27">
        <v>0.95847750865051906</v>
      </c>
      <c r="AZ94" s="27">
        <v>0.92160278745644597</v>
      </c>
      <c r="BA94" s="27">
        <v>0.94463667820069208</v>
      </c>
      <c r="BB94" s="27">
        <v>0.93657262043985468</v>
      </c>
      <c r="BC94" s="27">
        <v>0.91868512110726641</v>
      </c>
      <c r="BD94" s="27">
        <v>0.91176470588235292</v>
      </c>
      <c r="BE94" s="27">
        <v>0.92387543252595161</v>
      </c>
      <c r="BF94" s="27">
        <v>0.93252595155709339</v>
      </c>
      <c r="BG94" s="27">
        <v>0.90830449826989623</v>
      </c>
      <c r="BH94" s="27">
        <v>0.91176470588235292</v>
      </c>
      <c r="BI94" s="27">
        <v>0.88927335640138405</v>
      </c>
      <c r="BJ94" s="27">
        <v>0.91374196737518543</v>
      </c>
      <c r="BK94" s="27">
        <v>0.93598615916955019</v>
      </c>
      <c r="BL94" s="27">
        <v>0.93944636678200688</v>
      </c>
      <c r="BM94" s="27">
        <v>0.90311418685121103</v>
      </c>
      <c r="BN94" s="27">
        <v>0.89273356401384085</v>
      </c>
      <c r="BO94" s="27">
        <v>0.97923875432525953</v>
      </c>
      <c r="BP94" s="27">
        <v>0.96193771626297575</v>
      </c>
      <c r="BQ94" s="27">
        <v>0.95674740484429066</v>
      </c>
      <c r="BR94" s="27">
        <v>0.93845773603559068</v>
      </c>
      <c r="BS94" s="27">
        <v>0.8546712802768166</v>
      </c>
      <c r="BT94" s="27">
        <v>0.88581314878892736</v>
      </c>
      <c r="BU94" s="27">
        <v>0.85121107266435991</v>
      </c>
      <c r="BV94" s="27">
        <v>0.86851211072664358</v>
      </c>
      <c r="BW94" s="27">
        <v>0.84602076124567471</v>
      </c>
      <c r="BX94" s="27">
        <v>0.90311418685121103</v>
      </c>
      <c r="BY94" s="27">
        <v>0.84775086505190311</v>
      </c>
      <c r="BZ94" s="27">
        <v>0.86529906080079111</v>
      </c>
      <c r="CA94" s="27">
        <v>0.89619377162629754</v>
      </c>
      <c r="CB94" s="27">
        <v>0.86332179930795849</v>
      </c>
      <c r="CC94" s="27">
        <v>0.89100346020761245</v>
      </c>
      <c r="CD94" s="27">
        <v>0.87370242214532867</v>
      </c>
      <c r="CE94" s="27">
        <v>0.87716262975778547</v>
      </c>
      <c r="CF94" s="27">
        <v>0.90138408304498274</v>
      </c>
      <c r="CG94" s="27">
        <v>0.88062283737024216</v>
      </c>
      <c r="CH94" s="27">
        <v>0.88334157192288676</v>
      </c>
      <c r="CI94" s="27">
        <v>0.9273356401384083</v>
      </c>
      <c r="CJ94" s="27">
        <v>0.89446366782006925</v>
      </c>
      <c r="CK94" s="27">
        <v>0.90484429065743943</v>
      </c>
      <c r="CL94" s="27">
        <v>0.90657439446366783</v>
      </c>
      <c r="CM94" s="27">
        <v>0.95328719723183386</v>
      </c>
      <c r="CN94" s="27">
        <v>0.9273356401384083</v>
      </c>
      <c r="CO94" s="27">
        <v>0.92387543252595161</v>
      </c>
      <c r="CP94" s="27">
        <v>0.91967375185368272</v>
      </c>
      <c r="CQ94" s="27">
        <v>0.93127147766323026</v>
      </c>
      <c r="CR94" s="27">
        <v>0.89965397923875434</v>
      </c>
      <c r="CS94" s="27">
        <v>0.90893470790378006</v>
      </c>
      <c r="CT94" s="27">
        <v>0.9048473967684022</v>
      </c>
      <c r="CU94" s="27">
        <v>0.92268041237113407</v>
      </c>
      <c r="CV94" s="27">
        <v>0.91924398625429549</v>
      </c>
      <c r="CW94" s="27">
        <v>0.93642611683848798</v>
      </c>
      <c r="CX94" s="27">
        <v>0.91757972529115506</v>
      </c>
    </row>
    <row r="95" spans="38:102" x14ac:dyDescent="0.35">
      <c r="AL95" s="16" t="s">
        <v>277</v>
      </c>
      <c r="AM95" s="27">
        <v>0.75316455696202533</v>
      </c>
      <c r="AN95" s="27">
        <v>0.55974842767295596</v>
      </c>
      <c r="AO95" s="27">
        <v>0.73417721518987344</v>
      </c>
      <c r="AP95" s="27">
        <v>0.66242038216560506</v>
      </c>
      <c r="AQ95" s="27">
        <v>0.68354430379746833</v>
      </c>
      <c r="AR95" s="27">
        <v>0.63694267515923564</v>
      </c>
      <c r="AS95" s="27">
        <v>0.67088607594936711</v>
      </c>
      <c r="AT95" s="27">
        <v>0.67155480527093303</v>
      </c>
      <c r="AU95" s="27">
        <v>0.71250000000000002</v>
      </c>
      <c r="AV95" s="27">
        <v>0.68354430379746833</v>
      </c>
      <c r="AW95" s="27">
        <v>0.76729559748427678</v>
      </c>
      <c r="AX95" s="27">
        <v>0.73584905660377353</v>
      </c>
      <c r="AY95" s="27">
        <v>0.77500000000000002</v>
      </c>
      <c r="AZ95" s="27">
        <v>0.67500000000000004</v>
      </c>
      <c r="BA95" s="27">
        <v>0.77500000000000002</v>
      </c>
      <c r="BB95" s="27">
        <v>0.73202699398364557</v>
      </c>
      <c r="BC95" s="27">
        <v>0.71698113207547165</v>
      </c>
      <c r="BD95" s="27">
        <v>0.75641025641025639</v>
      </c>
      <c r="BE95" s="27">
        <v>0.60377358490566035</v>
      </c>
      <c r="BF95" s="27">
        <v>0.62264150943396224</v>
      </c>
      <c r="BG95" s="27">
        <v>0.71069182389937102</v>
      </c>
      <c r="BH95" s="27">
        <v>0.71518987341772156</v>
      </c>
      <c r="BI95" s="27">
        <v>0.72327044025157228</v>
      </c>
      <c r="BJ95" s="27">
        <v>0.69270837434200216</v>
      </c>
      <c r="BK95" s="27">
        <v>0.66249999999999998</v>
      </c>
      <c r="BL95" s="27">
        <v>0.63749999999999996</v>
      </c>
      <c r="BM95" s="27">
        <v>0.61635220125786161</v>
      </c>
      <c r="BN95" s="27">
        <v>0.59748427672955973</v>
      </c>
      <c r="BO95" s="27">
        <v>0.76729559748427678</v>
      </c>
      <c r="BP95" s="27">
        <v>0.74213836477987416</v>
      </c>
      <c r="BQ95" s="27">
        <v>0.8176100628930818</v>
      </c>
      <c r="BR95" s="27">
        <v>0.69155435759209338</v>
      </c>
      <c r="BS95" s="27">
        <v>0.36942675159235666</v>
      </c>
      <c r="BT95" s="27">
        <v>0.52830188679245282</v>
      </c>
      <c r="BU95" s="27">
        <v>0.49681528662420382</v>
      </c>
      <c r="BV95" s="27">
        <v>0.47770700636942676</v>
      </c>
      <c r="BW95" s="27">
        <v>0.36075949367088606</v>
      </c>
      <c r="BX95" s="27">
        <v>0.45911949685534592</v>
      </c>
      <c r="BY95" s="27">
        <v>0.32911392405063289</v>
      </c>
      <c r="BZ95" s="27">
        <v>0.43160626370790073</v>
      </c>
      <c r="CA95" s="27">
        <v>0.48101265822784811</v>
      </c>
      <c r="CB95" s="27">
        <v>0.45859872611464969</v>
      </c>
      <c r="CC95" s="27">
        <v>0.49367088607594939</v>
      </c>
      <c r="CD95" s="27">
        <v>0.45569620253164556</v>
      </c>
      <c r="CE95" s="27">
        <v>0.47770700636942676</v>
      </c>
      <c r="CF95" s="27">
        <v>0.50955414012738853</v>
      </c>
      <c r="CG95" s="27">
        <v>0.50318471337579618</v>
      </c>
      <c r="CH95" s="27">
        <v>0.48277490468895773</v>
      </c>
      <c r="CI95" s="27">
        <v>0.64331210191082799</v>
      </c>
      <c r="CJ95" s="27">
        <v>0.48407643312101911</v>
      </c>
      <c r="CK95" s="27">
        <v>0.59235668789808915</v>
      </c>
      <c r="CL95" s="27">
        <v>0.59235668789808915</v>
      </c>
      <c r="CM95" s="27">
        <v>0.64779874213836475</v>
      </c>
      <c r="CN95" s="27">
        <v>0.57961783439490444</v>
      </c>
      <c r="CO95" s="27">
        <v>0.62658227848101267</v>
      </c>
      <c r="CP95" s="27">
        <v>0.59515725226318672</v>
      </c>
      <c r="CQ95" s="27">
        <v>0.60810810810810811</v>
      </c>
      <c r="CR95" s="27">
        <v>0.5</v>
      </c>
      <c r="CS95" s="27">
        <v>0.52380952380952384</v>
      </c>
      <c r="CT95" s="27">
        <v>0.51020408163265307</v>
      </c>
      <c r="CU95" s="27">
        <v>0.65306122448979587</v>
      </c>
      <c r="CV95" s="27">
        <v>0.52229299363057324</v>
      </c>
      <c r="CW95" s="27">
        <v>0.61643835616438358</v>
      </c>
      <c r="CX95" s="27">
        <v>0.56198775540500534</v>
      </c>
    </row>
    <row r="96" spans="38:102" x14ac:dyDescent="0.35">
      <c r="AL96" s="16" t="s">
        <v>278</v>
      </c>
      <c r="AM96" s="27">
        <v>0.93337604099935934</v>
      </c>
      <c r="AN96" s="27">
        <v>0.94681549573210766</v>
      </c>
      <c r="AO96" s="27">
        <v>0.90903183885640026</v>
      </c>
      <c r="AP96" s="27">
        <v>0.91803278688524592</v>
      </c>
      <c r="AQ96" s="27">
        <v>0.94102564102564101</v>
      </c>
      <c r="AR96" s="27">
        <v>0.96387096774193548</v>
      </c>
      <c r="AS96" s="27">
        <v>0.95492594977462975</v>
      </c>
      <c r="AT96" s="27">
        <v>0.9381541030021886</v>
      </c>
      <c r="AU96" s="27">
        <v>0.93181818181818177</v>
      </c>
      <c r="AV96" s="27">
        <v>0.92824822236586946</v>
      </c>
      <c r="AW96" s="27">
        <v>0.89435695538057747</v>
      </c>
      <c r="AX96" s="27">
        <v>0.90320470896010463</v>
      </c>
      <c r="AY96" s="27">
        <v>0.94547787042976272</v>
      </c>
      <c r="AZ96" s="27">
        <v>0.94348105330764287</v>
      </c>
      <c r="BA96" s="27">
        <v>0.93793985924504164</v>
      </c>
      <c r="BB96" s="27">
        <v>0.92636097878674017</v>
      </c>
      <c r="BC96" s="27">
        <v>0.9293193717277487</v>
      </c>
      <c r="BD96" s="27">
        <v>0.91276041666666663</v>
      </c>
      <c r="BE96" s="27">
        <v>0.90271343481138322</v>
      </c>
      <c r="BF96" s="27">
        <v>0.91716766867067467</v>
      </c>
      <c r="BG96" s="27">
        <v>0.94036697247706424</v>
      </c>
      <c r="BH96" s="27">
        <v>0.94743672939649581</v>
      </c>
      <c r="BI96" s="27">
        <v>0.94977168949771684</v>
      </c>
      <c r="BJ96" s="27">
        <v>0.9285051833211071</v>
      </c>
      <c r="BK96" s="27">
        <v>0.93725231175693524</v>
      </c>
      <c r="BL96" s="27">
        <v>0.93231585932315864</v>
      </c>
      <c r="BM96" s="27">
        <v>0.89501661129568111</v>
      </c>
      <c r="BN96" s="27">
        <v>0.88888888888888884</v>
      </c>
      <c r="BO96" s="27">
        <v>0.93328929986789966</v>
      </c>
      <c r="BP96" s="27">
        <v>0.93704440026507618</v>
      </c>
      <c r="BQ96" s="27">
        <v>0.94206714944042136</v>
      </c>
      <c r="BR96" s="27">
        <v>0.92369636011972289</v>
      </c>
      <c r="BS96" s="27">
        <v>0.88448393711551609</v>
      </c>
      <c r="BT96" s="27">
        <v>0.90529801324503312</v>
      </c>
      <c r="BU96" s="27">
        <v>0.89370345294515907</v>
      </c>
      <c r="BV96" s="27">
        <v>0.91277890466531442</v>
      </c>
      <c r="BW96" s="27">
        <v>0.81117927743694618</v>
      </c>
      <c r="BX96" s="27">
        <v>0.90705563093622799</v>
      </c>
      <c r="BY96" s="27">
        <v>0.81562714187799867</v>
      </c>
      <c r="BZ96" s="27">
        <v>0.87573233688888508</v>
      </c>
      <c r="CA96" s="27">
        <v>0.95460526315789473</v>
      </c>
      <c r="CB96" s="27">
        <v>0.93117408906882593</v>
      </c>
      <c r="CC96" s="27">
        <v>0.93872229465449808</v>
      </c>
      <c r="CD96" s="27">
        <v>0.93979057591623039</v>
      </c>
      <c r="CE96" s="27">
        <v>0.9525065963060686</v>
      </c>
      <c r="CF96" s="27">
        <v>0.94814814814814818</v>
      </c>
      <c r="CG96" s="27">
        <v>0.94030851777330648</v>
      </c>
      <c r="CH96" s="27">
        <v>0.94360792643213898</v>
      </c>
      <c r="CI96" s="27">
        <v>0.95162316995544238</v>
      </c>
      <c r="CJ96" s="27">
        <v>0.94753886010362698</v>
      </c>
      <c r="CK96" s="27">
        <v>0.92843571880937303</v>
      </c>
      <c r="CL96" s="27">
        <v>0.93418530351437701</v>
      </c>
      <c r="CM96" s="27">
        <v>0.95630145661811272</v>
      </c>
      <c r="CN96" s="27">
        <v>0.96200901481004508</v>
      </c>
      <c r="CO96" s="27">
        <v>0.95047619047619047</v>
      </c>
      <c r="CP96" s="27">
        <v>0.94722424489816681</v>
      </c>
      <c r="CQ96" s="27">
        <v>0.94819962097283639</v>
      </c>
      <c r="CR96" s="27">
        <v>0.9447619047619048</v>
      </c>
      <c r="CS96" s="27">
        <v>0.9173553719008265</v>
      </c>
      <c r="CT96" s="27">
        <v>0.9208173690932312</v>
      </c>
      <c r="CU96" s="27">
        <v>0.95250158328055734</v>
      </c>
      <c r="CV96" s="27">
        <v>0.95108005082592117</v>
      </c>
      <c r="CW96" s="27">
        <v>0.95086151882578174</v>
      </c>
      <c r="CX96" s="27">
        <v>0.94079677423729413</v>
      </c>
    </row>
    <row r="97" spans="38:102" x14ac:dyDescent="0.35">
      <c r="AL97" s="16" t="s">
        <v>279</v>
      </c>
      <c r="AM97" s="27">
        <v>0.94318181818181823</v>
      </c>
      <c r="AN97" s="27">
        <v>0.92211404728789981</v>
      </c>
      <c r="AO97" s="27">
        <v>0.93659942363112392</v>
      </c>
      <c r="AP97" s="27">
        <v>0.96454948301329391</v>
      </c>
      <c r="AQ97" s="27">
        <v>0.94397759103641454</v>
      </c>
      <c r="AR97" s="27">
        <v>0.96652719665271969</v>
      </c>
      <c r="AS97" s="27">
        <v>0.96239554317548748</v>
      </c>
      <c r="AT97" s="27">
        <v>0.94847787185410826</v>
      </c>
      <c r="AU97" s="27">
        <v>0.96153846153846156</v>
      </c>
      <c r="AV97" s="27">
        <v>0.93952180028129395</v>
      </c>
      <c r="AW97" s="27">
        <v>0.95114942528735635</v>
      </c>
      <c r="AX97" s="27">
        <v>0.94691535150645623</v>
      </c>
      <c r="AY97" s="27">
        <v>0.9815864022662889</v>
      </c>
      <c r="AZ97" s="27">
        <v>0.95639943741209565</v>
      </c>
      <c r="BA97" s="27">
        <v>0.96652719665271969</v>
      </c>
      <c r="BB97" s="27">
        <v>0.95766258213495326</v>
      </c>
      <c r="BC97" s="27">
        <v>0.95467422096317278</v>
      </c>
      <c r="BD97" s="27">
        <v>0.94265734265734269</v>
      </c>
      <c r="BE97" s="27">
        <v>0.93732193732193736</v>
      </c>
      <c r="BF97" s="27">
        <v>0.91942446043165471</v>
      </c>
      <c r="BG97" s="27">
        <v>0.96317280453257792</v>
      </c>
      <c r="BH97" s="27">
        <v>0.97619047619047616</v>
      </c>
      <c r="BI97" s="27">
        <v>0.97021276595744677</v>
      </c>
      <c r="BJ97" s="27">
        <v>0.95195057257922977</v>
      </c>
      <c r="BK97" s="27">
        <v>0.95467422096317278</v>
      </c>
      <c r="BL97" s="27">
        <v>0.94766619519094764</v>
      </c>
      <c r="BM97" s="27">
        <v>0.90159189580318377</v>
      </c>
      <c r="BN97" s="27">
        <v>0.92543859649122806</v>
      </c>
      <c r="BO97" s="27">
        <v>0.96742209631728049</v>
      </c>
      <c r="BP97" s="27">
        <v>0.93059490084985841</v>
      </c>
      <c r="BQ97" s="27">
        <v>0.96600566572237956</v>
      </c>
      <c r="BR97" s="27">
        <v>0.94191336733400721</v>
      </c>
      <c r="BS97" s="27">
        <v>0.9270687237026648</v>
      </c>
      <c r="BT97" s="27">
        <v>0.91477272727272729</v>
      </c>
      <c r="BU97" s="27">
        <v>0.95857142857142852</v>
      </c>
      <c r="BV97" s="27">
        <v>0.96737588652482265</v>
      </c>
      <c r="BW97" s="27">
        <v>0.91137370753323488</v>
      </c>
      <c r="BX97" s="27">
        <v>0.93381294964028771</v>
      </c>
      <c r="BY97" s="27">
        <v>0.8685376661742984</v>
      </c>
      <c r="BZ97" s="27">
        <v>0.92593044134563773</v>
      </c>
      <c r="CA97" s="27">
        <v>0.94903581267217629</v>
      </c>
      <c r="CB97" s="27">
        <v>0.96174863387978138</v>
      </c>
      <c r="CC97" s="27">
        <v>0.9517241379310345</v>
      </c>
      <c r="CD97" s="27">
        <v>0.94077134986225897</v>
      </c>
      <c r="CE97" s="27">
        <v>0.93835616438356162</v>
      </c>
      <c r="CF97" s="27">
        <v>0.94822888283378748</v>
      </c>
      <c r="CG97" s="27">
        <v>0.92896174863387981</v>
      </c>
      <c r="CH97" s="27">
        <v>0.94554667574235418</v>
      </c>
      <c r="CI97" s="27">
        <v>0.9621318373071529</v>
      </c>
      <c r="CJ97" s="27">
        <v>0.9747191011235955</v>
      </c>
      <c r="CK97" s="27">
        <v>0.96633941093969145</v>
      </c>
      <c r="CL97" s="27">
        <v>0.9576271186440678</v>
      </c>
      <c r="CM97" s="27">
        <v>0.96363636363636362</v>
      </c>
      <c r="CN97" s="27">
        <v>0.97071129707112969</v>
      </c>
      <c r="CO97" s="27">
        <v>0.96778711484593838</v>
      </c>
      <c r="CP97" s="27">
        <v>0.96613603479541987</v>
      </c>
      <c r="CQ97" s="27">
        <v>0.95780590717299574</v>
      </c>
      <c r="CR97" s="27">
        <v>0.95345557122708036</v>
      </c>
      <c r="CS97" s="27">
        <v>0.92989985693848354</v>
      </c>
      <c r="CT97" s="27">
        <v>0.95780590717299574</v>
      </c>
      <c r="CU97" s="27">
        <v>0.95077355836849509</v>
      </c>
      <c r="CV97" s="27">
        <v>0.95774647887323938</v>
      </c>
      <c r="CW97" s="27">
        <v>0.94374120956399432</v>
      </c>
      <c r="CX97" s="27">
        <v>0.95017549847389782</v>
      </c>
    </row>
    <row r="98" spans="38:102" x14ac:dyDescent="0.35">
      <c r="AL98" s="16" t="s">
        <v>280</v>
      </c>
      <c r="AM98" s="27">
        <v>0.94466800804828976</v>
      </c>
      <c r="AN98" s="27">
        <v>0.93663366336633669</v>
      </c>
      <c r="AO98" s="27">
        <v>0.93406593406593408</v>
      </c>
      <c r="AP98" s="27">
        <v>0.92763819095477384</v>
      </c>
      <c r="AQ98" s="27">
        <v>0.93400000000000005</v>
      </c>
      <c r="AR98" s="27">
        <v>0.96047430830039526</v>
      </c>
      <c r="AS98" s="27">
        <v>0.9522388059701492</v>
      </c>
      <c r="AT98" s="27">
        <v>0.94138841581512556</v>
      </c>
      <c r="AU98" s="27">
        <v>0.96</v>
      </c>
      <c r="AV98" s="27">
        <v>0.96783919597989954</v>
      </c>
      <c r="AW98" s="27">
        <v>0.94064386317907445</v>
      </c>
      <c r="AX98" s="27">
        <v>0.95299999999999996</v>
      </c>
      <c r="AY98" s="27">
        <v>0.95477386934673369</v>
      </c>
      <c r="AZ98" s="27">
        <v>0.96496496496496498</v>
      </c>
      <c r="BA98" s="27">
        <v>0.95499999999999996</v>
      </c>
      <c r="BB98" s="27">
        <v>0.95660312763866762</v>
      </c>
      <c r="BC98" s="27">
        <v>0.93431372549019609</v>
      </c>
      <c r="BD98" s="27">
        <v>0.95148514851485144</v>
      </c>
      <c r="BE98" s="27">
        <v>0.92353525322740815</v>
      </c>
      <c r="BF98" s="27">
        <v>0.93978282329713725</v>
      </c>
      <c r="BG98" s="27">
        <v>0.9555555555555556</v>
      </c>
      <c r="BH98" s="27">
        <v>0.96453201970443347</v>
      </c>
      <c r="BI98" s="27">
        <v>0.96491228070175439</v>
      </c>
      <c r="BJ98" s="27">
        <v>0.9477309723559052</v>
      </c>
      <c r="BK98" s="27">
        <v>0.9549461312438785</v>
      </c>
      <c r="BL98" s="27">
        <v>0.94669299111549854</v>
      </c>
      <c r="BM98" s="27">
        <v>0.93669634025717108</v>
      </c>
      <c r="BN98" s="27">
        <v>0.92625368731563418</v>
      </c>
      <c r="BO98" s="27">
        <v>0.94901960784313721</v>
      </c>
      <c r="BP98" s="27">
        <v>0.96831683168316829</v>
      </c>
      <c r="BQ98" s="27">
        <v>0.9538310412573674</v>
      </c>
      <c r="BR98" s="27">
        <v>0.94796523295940793</v>
      </c>
      <c r="BS98" s="27">
        <v>0.92487804878048785</v>
      </c>
      <c r="BT98" s="27">
        <v>0.93560975609756103</v>
      </c>
      <c r="BU98" s="27">
        <v>0.89405940594059408</v>
      </c>
      <c r="BV98" s="27">
        <v>0.90926456542502387</v>
      </c>
      <c r="BW98" s="27">
        <v>0.90236686390532539</v>
      </c>
      <c r="BX98" s="27">
        <v>0.91600790513833996</v>
      </c>
      <c r="BY98" s="27">
        <v>0.86088709677419351</v>
      </c>
      <c r="BZ98" s="27">
        <v>0.90615337743736091</v>
      </c>
      <c r="CA98" s="27">
        <v>0.9294566253574833</v>
      </c>
      <c r="CB98" s="27">
        <v>0.935969868173258</v>
      </c>
      <c r="CC98" s="27">
        <v>0.95346628679962009</v>
      </c>
      <c r="CD98" s="27">
        <v>0.9294566253574833</v>
      </c>
      <c r="CE98" s="27">
        <v>0.94034090909090906</v>
      </c>
      <c r="CF98" s="27">
        <v>0.9323164918970448</v>
      </c>
      <c r="CG98" s="27">
        <v>0.92102759276879165</v>
      </c>
      <c r="CH98" s="27">
        <v>0.93457634277779866</v>
      </c>
      <c r="CI98" s="27">
        <v>0.95224450811843364</v>
      </c>
      <c r="CJ98" s="27">
        <v>0.95724907063197029</v>
      </c>
      <c r="CK98" s="27">
        <v>0.92567567567567566</v>
      </c>
      <c r="CL98" s="27">
        <v>0.90708812260536398</v>
      </c>
      <c r="CM98" s="27">
        <v>0.92307692307692313</v>
      </c>
      <c r="CN98" s="27">
        <v>0.95526561043802427</v>
      </c>
      <c r="CO98" s="27">
        <v>0.94073377234242705</v>
      </c>
      <c r="CP98" s="27">
        <v>0.93733338326983107</v>
      </c>
      <c r="CQ98" s="27">
        <v>0.94117647058823528</v>
      </c>
      <c r="CR98" s="27">
        <v>0.91666666666666663</v>
      </c>
      <c r="CS98" s="27">
        <v>0.92300194931773882</v>
      </c>
      <c r="CT98" s="27">
        <v>0.93365853658536591</v>
      </c>
      <c r="CU98" s="27">
        <v>0.94054580896686157</v>
      </c>
      <c r="CV98" s="27">
        <v>0.94976303317535549</v>
      </c>
      <c r="CW98" s="27">
        <v>0.92987512007684914</v>
      </c>
      <c r="CX98" s="27">
        <v>0.93352679791101045</v>
      </c>
    </row>
    <row r="99" spans="38:102" x14ac:dyDescent="0.35">
      <c r="AL99" s="16" t="s">
        <v>281</v>
      </c>
      <c r="AM99" s="27">
        <v>0.93305439330543938</v>
      </c>
      <c r="AN99" s="27">
        <v>0.90146750524109009</v>
      </c>
      <c r="AO99" s="27">
        <v>0.9088050314465409</v>
      </c>
      <c r="AP99" s="27">
        <v>0.90832455216016861</v>
      </c>
      <c r="AQ99" s="27">
        <v>0.936656282450675</v>
      </c>
      <c r="AR99" s="27">
        <v>0.92275574112734859</v>
      </c>
      <c r="AS99" s="27">
        <v>0.89927310488058154</v>
      </c>
      <c r="AT99" s="27">
        <v>0.9157623729445491</v>
      </c>
      <c r="AU99" s="27">
        <v>0.90356394129979034</v>
      </c>
      <c r="AV99" s="27">
        <v>0.91167192429022081</v>
      </c>
      <c r="AW99" s="27">
        <v>0.90899581589958156</v>
      </c>
      <c r="AX99" s="27">
        <v>0.91022964509394577</v>
      </c>
      <c r="AY99" s="27">
        <v>0.92171189979123169</v>
      </c>
      <c r="AZ99" s="27">
        <v>0.92526315789473679</v>
      </c>
      <c r="BA99" s="27">
        <v>0.91753653444676408</v>
      </c>
      <c r="BB99" s="27">
        <v>0.91413898838803864</v>
      </c>
      <c r="BC99" s="27">
        <v>0.91528925619834711</v>
      </c>
      <c r="BD99" s="27">
        <v>0.92538860103626941</v>
      </c>
      <c r="BE99" s="27">
        <v>0.88935281837160751</v>
      </c>
      <c r="BF99" s="27">
        <v>0.90339702760084928</v>
      </c>
      <c r="BG99" s="27">
        <v>0.92148760330578516</v>
      </c>
      <c r="BH99" s="27">
        <v>0.91563786008230452</v>
      </c>
      <c r="BI99" s="27">
        <v>0.91933815925542917</v>
      </c>
      <c r="BJ99" s="27">
        <v>0.91284161797865604</v>
      </c>
      <c r="BK99" s="27">
        <v>0.92436974789915971</v>
      </c>
      <c r="BL99" s="27">
        <v>0.92430703624733479</v>
      </c>
      <c r="BM99" s="27">
        <v>0.89006342494714585</v>
      </c>
      <c r="BN99" s="27">
        <v>0.87987012987012991</v>
      </c>
      <c r="BO99" s="27">
        <v>0.93146417445482865</v>
      </c>
      <c r="BP99" s="27">
        <v>0.91914893617021276</v>
      </c>
      <c r="BQ99" s="27">
        <v>0.92105263157894735</v>
      </c>
      <c r="BR99" s="27">
        <v>0.91289658302396537</v>
      </c>
      <c r="BS99" s="27">
        <v>0.84707158351409984</v>
      </c>
      <c r="BT99" s="27">
        <v>0.88254310344827591</v>
      </c>
      <c r="BU99" s="27">
        <v>0.86518046709129515</v>
      </c>
      <c r="BV99" s="27">
        <v>0.8844919786096257</v>
      </c>
      <c r="BW99" s="27">
        <v>0.79978471474703983</v>
      </c>
      <c r="BX99" s="27">
        <v>0.84887459807073951</v>
      </c>
      <c r="BY99" s="27">
        <v>0.79153094462540718</v>
      </c>
      <c r="BZ99" s="27">
        <v>0.84563962715806895</v>
      </c>
      <c r="CA99" s="27">
        <v>0.91476091476091481</v>
      </c>
      <c r="CB99" s="27">
        <v>0.88543897216274092</v>
      </c>
      <c r="CC99" s="27">
        <v>0.92887029288702927</v>
      </c>
      <c r="CD99" s="27">
        <v>0.89968321013727559</v>
      </c>
      <c r="CE99" s="27">
        <v>0.89915966386554624</v>
      </c>
      <c r="CF99" s="27">
        <v>0.89893617021276595</v>
      </c>
      <c r="CG99" s="27">
        <v>0.90127388535031849</v>
      </c>
      <c r="CH99" s="27">
        <v>0.90401758705379875</v>
      </c>
      <c r="CI99" s="27">
        <v>0.90673575129533679</v>
      </c>
      <c r="CJ99" s="27">
        <v>0.90909090909090906</v>
      </c>
      <c r="CK99" s="27">
        <v>0.90700104493207945</v>
      </c>
      <c r="CL99" s="27">
        <v>0.89087093389296956</v>
      </c>
      <c r="CM99" s="27">
        <v>0.92953367875647663</v>
      </c>
      <c r="CN99" s="27">
        <v>0.91398963730569949</v>
      </c>
      <c r="CO99" s="27">
        <v>0.9126413155190134</v>
      </c>
      <c r="CP99" s="27">
        <v>0.90998046725606918</v>
      </c>
      <c r="CQ99" s="27">
        <v>0.91623578076525336</v>
      </c>
      <c r="CR99" s="27">
        <v>0.90890052356020945</v>
      </c>
      <c r="CS99" s="27">
        <v>0.89495365602471677</v>
      </c>
      <c r="CT99" s="27">
        <v>0.90466321243523318</v>
      </c>
      <c r="CU99" s="27">
        <v>0.90852390852390852</v>
      </c>
      <c r="CV99" s="27">
        <v>0.90466321243523318</v>
      </c>
      <c r="CW99" s="27">
        <v>0.912008281573499</v>
      </c>
      <c r="CX99" s="27">
        <v>0.90713551075972187</v>
      </c>
    </row>
    <row r="100" spans="38:102" x14ac:dyDescent="0.35">
      <c r="AL100" s="16" t="s">
        <v>282</v>
      </c>
      <c r="AM100" s="27">
        <v>0.88199300699300698</v>
      </c>
      <c r="AN100" s="27">
        <v>0.88302550571679861</v>
      </c>
      <c r="AO100" s="27">
        <v>0.86690328305235143</v>
      </c>
      <c r="AP100" s="27">
        <v>0.87478108581436076</v>
      </c>
      <c r="AQ100" s="27">
        <v>0.88646288209606983</v>
      </c>
      <c r="AR100" s="27">
        <v>0.90781387181738371</v>
      </c>
      <c r="AS100" s="27">
        <v>0.90893169877408053</v>
      </c>
      <c r="AT100" s="27">
        <v>0.8871301906091501</v>
      </c>
      <c r="AU100" s="27">
        <v>0.88536155202821865</v>
      </c>
      <c r="AV100" s="27">
        <v>0.90233362143474505</v>
      </c>
      <c r="AW100" s="27">
        <v>0.87544169611307421</v>
      </c>
      <c r="AX100" s="27">
        <v>0.89149305555555558</v>
      </c>
      <c r="AY100" s="27">
        <v>0.88762071992976299</v>
      </c>
      <c r="AZ100" s="27">
        <v>0.89400521285838397</v>
      </c>
      <c r="BA100" s="27">
        <v>0.88055797733217089</v>
      </c>
      <c r="BB100" s="27">
        <v>0.88811626217884465</v>
      </c>
      <c r="BC100" s="27">
        <v>0.88511749347258484</v>
      </c>
      <c r="BD100" s="27">
        <v>0.90172413793103445</v>
      </c>
      <c r="BE100" s="27">
        <v>0.86853637160385622</v>
      </c>
      <c r="BF100" s="27">
        <v>0.88327526132404177</v>
      </c>
      <c r="BG100" s="27">
        <v>0.88726333907056798</v>
      </c>
      <c r="BH100" s="27">
        <v>0.90683760683760684</v>
      </c>
      <c r="BI100" s="27">
        <v>0.89672977624784855</v>
      </c>
      <c r="BJ100" s="27">
        <v>0.88992628378393424</v>
      </c>
      <c r="BK100" s="27">
        <v>0.89224137931034486</v>
      </c>
      <c r="BL100" s="27">
        <v>0.89619377162629754</v>
      </c>
      <c r="BM100" s="27">
        <v>0.86580086580086579</v>
      </c>
      <c r="BN100" s="27">
        <v>0.86839826839826839</v>
      </c>
      <c r="BO100" s="27">
        <v>0.90505226480836232</v>
      </c>
      <c r="BP100" s="27">
        <v>0.89509888220120382</v>
      </c>
      <c r="BQ100" s="27">
        <v>0.88225108225108229</v>
      </c>
      <c r="BR100" s="27">
        <v>0.88643378777091786</v>
      </c>
      <c r="BS100" s="27">
        <v>0.87586805555555558</v>
      </c>
      <c r="BT100" s="27">
        <v>0.8896551724137931</v>
      </c>
      <c r="BU100" s="27">
        <v>0.87564766839378239</v>
      </c>
      <c r="BV100" s="27">
        <v>0.91128337639965551</v>
      </c>
      <c r="BW100" s="27">
        <v>0.84797891036906858</v>
      </c>
      <c r="BX100" s="27">
        <v>0.87607573149741824</v>
      </c>
      <c r="BY100" s="27">
        <v>0.80888888888888888</v>
      </c>
      <c r="BZ100" s="27">
        <v>0.86934254335973749</v>
      </c>
      <c r="CA100" s="27">
        <v>0.91458153580672996</v>
      </c>
      <c r="CB100" s="27">
        <v>0.87080103359173122</v>
      </c>
      <c r="CC100" s="27">
        <v>0.90774586597040907</v>
      </c>
      <c r="CD100" s="27">
        <v>0.91759656652360511</v>
      </c>
      <c r="CE100" s="27">
        <v>0.92247386759581884</v>
      </c>
      <c r="CF100" s="27">
        <v>0.91565217391304343</v>
      </c>
      <c r="CG100" s="27">
        <v>0.89298245614035088</v>
      </c>
      <c r="CH100" s="27">
        <v>0.90597621422024133</v>
      </c>
      <c r="CI100" s="27">
        <v>0.92287467134092904</v>
      </c>
      <c r="CJ100" s="27">
        <v>0.92728828058169377</v>
      </c>
      <c r="CK100" s="27">
        <v>0.90837004405286348</v>
      </c>
      <c r="CL100" s="27">
        <v>0.92056487202118276</v>
      </c>
      <c r="CM100" s="27">
        <v>0.91463414634146345</v>
      </c>
      <c r="CN100" s="27">
        <v>0.92611683848797255</v>
      </c>
      <c r="CO100" s="27">
        <v>0.93085566119273988</v>
      </c>
      <c r="CP100" s="27">
        <v>0.92152921628840645</v>
      </c>
      <c r="CQ100" s="27">
        <v>0.92672028596961575</v>
      </c>
      <c r="CR100" s="27">
        <v>0.93013100436681218</v>
      </c>
      <c r="CS100" s="27">
        <v>0.90577777777777779</v>
      </c>
      <c r="CT100" s="27">
        <v>0.90299823633156961</v>
      </c>
      <c r="CU100" s="27">
        <v>0.92341941228851288</v>
      </c>
      <c r="CV100" s="27">
        <v>0.88199300699300698</v>
      </c>
      <c r="CW100" s="27">
        <v>0.91124780316344467</v>
      </c>
      <c r="CX100" s="27">
        <v>0.91175536098439136</v>
      </c>
    </row>
    <row r="101" spans="38:102" x14ac:dyDescent="0.35">
      <c r="AL101" s="16" t="s">
        <v>283</v>
      </c>
      <c r="AM101" s="27">
        <v>0.99076212471131642</v>
      </c>
      <c r="AN101" s="27">
        <v>0.910377358490566</v>
      </c>
      <c r="AO101" s="27">
        <v>0.99076212471131642</v>
      </c>
      <c r="AP101" s="27">
        <v>0.99076212471131642</v>
      </c>
      <c r="AQ101" s="27">
        <v>0.86713286713286708</v>
      </c>
      <c r="AR101" s="27">
        <v>0.85377358490566035</v>
      </c>
      <c r="AS101" s="27">
        <v>0.86651053864168615</v>
      </c>
      <c r="AT101" s="27">
        <v>0.92429724618638986</v>
      </c>
      <c r="AU101" s="27">
        <v>0.91764705882352937</v>
      </c>
      <c r="AV101" s="27">
        <v>0.99076212471131642</v>
      </c>
      <c r="AW101" s="27">
        <v>0.96420047732696901</v>
      </c>
      <c r="AX101" s="27">
        <v>0.87135922330097082</v>
      </c>
      <c r="AY101" s="27">
        <v>0.96028037383177567</v>
      </c>
      <c r="AZ101" s="27">
        <v>0.91646778042959431</v>
      </c>
      <c r="BA101" s="27">
        <v>0.94930875576036866</v>
      </c>
      <c r="BB101" s="27">
        <v>0.93857511345493194</v>
      </c>
      <c r="BC101" s="27">
        <v>0.99761904761904763</v>
      </c>
      <c r="BD101" s="27">
        <v>0.86440677966101698</v>
      </c>
      <c r="BE101" s="27">
        <v>0.99762470308788598</v>
      </c>
      <c r="BF101" s="27">
        <v>0.94951923076923073</v>
      </c>
      <c r="BG101" s="27">
        <v>0.88470588235294123</v>
      </c>
      <c r="BH101" s="27">
        <v>0.91062801932367154</v>
      </c>
      <c r="BI101" s="27">
        <v>0.88941176470588235</v>
      </c>
      <c r="BJ101" s="27">
        <v>0.92770220393138236</v>
      </c>
      <c r="BK101" s="27">
        <v>0.90647482014388492</v>
      </c>
      <c r="BL101" s="27">
        <v>0.97405660377358494</v>
      </c>
      <c r="BM101" s="27">
        <v>0.86602870813397126</v>
      </c>
      <c r="BN101" s="27">
        <v>0.96626506024096381</v>
      </c>
      <c r="BO101" s="27">
        <v>0.98329355608591884</v>
      </c>
      <c r="BP101" s="27">
        <v>0.97619047619047616</v>
      </c>
      <c r="BQ101" s="27">
        <v>0.97399527186761226</v>
      </c>
      <c r="BR101" s="27">
        <v>0.94947207091948749</v>
      </c>
      <c r="BS101" s="27">
        <v>0.80975609756097566</v>
      </c>
      <c r="BT101" s="27">
        <v>0.97560975609756095</v>
      </c>
      <c r="BU101" s="27">
        <v>0.84652278177458029</v>
      </c>
      <c r="BV101" s="27">
        <v>0.83886255924170616</v>
      </c>
      <c r="BW101" s="27">
        <v>0.77750611246943768</v>
      </c>
      <c r="BX101" s="27">
        <v>0.94146341463414629</v>
      </c>
      <c r="BY101" s="27">
        <v>0.94146341463414629</v>
      </c>
      <c r="BZ101" s="27">
        <v>0.87588344805893625</v>
      </c>
      <c r="CA101" s="27">
        <v>0.90951276102088163</v>
      </c>
      <c r="CB101" s="27">
        <v>0.82783018867924529</v>
      </c>
      <c r="CC101" s="27">
        <v>0.83023255813953489</v>
      </c>
      <c r="CD101" s="27">
        <v>0.82766439909297052</v>
      </c>
      <c r="CE101" s="27">
        <v>0.97635933806146569</v>
      </c>
      <c r="CF101" s="27">
        <v>0.97892271662763464</v>
      </c>
      <c r="CG101" s="27">
        <v>0.9838337182448037</v>
      </c>
      <c r="CH101" s="27">
        <v>0.90490795426664794</v>
      </c>
      <c r="CI101" s="27">
        <v>0.84931506849315064</v>
      </c>
      <c r="CJ101" s="27">
        <v>0.92307692307692313</v>
      </c>
      <c r="CK101" s="27">
        <v>0.84931506849315064</v>
      </c>
      <c r="CL101" s="27">
        <v>0.84941176470588231</v>
      </c>
      <c r="CM101" s="27">
        <v>0.97018348623853212</v>
      </c>
      <c r="CN101" s="27">
        <v>0.96990740740740744</v>
      </c>
      <c r="CO101" s="27">
        <v>0.97716894977168944</v>
      </c>
      <c r="CP101" s="27">
        <v>0.91262552402667652</v>
      </c>
      <c r="CQ101" s="27">
        <v>0.95327102803738317</v>
      </c>
      <c r="CR101" s="27">
        <v>0.95283018867924529</v>
      </c>
      <c r="CS101" s="27">
        <v>0.77304964539007093</v>
      </c>
      <c r="CT101" s="27">
        <v>0.77304964539007093</v>
      </c>
      <c r="CU101" s="27">
        <v>0.95283018867924529</v>
      </c>
      <c r="CV101" s="27">
        <v>0.97647058823529409</v>
      </c>
      <c r="CW101" s="27">
        <v>0.98104265402843605</v>
      </c>
      <c r="CX101" s="27">
        <v>0.908934848348535</v>
      </c>
    </row>
    <row r="102" spans="38:102" x14ac:dyDescent="0.35">
      <c r="AL102" s="16" t="s">
        <v>284</v>
      </c>
      <c r="AM102" s="27">
        <v>0.98197115384615385</v>
      </c>
      <c r="AN102" s="27">
        <v>0.98557692307692313</v>
      </c>
      <c r="AO102" s="27">
        <v>0.984375</v>
      </c>
      <c r="AP102" s="27">
        <v>0.98317307692307687</v>
      </c>
      <c r="AQ102" s="27">
        <v>0.97836538461538458</v>
      </c>
      <c r="AR102" s="27">
        <v>0.99279711884753896</v>
      </c>
      <c r="AS102" s="27">
        <v>0.98197115384615385</v>
      </c>
      <c r="AT102" s="27">
        <v>0.98403283016503296</v>
      </c>
      <c r="AU102" s="27">
        <v>0.98918269230769229</v>
      </c>
      <c r="AV102" s="27">
        <v>0.99279711884753896</v>
      </c>
      <c r="AW102" s="27">
        <v>0.95913461538461542</v>
      </c>
      <c r="AX102" s="27">
        <v>0.98677884615384615</v>
      </c>
      <c r="AY102" s="27">
        <v>0.99158653846153844</v>
      </c>
      <c r="AZ102" s="27">
        <v>0.98439375750300118</v>
      </c>
      <c r="BA102" s="27">
        <v>0.98559423769507803</v>
      </c>
      <c r="BB102" s="27">
        <v>0.98420968662190145</v>
      </c>
      <c r="BC102" s="27">
        <v>0.97956730769230771</v>
      </c>
      <c r="BD102" s="27">
        <v>0.96995192307692313</v>
      </c>
      <c r="BE102" s="27">
        <v>0.95192307692307687</v>
      </c>
      <c r="BF102" s="27">
        <v>0.95552884615384615</v>
      </c>
      <c r="BG102" s="27">
        <v>0.97956730769230771</v>
      </c>
      <c r="BH102" s="27">
        <v>0.96875</v>
      </c>
      <c r="BI102" s="27">
        <v>0.97716346153846156</v>
      </c>
      <c r="BJ102" s="27">
        <v>0.96892170329670324</v>
      </c>
      <c r="BK102" s="27">
        <v>0.96995192307692313</v>
      </c>
      <c r="BL102" s="27">
        <v>0.83774038461538458</v>
      </c>
      <c r="BM102" s="27">
        <v>0.90144230769230771</v>
      </c>
      <c r="BN102" s="27">
        <v>0.89903846153846156</v>
      </c>
      <c r="BO102" s="27">
        <v>0.95673076923076927</v>
      </c>
      <c r="BP102" s="27">
        <v>0.98557692307692313</v>
      </c>
      <c r="BQ102" s="27">
        <v>0.97355769230769229</v>
      </c>
      <c r="BR102" s="27">
        <v>0.93200549450549453</v>
      </c>
      <c r="BS102" s="27">
        <v>0.83533653846153844</v>
      </c>
      <c r="BT102" s="27">
        <v>0.91947115384615385</v>
      </c>
      <c r="BU102" s="27">
        <v>0.84615384615384615</v>
      </c>
      <c r="BV102" s="27">
        <v>0.81490384615384615</v>
      </c>
      <c r="BW102" s="27">
        <v>0.81850961538461542</v>
      </c>
      <c r="BX102" s="27">
        <v>0.89423076923076927</v>
      </c>
      <c r="BY102" s="27">
        <v>0.80168269230769229</v>
      </c>
      <c r="BZ102" s="27">
        <v>0.84718406593406581</v>
      </c>
      <c r="CA102" s="27">
        <v>0.90625</v>
      </c>
      <c r="CB102" s="27">
        <v>0.87620192307692313</v>
      </c>
      <c r="CC102" s="27">
        <v>0.88581730769230771</v>
      </c>
      <c r="CD102" s="27">
        <v>0.90745192307692313</v>
      </c>
      <c r="CE102" s="27">
        <v>0.89302884615384615</v>
      </c>
      <c r="CF102" s="27">
        <v>0.88822115384615385</v>
      </c>
      <c r="CG102" s="27">
        <v>0.88100961538461542</v>
      </c>
      <c r="CH102" s="27">
        <v>0.89114010989010983</v>
      </c>
      <c r="CI102" s="27">
        <v>0.95072115384615385</v>
      </c>
      <c r="CJ102" s="27">
        <v>0.91826923076923073</v>
      </c>
      <c r="CK102" s="27">
        <v>0.92548076923076927</v>
      </c>
      <c r="CL102" s="27">
        <v>0.93509615384615385</v>
      </c>
      <c r="CM102" s="27">
        <v>0.96274038461538458</v>
      </c>
      <c r="CN102" s="27">
        <v>0.94951923076923073</v>
      </c>
      <c r="CO102" s="27">
        <v>0.98197115384615385</v>
      </c>
      <c r="CP102" s="27">
        <v>0.94625686813186827</v>
      </c>
      <c r="CQ102" s="27">
        <v>0.96153846153846156</v>
      </c>
      <c r="CR102" s="27">
        <v>0.94951923076923073</v>
      </c>
      <c r="CS102" s="27">
        <v>0.91706730769230771</v>
      </c>
      <c r="CT102" s="27">
        <v>0.98076923076923073</v>
      </c>
      <c r="CU102" s="27">
        <v>0.94831730769230771</v>
      </c>
      <c r="CV102" s="27">
        <v>0.97596153846153844</v>
      </c>
      <c r="CW102" s="27">
        <v>0.97956730769230771</v>
      </c>
      <c r="CX102" s="27">
        <v>0.95896291208791207</v>
      </c>
    </row>
    <row r="103" spans="38:102" x14ac:dyDescent="0.35">
      <c r="AL103" s="16" t="s">
        <v>285</v>
      </c>
      <c r="AM103" s="27">
        <v>0.9503105590062112</v>
      </c>
      <c r="AN103" s="27">
        <v>0.95468750000000002</v>
      </c>
      <c r="AO103" s="27">
        <v>0.91925465838509313</v>
      </c>
      <c r="AP103" s="27">
        <v>0.90993788819875776</v>
      </c>
      <c r="AQ103" s="27">
        <v>0.95705521472392641</v>
      </c>
      <c r="AR103" s="27">
        <v>0.9642857142857143</v>
      </c>
      <c r="AS103" s="27">
        <v>0.96483180428134552</v>
      </c>
      <c r="AT103" s="27">
        <v>0.94576619126872108</v>
      </c>
      <c r="AU103" s="27">
        <v>0.9412673879443586</v>
      </c>
      <c r="AV103" s="27">
        <v>0.94200626959247646</v>
      </c>
      <c r="AW103" s="27">
        <v>0.92141756548536213</v>
      </c>
      <c r="AX103" s="27">
        <v>0.93353941267387941</v>
      </c>
      <c r="AY103" s="27">
        <v>0.97217928902627515</v>
      </c>
      <c r="AZ103" s="27">
        <v>0.94623655913978499</v>
      </c>
      <c r="BA103" s="27">
        <v>0.95363214837712518</v>
      </c>
      <c r="BB103" s="27">
        <v>0.9443255188913231</v>
      </c>
      <c r="BC103" s="27">
        <v>0.9330218068535826</v>
      </c>
      <c r="BD103" s="27">
        <v>0.9428129829984544</v>
      </c>
      <c r="BE103" s="27">
        <v>0.93478260869565222</v>
      </c>
      <c r="BF103" s="27">
        <v>0.93270735524256654</v>
      </c>
      <c r="BG103" s="27">
        <v>0.93692307692307697</v>
      </c>
      <c r="BH103" s="27">
        <v>0.95826893353941267</v>
      </c>
      <c r="BI103" s="27">
        <v>0.96445131375579596</v>
      </c>
      <c r="BJ103" s="27">
        <v>0.94328115400122026</v>
      </c>
      <c r="BK103" s="27">
        <v>0.95787831513260535</v>
      </c>
      <c r="BL103" s="27">
        <v>0.9280125195618153</v>
      </c>
      <c r="BM103" s="27">
        <v>0.95931142410015646</v>
      </c>
      <c r="BN103" s="27">
        <v>0.94679186228482004</v>
      </c>
      <c r="BO103" s="27">
        <v>0.94835680751173712</v>
      </c>
      <c r="BP103" s="27">
        <v>0.95950155763239875</v>
      </c>
      <c r="BQ103" s="27">
        <v>0.95054095826893359</v>
      </c>
      <c r="BR103" s="27">
        <v>0.95005620635606658</v>
      </c>
      <c r="BS103" s="27">
        <v>0.87636932707355242</v>
      </c>
      <c r="BT103" s="27">
        <v>0.93583724569640059</v>
      </c>
      <c r="BU103" s="27">
        <v>0.90766823161189358</v>
      </c>
      <c r="BV103" s="27">
        <v>0.92488262910798125</v>
      </c>
      <c r="BW103" s="27">
        <v>0.81533646322378717</v>
      </c>
      <c r="BX103" s="27">
        <v>0.89671361502347413</v>
      </c>
      <c r="BY103" s="27">
        <v>0.78560250391236308</v>
      </c>
      <c r="BZ103" s="27">
        <v>0.87748714509277881</v>
      </c>
      <c r="CA103" s="27">
        <v>0.95201238390092879</v>
      </c>
      <c r="CB103" s="27">
        <v>0.93896713615023475</v>
      </c>
      <c r="CC103" s="27">
        <v>0.95148669796557117</v>
      </c>
      <c r="CD103" s="27">
        <v>0.96261682242990654</v>
      </c>
      <c r="CE103" s="27">
        <v>0.92175273865414709</v>
      </c>
      <c r="CF103" s="27">
        <v>0.94053208137715183</v>
      </c>
      <c r="CG103" s="27">
        <v>0.91392801251956179</v>
      </c>
      <c r="CH103" s="27">
        <v>0.94018512471392868</v>
      </c>
      <c r="CI103" s="27">
        <v>0.9459041731066461</v>
      </c>
      <c r="CJ103" s="27">
        <v>0.95962732919254656</v>
      </c>
      <c r="CK103" s="27">
        <v>0.93044822256568782</v>
      </c>
      <c r="CL103" s="27">
        <v>0.94298921417565484</v>
      </c>
      <c r="CM103" s="27">
        <v>0.94435857805255019</v>
      </c>
      <c r="CN103" s="27">
        <v>0.95412844036697253</v>
      </c>
      <c r="CO103" s="27">
        <v>0.94307692307692303</v>
      </c>
      <c r="CP103" s="27">
        <v>0.94579041150528298</v>
      </c>
      <c r="CQ103" s="27">
        <v>0.91190108191653785</v>
      </c>
      <c r="CR103" s="27">
        <v>0.94938650306748462</v>
      </c>
      <c r="CS103" s="27">
        <v>0.89489953632148378</v>
      </c>
      <c r="CT103" s="27">
        <v>0.92117465224111283</v>
      </c>
      <c r="CU103" s="27">
        <v>0.93353941267387941</v>
      </c>
      <c r="CV103" s="27">
        <v>0.95363214837712518</v>
      </c>
      <c r="CW103" s="27">
        <v>0.94009216589861755</v>
      </c>
      <c r="CX103" s="27">
        <v>0.92923221435660586</v>
      </c>
    </row>
    <row r="104" spans="38:102" x14ac:dyDescent="0.35">
      <c r="AL104" s="16" t="s">
        <v>286</v>
      </c>
      <c r="AM104" s="27">
        <v>0.97671033478893743</v>
      </c>
      <c r="AN104" s="27">
        <v>0.98365527488855864</v>
      </c>
      <c r="AO104" s="27">
        <v>0.97341211225997049</v>
      </c>
      <c r="AP104" s="27">
        <v>0.96475770925110127</v>
      </c>
      <c r="AQ104" s="27">
        <v>0.9779411764705882</v>
      </c>
      <c r="AR104" s="27">
        <v>0.967741935483871</v>
      </c>
      <c r="AS104" s="27">
        <v>0.98243045387994143</v>
      </c>
      <c r="AT104" s="27">
        <v>0.97523557100328129</v>
      </c>
      <c r="AU104" s="27">
        <v>0.97608370702541103</v>
      </c>
      <c r="AV104" s="27">
        <v>0.9926578560939795</v>
      </c>
      <c r="AW104" s="27">
        <v>0.96951219512195119</v>
      </c>
      <c r="AX104" s="27">
        <v>0.96107784431137722</v>
      </c>
      <c r="AY104" s="27">
        <v>0.97045790251107833</v>
      </c>
      <c r="AZ104" s="27">
        <v>0.97826086956521741</v>
      </c>
      <c r="BA104" s="27">
        <v>0.97950219619326506</v>
      </c>
      <c r="BB104" s="27">
        <v>0.9753646529746115</v>
      </c>
      <c r="BC104" s="27">
        <v>0.9641791044776119</v>
      </c>
      <c r="BD104" s="27">
        <v>0.992503748125937</v>
      </c>
      <c r="BE104" s="27">
        <v>0.9604261796042618</v>
      </c>
      <c r="BF104" s="27">
        <v>0.97435897435897434</v>
      </c>
      <c r="BG104" s="27">
        <v>0.9779411764705882</v>
      </c>
      <c r="BH104" s="27">
        <v>0.98227474150664695</v>
      </c>
      <c r="BI104" s="27">
        <v>0.98680351906158359</v>
      </c>
      <c r="BJ104" s="27">
        <v>0.97692677765794345</v>
      </c>
      <c r="BK104" s="27">
        <v>0.96735905044510384</v>
      </c>
      <c r="BL104" s="27">
        <v>0.9835820895522388</v>
      </c>
      <c r="BM104" s="27">
        <v>0.96808510638297873</v>
      </c>
      <c r="BN104" s="27">
        <v>0.97993827160493829</v>
      </c>
      <c r="BO104" s="27">
        <v>0.9760479041916168</v>
      </c>
      <c r="BP104" s="27">
        <v>0.97888386123680238</v>
      </c>
      <c r="BQ104" s="27">
        <v>0.98498498498498499</v>
      </c>
      <c r="BR104" s="27">
        <v>0.97698303834266631</v>
      </c>
      <c r="BS104" s="27">
        <v>0.98136645962732916</v>
      </c>
      <c r="BT104" s="27">
        <v>0.97987616099071206</v>
      </c>
      <c r="BU104" s="27">
        <v>0.96472392638036808</v>
      </c>
      <c r="BV104" s="27">
        <v>0.97121212121212119</v>
      </c>
      <c r="BW104" s="27">
        <v>0.93600000000000005</v>
      </c>
      <c r="BX104" s="27">
        <v>0.97213622291021673</v>
      </c>
      <c r="BY104" s="27">
        <v>0.89936102236421722</v>
      </c>
      <c r="BZ104" s="27">
        <v>0.95781084478356626</v>
      </c>
      <c r="CA104" s="27">
        <v>0.99263622974963184</v>
      </c>
      <c r="CB104" s="27">
        <v>0.98126801152737753</v>
      </c>
      <c r="CC104" s="27">
        <v>0.98809523809523814</v>
      </c>
      <c r="CD104" s="27">
        <v>0.96711509715994026</v>
      </c>
      <c r="CE104" s="27">
        <v>0.97045790251107833</v>
      </c>
      <c r="CF104" s="27">
        <v>0.98826979472140764</v>
      </c>
      <c r="CG104" s="27">
        <v>0.98511904761904767</v>
      </c>
      <c r="CH104" s="27">
        <v>0.98185161734053161</v>
      </c>
      <c r="CI104" s="27">
        <v>0.96439169139465875</v>
      </c>
      <c r="CJ104" s="27">
        <v>0.97477744807121658</v>
      </c>
      <c r="CK104" s="27">
        <v>0.95958083832335328</v>
      </c>
      <c r="CL104" s="27">
        <v>0.98036253776435045</v>
      </c>
      <c r="CM104" s="27">
        <v>0.98391812865497075</v>
      </c>
      <c r="CN104" s="27">
        <v>0.9727011494252874</v>
      </c>
      <c r="CO104" s="27">
        <v>0.97525473071324598</v>
      </c>
      <c r="CP104" s="27">
        <v>0.9729980749067263</v>
      </c>
      <c r="CQ104" s="27">
        <v>0.97643593519882177</v>
      </c>
      <c r="CR104" s="27">
        <v>0.97891566265060237</v>
      </c>
      <c r="CS104" s="27">
        <v>0.9748148148148148</v>
      </c>
      <c r="CT104" s="27">
        <v>0.98227474150664695</v>
      </c>
      <c r="CU104" s="27">
        <v>0.97941176470588232</v>
      </c>
      <c r="CV104" s="27">
        <v>0.98219584569732943</v>
      </c>
      <c r="CW104" s="27">
        <v>0.97615499254843519</v>
      </c>
      <c r="CX104" s="27">
        <v>0.97860053673179048</v>
      </c>
    </row>
    <row r="105" spans="38:102" x14ac:dyDescent="0.35">
      <c r="AL105" s="16" t="s">
        <v>287</v>
      </c>
      <c r="AM105" s="27">
        <v>0.97085201793721976</v>
      </c>
      <c r="AN105" s="27">
        <v>0.9620535714285714</v>
      </c>
      <c r="AO105" s="27">
        <v>0.94843049327354256</v>
      </c>
      <c r="AP105" s="27">
        <v>0.96188340807174888</v>
      </c>
      <c r="AQ105" s="27">
        <v>0.95991091314031185</v>
      </c>
      <c r="AR105" s="27">
        <v>0.9622222222222222</v>
      </c>
      <c r="AS105" s="27">
        <v>0.9443207126948775</v>
      </c>
      <c r="AT105" s="27">
        <v>0.95852476268121356</v>
      </c>
      <c r="AU105" s="27">
        <v>0.94505494505494503</v>
      </c>
      <c r="AV105" s="27">
        <v>0.97315436241610742</v>
      </c>
      <c r="AW105" s="27">
        <v>0.95121951219512191</v>
      </c>
      <c r="AX105" s="27">
        <v>0.95805739514348787</v>
      </c>
      <c r="AY105" s="27">
        <v>0.94505494505494503</v>
      </c>
      <c r="AZ105" s="27">
        <v>0.94209354120267264</v>
      </c>
      <c r="BA105" s="27">
        <v>0.93584070796460173</v>
      </c>
      <c r="BB105" s="27">
        <v>0.95006791557598314</v>
      </c>
      <c r="BC105" s="27">
        <v>0.95594713656387664</v>
      </c>
      <c r="BD105" s="27">
        <v>0.95805739514348787</v>
      </c>
      <c r="BE105" s="27">
        <v>0.93377483443708609</v>
      </c>
      <c r="BF105" s="27">
        <v>0.9518599562363238</v>
      </c>
      <c r="BG105" s="27">
        <v>0.94039735099337751</v>
      </c>
      <c r="BH105" s="27">
        <v>0.93392070484581502</v>
      </c>
      <c r="BI105" s="27">
        <v>0.93406593406593408</v>
      </c>
      <c r="BJ105" s="27">
        <v>0.94400333032655737</v>
      </c>
      <c r="BK105" s="27">
        <v>0.9366812227074236</v>
      </c>
      <c r="BL105" s="27">
        <v>0.95614035087719296</v>
      </c>
      <c r="BM105" s="27">
        <v>0.90909090909090906</v>
      </c>
      <c r="BN105" s="27">
        <v>0.9336283185840708</v>
      </c>
      <c r="BO105" s="27">
        <v>0.94039735099337751</v>
      </c>
      <c r="BP105" s="27">
        <v>0.96043956043956047</v>
      </c>
      <c r="BQ105" s="27">
        <v>0.94247787610619471</v>
      </c>
      <c r="BR105" s="27">
        <v>0.9398365126855327</v>
      </c>
      <c r="BS105" s="27">
        <v>0.92699115044247793</v>
      </c>
      <c r="BT105" s="27">
        <v>0.94469026548672563</v>
      </c>
      <c r="BU105" s="27">
        <v>0.92904656319290468</v>
      </c>
      <c r="BV105" s="27">
        <v>0.90507726269315669</v>
      </c>
      <c r="BW105" s="27">
        <v>0.91150442477876104</v>
      </c>
      <c r="BX105" s="27">
        <v>0.92239467849223944</v>
      </c>
      <c r="BY105" s="27">
        <v>0.86725663716814161</v>
      </c>
      <c r="BZ105" s="27">
        <v>0.91528014032205807</v>
      </c>
      <c r="CA105" s="27">
        <v>0.92810457516339873</v>
      </c>
      <c r="CB105" s="27">
        <v>0.94481236203090513</v>
      </c>
      <c r="CC105" s="27">
        <v>0.91447368421052633</v>
      </c>
      <c r="CD105" s="27">
        <v>0.91903719912472648</v>
      </c>
      <c r="CE105" s="27">
        <v>0.94911504424778759</v>
      </c>
      <c r="CF105" s="27">
        <v>0.9493392070484582</v>
      </c>
      <c r="CG105" s="27">
        <v>0.90687361419068735</v>
      </c>
      <c r="CH105" s="27">
        <v>0.93025081228806994</v>
      </c>
      <c r="CI105" s="27">
        <v>0.91774891774891776</v>
      </c>
      <c r="CJ105" s="27">
        <v>0.9366812227074236</v>
      </c>
      <c r="CK105" s="27">
        <v>0.9102844638949672</v>
      </c>
      <c r="CL105" s="27">
        <v>0.92794759825327511</v>
      </c>
      <c r="CM105" s="27">
        <v>0.92207792207792205</v>
      </c>
      <c r="CN105" s="27">
        <v>0.93492407809110634</v>
      </c>
      <c r="CO105" s="27">
        <v>0.92258064516129035</v>
      </c>
      <c r="CP105" s="27">
        <v>0.92460640684784334</v>
      </c>
      <c r="CQ105" s="27">
        <v>0.91466083150984678</v>
      </c>
      <c r="CR105" s="27">
        <v>0.91721132897603486</v>
      </c>
      <c r="CS105" s="27">
        <v>0.93201754385964908</v>
      </c>
      <c r="CT105" s="27">
        <v>0.93859649122807021</v>
      </c>
      <c r="CU105" s="27">
        <v>0.91503267973856206</v>
      </c>
      <c r="CV105" s="27">
        <v>0.91086956521739126</v>
      </c>
      <c r="CW105" s="27">
        <v>0.92156862745098034</v>
      </c>
      <c r="CX105" s="27">
        <v>0.92142243828293346</v>
      </c>
    </row>
    <row r="106" spans="38:102" x14ac:dyDescent="0.35">
      <c r="AL106" s="16" t="s">
        <v>288</v>
      </c>
      <c r="AM106" s="27">
        <v>0.9662921348314607</v>
      </c>
      <c r="AN106" s="27">
        <v>0.81182795698924726</v>
      </c>
      <c r="AO106" s="27">
        <v>0.9662921348314607</v>
      </c>
      <c r="AP106" s="27">
        <v>0.88586956521739135</v>
      </c>
      <c r="AQ106" s="27">
        <v>0.97752808988764039</v>
      </c>
      <c r="AR106" s="27">
        <v>0.9213483146067416</v>
      </c>
      <c r="AS106" s="27">
        <v>0.9606741573033708</v>
      </c>
      <c r="AT106" s="27">
        <v>0.92711890766675897</v>
      </c>
      <c r="AU106" s="27">
        <v>0.96648044692737434</v>
      </c>
      <c r="AV106" s="27">
        <v>0.88172043010752688</v>
      </c>
      <c r="AW106" s="27">
        <v>0.96648044692737434</v>
      </c>
      <c r="AX106" s="27">
        <v>0.96648044692737434</v>
      </c>
      <c r="AY106" s="27">
        <v>0.9662921348314607</v>
      </c>
      <c r="AZ106" s="27">
        <v>0.9719101123595506</v>
      </c>
      <c r="BA106" s="27">
        <v>0.9550561797752809</v>
      </c>
      <c r="BB106" s="27">
        <v>0.95348859969370581</v>
      </c>
      <c r="BC106" s="27">
        <v>0.97752808988764039</v>
      </c>
      <c r="BD106" s="27">
        <v>0.86021505376344087</v>
      </c>
      <c r="BE106" s="27">
        <v>0.97752808988764039</v>
      </c>
      <c r="BF106" s="27">
        <v>0.89130434782608692</v>
      </c>
      <c r="BG106" s="27">
        <v>0.93220338983050843</v>
      </c>
      <c r="BH106" s="27">
        <v>0.96648044692737434</v>
      </c>
      <c r="BI106" s="27">
        <v>0.91061452513966479</v>
      </c>
      <c r="BJ106" s="27">
        <v>0.93083913475176505</v>
      </c>
      <c r="BK106" s="27">
        <v>0.9438202247191011</v>
      </c>
      <c r="BL106" s="27">
        <v>0.93548387096774188</v>
      </c>
      <c r="BM106" s="27">
        <v>0.9438202247191011</v>
      </c>
      <c r="BN106" s="27">
        <v>0.79347826086956519</v>
      </c>
      <c r="BO106" s="27">
        <v>0.9550561797752809</v>
      </c>
      <c r="BP106" s="27">
        <v>1</v>
      </c>
      <c r="BQ106" s="27">
        <v>0.9550561797752809</v>
      </c>
      <c r="BR106" s="27">
        <v>0.93238784868943869</v>
      </c>
      <c r="BS106" s="27">
        <v>0.6179775280898876</v>
      </c>
      <c r="BT106" s="27">
        <v>0.74731182795698925</v>
      </c>
      <c r="BU106" s="27">
        <v>0.6179775280898876</v>
      </c>
      <c r="BV106" s="27">
        <v>0.75159235668789814</v>
      </c>
      <c r="BW106" s="27">
        <v>0.7865168539325843</v>
      </c>
      <c r="BX106" s="27">
        <v>0.7865168539325843</v>
      </c>
      <c r="BY106" s="27">
        <v>0.7865168539325843</v>
      </c>
      <c r="BZ106" s="27">
        <v>0.72777282894605944</v>
      </c>
      <c r="CA106" s="27">
        <v>0.86111111111111116</v>
      </c>
      <c r="CB106" s="27">
        <v>0.7584269662921348</v>
      </c>
      <c r="CC106" s="27"/>
      <c r="CD106" s="27">
        <v>0.8539325842696629</v>
      </c>
      <c r="CE106" s="27">
        <v>0.86111111111111116</v>
      </c>
      <c r="CF106" s="27">
        <v>0.7808988764044944</v>
      </c>
      <c r="CG106" s="27">
        <v>0.7808988764044944</v>
      </c>
      <c r="CH106" s="27">
        <v>0.81606325426550164</v>
      </c>
      <c r="CI106" s="27">
        <v>0.9606741573033708</v>
      </c>
      <c r="CJ106" s="27">
        <v>0.848314606741573</v>
      </c>
      <c r="CK106" s="27">
        <v>0.9606741573033708</v>
      </c>
      <c r="CL106" s="27">
        <v>0.898876404494382</v>
      </c>
      <c r="CM106" s="27">
        <v>0.9044943820224719</v>
      </c>
      <c r="CN106" s="27">
        <v>0.8539325842696629</v>
      </c>
      <c r="CO106" s="27">
        <v>0.8370786516853933</v>
      </c>
      <c r="CP106" s="27">
        <v>0.89486356340288942</v>
      </c>
      <c r="CQ106" s="27">
        <v>0.9438202247191011</v>
      </c>
      <c r="CR106" s="27">
        <v>0.9044943820224719</v>
      </c>
      <c r="CS106" s="27">
        <v>0.9438202247191011</v>
      </c>
      <c r="CT106" s="27">
        <v>0.8370786516853933</v>
      </c>
      <c r="CU106" s="27">
        <v>0.97752808988764039</v>
      </c>
      <c r="CV106" s="27">
        <v>0.9887640449438202</v>
      </c>
      <c r="CW106" s="27">
        <v>0.9887640449438202</v>
      </c>
      <c r="CX106" s="27">
        <v>0.9406099518459069</v>
      </c>
    </row>
    <row r="107" spans="38:102" x14ac:dyDescent="0.35">
      <c r="AL107" s="16" t="s">
        <v>289</v>
      </c>
      <c r="AM107" s="27">
        <v>0.94059405940594054</v>
      </c>
      <c r="AN107" s="27">
        <v>0.80198019801980203</v>
      </c>
      <c r="AO107" s="27">
        <v>0.87128712871287128</v>
      </c>
      <c r="AP107" s="27">
        <v>0.80198019801980203</v>
      </c>
      <c r="AQ107" s="27">
        <v>0.98019801980198018</v>
      </c>
      <c r="AR107" s="27">
        <v>0.91089108910891092</v>
      </c>
      <c r="AS107" s="27">
        <v>0.96039603960396036</v>
      </c>
      <c r="AT107" s="27">
        <v>0.89533239038189538</v>
      </c>
      <c r="AU107" s="27">
        <v>0.96039603960396036</v>
      </c>
      <c r="AV107" s="27">
        <v>0.78217821782178221</v>
      </c>
      <c r="AW107" s="27">
        <v>0.93069306930693074</v>
      </c>
      <c r="AX107" s="27">
        <v>0.94059405940594054</v>
      </c>
      <c r="AY107" s="27">
        <v>1</v>
      </c>
      <c r="AZ107" s="27">
        <v>0.88118811881188119</v>
      </c>
      <c r="BA107" s="27">
        <v>0.93069306930693074</v>
      </c>
      <c r="BB107" s="27">
        <v>0.91796322489391802</v>
      </c>
      <c r="BC107" s="27">
        <v>0.93069306930693074</v>
      </c>
      <c r="BD107" s="27">
        <v>0.84158415841584155</v>
      </c>
      <c r="BE107" s="27">
        <v>0.96039603960396036</v>
      </c>
      <c r="BF107" s="27">
        <v>0.90099009900990101</v>
      </c>
      <c r="BG107" s="27">
        <v>0.87128712871287128</v>
      </c>
      <c r="BH107" s="27">
        <v>0.86138613861386137</v>
      </c>
      <c r="BI107" s="27">
        <v>0.88118811881188119</v>
      </c>
      <c r="BJ107" s="27">
        <v>0.89250353606789257</v>
      </c>
      <c r="BK107" s="27">
        <v>0.95049504950495045</v>
      </c>
      <c r="BL107" s="27">
        <v>0.90099009900990101</v>
      </c>
      <c r="BM107" s="27">
        <v>0.90099009900990101</v>
      </c>
      <c r="BN107" s="27">
        <v>0.84158415841584155</v>
      </c>
      <c r="BO107" s="27">
        <v>0.92079207920792083</v>
      </c>
      <c r="BP107" s="27">
        <v>0.95049504950495045</v>
      </c>
      <c r="BQ107" s="27">
        <v>0.95049504950495045</v>
      </c>
      <c r="BR107" s="27">
        <v>0.91654879773691644</v>
      </c>
      <c r="BS107" s="27">
        <v>0.61386138613861385</v>
      </c>
      <c r="BT107" s="27">
        <v>0.81188118811881194</v>
      </c>
      <c r="BU107" s="27">
        <v>0.74257425742574257</v>
      </c>
      <c r="BV107" s="27">
        <v>0.73267326732673266</v>
      </c>
      <c r="BW107" s="27">
        <v>0.64356435643564358</v>
      </c>
      <c r="BX107" s="27">
        <v>0.75247524752475248</v>
      </c>
      <c r="BY107" s="27">
        <v>0.65346534653465349</v>
      </c>
      <c r="BZ107" s="27">
        <v>0.70721357850070721</v>
      </c>
      <c r="CA107" s="27">
        <v>0.72277227722772275</v>
      </c>
      <c r="CB107" s="27">
        <v>0.72277227722772275</v>
      </c>
      <c r="CC107" s="27">
        <v>0.80198019801980203</v>
      </c>
      <c r="CD107" s="27">
        <v>0.80198019801980203</v>
      </c>
      <c r="CE107" s="27">
        <v>0.71287128712871284</v>
      </c>
      <c r="CF107" s="27">
        <v>0.73267326732673266</v>
      </c>
      <c r="CG107" s="27">
        <v>0.74257425742574257</v>
      </c>
      <c r="CH107" s="27">
        <v>0.74823196605374809</v>
      </c>
      <c r="CI107" s="27">
        <v>0.96039603960396036</v>
      </c>
      <c r="CJ107" s="27">
        <v>0.79207920792079212</v>
      </c>
      <c r="CK107" s="27">
        <v>0.98019801980198018</v>
      </c>
      <c r="CL107" s="27">
        <v>0.95049504950495045</v>
      </c>
      <c r="CM107" s="27">
        <v>0.97029702970297027</v>
      </c>
      <c r="CN107" s="27">
        <v>0.93069306930693074</v>
      </c>
      <c r="CO107" s="27">
        <v>0.94059405940594054</v>
      </c>
      <c r="CP107" s="27">
        <v>0.93210749646393221</v>
      </c>
      <c r="CQ107" s="27">
        <v>0.99009900990099009</v>
      </c>
      <c r="CR107" s="27">
        <v>0.95049504950495045</v>
      </c>
      <c r="CS107" s="27">
        <v>0.96039603960396036</v>
      </c>
      <c r="CT107" s="27">
        <v>0.91089108910891092</v>
      </c>
      <c r="CU107" s="27">
        <v>1</v>
      </c>
      <c r="CV107" s="27">
        <v>0.97029702970297027</v>
      </c>
      <c r="CW107" s="27">
        <v>0.99009900990099009</v>
      </c>
      <c r="CX107" s="27">
        <v>0.96746817538896746</v>
      </c>
    </row>
    <row r="108" spans="38:102" x14ac:dyDescent="0.35">
      <c r="AL108" s="16" t="s">
        <v>290</v>
      </c>
      <c r="AM108" s="27">
        <v>0.94618834080717484</v>
      </c>
      <c r="AN108" s="27">
        <v>0.9640179910044977</v>
      </c>
      <c r="AO108" s="27">
        <v>0.9464285714285714</v>
      </c>
      <c r="AP108" s="27" t="e">
        <v>#NUM!</v>
      </c>
      <c r="AQ108" s="27">
        <v>0.96740740740740738</v>
      </c>
      <c r="AR108" s="27">
        <v>0.97608370702541103</v>
      </c>
      <c r="AS108" s="27">
        <v>0.96661367249602548</v>
      </c>
      <c r="AT108" s="27" t="e">
        <v>#NUM!</v>
      </c>
      <c r="AU108" s="27">
        <v>0.98235294117647054</v>
      </c>
      <c r="AV108" s="27">
        <v>0.96592592592592597</v>
      </c>
      <c r="AW108" s="27">
        <v>0.95139911634756991</v>
      </c>
      <c r="AX108" s="27">
        <v>0.96454948301329391</v>
      </c>
      <c r="AY108" s="27">
        <v>0.9882352941176471</v>
      </c>
      <c r="AZ108" s="27">
        <v>0.96017699115044253</v>
      </c>
      <c r="BA108" s="27">
        <v>0.96312684365781709</v>
      </c>
      <c r="BB108" s="27">
        <v>0.9679666564841668</v>
      </c>
      <c r="BC108" s="27">
        <v>0.9687964338781575</v>
      </c>
      <c r="BD108" s="27">
        <v>0.96153846153846156</v>
      </c>
      <c r="BE108" s="27">
        <v>0.88971684053651268</v>
      </c>
      <c r="BF108" s="27">
        <v>0.94682422451994097</v>
      </c>
      <c r="BG108" s="27">
        <v>0.97473997028231796</v>
      </c>
      <c r="BH108" s="27">
        <v>0.97218155197657397</v>
      </c>
      <c r="BI108" s="27">
        <v>0.9314456035767511</v>
      </c>
      <c r="BJ108" s="27">
        <v>0.94932044090124512</v>
      </c>
      <c r="BK108" s="27">
        <v>0.9526627218934911</v>
      </c>
      <c r="BL108" s="27">
        <v>0.9642857142857143</v>
      </c>
      <c r="BM108" s="27">
        <v>0.95238095238095233</v>
      </c>
      <c r="BN108" s="27">
        <v>0.93195266272189348</v>
      </c>
      <c r="BO108" s="27">
        <v>0.96159527326440175</v>
      </c>
      <c r="BP108" s="27">
        <v>0.95783132530120485</v>
      </c>
      <c r="BQ108" s="27">
        <v>0.9599406528189911</v>
      </c>
      <c r="BR108" s="27">
        <v>0.95437847180952129</v>
      </c>
      <c r="BS108" s="27">
        <v>0.91389728096676737</v>
      </c>
      <c r="BT108" s="27">
        <v>0.92719167904903421</v>
      </c>
      <c r="BU108" s="27">
        <v>0.9244444444444444</v>
      </c>
      <c r="BV108" s="27">
        <v>0.94065281899109787</v>
      </c>
      <c r="BW108" s="27">
        <v>0.87289433384379789</v>
      </c>
      <c r="BX108" s="27">
        <v>0.90341753343239228</v>
      </c>
      <c r="BY108" s="27">
        <v>0.85560675883256532</v>
      </c>
      <c r="BZ108" s="27">
        <v>0.90544354993715714</v>
      </c>
      <c r="CA108" s="27">
        <v>0.95210449927431062</v>
      </c>
      <c r="CB108" s="27">
        <v>0.95096582466567603</v>
      </c>
      <c r="CC108" s="27">
        <v>0.95494186046511631</v>
      </c>
      <c r="CD108" s="27">
        <v>0.89259796806966618</v>
      </c>
      <c r="CE108" s="27">
        <v>0.95588235294117652</v>
      </c>
      <c r="CF108" s="27">
        <v>0.9496296296296296</v>
      </c>
      <c r="CG108" s="27">
        <v>0.93164933135215455</v>
      </c>
      <c r="CH108" s="27">
        <v>0.94111020948538993</v>
      </c>
      <c r="CI108" s="27">
        <v>0.98554913294797686</v>
      </c>
      <c r="CJ108" s="27">
        <v>0.96220930232558144</v>
      </c>
      <c r="CK108" s="27">
        <v>0.97757847533632292</v>
      </c>
      <c r="CL108" s="27">
        <v>0.91058122205663194</v>
      </c>
      <c r="CM108" s="27">
        <v>0.98550724637681164</v>
      </c>
      <c r="CN108" s="27">
        <v>0.98527245949926368</v>
      </c>
      <c r="CO108" s="27">
        <v>0.98575498575498577</v>
      </c>
      <c r="CP108" s="27">
        <v>0.97035040347108203</v>
      </c>
      <c r="CQ108" s="27">
        <v>0.97413793103448276</v>
      </c>
      <c r="CR108" s="27">
        <v>0.96058394160583938</v>
      </c>
      <c r="CS108" s="27">
        <v>0.95230524642289349</v>
      </c>
      <c r="CT108" s="27">
        <v>0.93913043478260871</v>
      </c>
      <c r="CU108" s="27">
        <v>0.97383720930232553</v>
      </c>
      <c r="CV108" s="27">
        <v>0.96612665684830634</v>
      </c>
      <c r="CW108" s="27">
        <v>0.97097242380261251</v>
      </c>
      <c r="CX108" s="27">
        <v>0.96244197768558126</v>
      </c>
    </row>
    <row r="109" spans="38:102" x14ac:dyDescent="0.35">
      <c r="AL109" s="16" t="s">
        <v>291</v>
      </c>
      <c r="AM109" s="27">
        <v>0.97527472527472525</v>
      </c>
      <c r="AN109" s="27">
        <v>0.96978021978021978</v>
      </c>
      <c r="AO109" s="27">
        <v>0.9671232876712329</v>
      </c>
      <c r="AP109" s="27">
        <v>0.97066666666666668</v>
      </c>
      <c r="AQ109" s="27">
        <v>0.97252747252747251</v>
      </c>
      <c r="AR109" s="27">
        <v>0.9780821917808219</v>
      </c>
      <c r="AS109" s="27">
        <v>0.96703296703296704</v>
      </c>
      <c r="AT109" s="27">
        <v>0.97149821867630071</v>
      </c>
      <c r="AU109" s="27">
        <v>0.96373056994818651</v>
      </c>
      <c r="AV109" s="27">
        <v>0.97340425531914898</v>
      </c>
      <c r="AW109" s="27">
        <v>0.94270833333333337</v>
      </c>
      <c r="AX109" s="27">
        <v>0.94225721784776906</v>
      </c>
      <c r="AY109" s="27">
        <v>0.95607235142118863</v>
      </c>
      <c r="AZ109" s="27">
        <v>0.9609375</v>
      </c>
      <c r="BA109" s="27">
        <v>0.95854922279792742</v>
      </c>
      <c r="BB109" s="27">
        <v>0.95680849295250769</v>
      </c>
      <c r="BC109" s="27">
        <v>0.94255874673629247</v>
      </c>
      <c r="BD109" s="27">
        <v>0.94559585492227982</v>
      </c>
      <c r="BE109" s="27">
        <v>0.91927083333333337</v>
      </c>
      <c r="BF109" s="27">
        <v>0.94906166219839139</v>
      </c>
      <c r="BG109" s="27">
        <v>0.94559585492227982</v>
      </c>
      <c r="BH109" s="27">
        <v>0.95077720207253891</v>
      </c>
      <c r="BI109" s="27">
        <v>0.95324675324675323</v>
      </c>
      <c r="BJ109" s="27">
        <v>0.94372955820455273</v>
      </c>
      <c r="BK109" s="27">
        <v>0.93121693121693117</v>
      </c>
      <c r="BL109" s="27">
        <v>0.96605744125326376</v>
      </c>
      <c r="BM109" s="27">
        <v>0.94722955145118737</v>
      </c>
      <c r="BN109" s="27">
        <v>0.95595854922279788</v>
      </c>
      <c r="BO109" s="27">
        <v>0.94805194805194803</v>
      </c>
      <c r="BP109" s="27">
        <v>0.9689119170984456</v>
      </c>
      <c r="BQ109" s="27">
        <v>0.9689119170984456</v>
      </c>
      <c r="BR109" s="27">
        <v>0.95519117934185993</v>
      </c>
      <c r="BS109" s="27">
        <v>0.90414507772020725</v>
      </c>
      <c r="BT109" s="27">
        <v>0.93229166666666663</v>
      </c>
      <c r="BU109" s="27">
        <v>0.920844327176781</v>
      </c>
      <c r="BV109" s="27">
        <v>0.93717277486910999</v>
      </c>
      <c r="BW109" s="27">
        <v>0.9064171122994652</v>
      </c>
      <c r="BX109" s="27">
        <v>0.94818652849740936</v>
      </c>
      <c r="BY109" s="27">
        <v>0.93495934959349591</v>
      </c>
      <c r="BZ109" s="27">
        <v>0.92628811954616208</v>
      </c>
      <c r="CA109" s="27">
        <v>0.96938775510204078</v>
      </c>
      <c r="CB109" s="27">
        <v>0.94818652849740936</v>
      </c>
      <c r="CC109" s="27">
        <v>0.97680412371134018</v>
      </c>
      <c r="CD109" s="27">
        <v>0.97222222222222221</v>
      </c>
      <c r="CE109" s="27">
        <v>0.95115681233933158</v>
      </c>
      <c r="CF109" s="27">
        <v>0.94601542416452444</v>
      </c>
      <c r="CG109" s="27">
        <v>0.95372750642673521</v>
      </c>
      <c r="CH109" s="27">
        <v>0.95964291035194338</v>
      </c>
      <c r="CI109" s="27">
        <v>0.97455470737913485</v>
      </c>
      <c r="CJ109" s="27">
        <v>0.97994987468671679</v>
      </c>
      <c r="CK109" s="27">
        <v>0.97698209718670082</v>
      </c>
      <c r="CL109" s="27">
        <v>0.95153061224489799</v>
      </c>
      <c r="CM109" s="27">
        <v>0.97487437185929648</v>
      </c>
      <c r="CN109" s="27">
        <v>0.96741854636591473</v>
      </c>
      <c r="CO109" s="27">
        <v>0.96766169154228854</v>
      </c>
      <c r="CP109" s="27">
        <v>0.97042455732356436</v>
      </c>
      <c r="CQ109" s="27">
        <v>0.953125</v>
      </c>
      <c r="CR109" s="27">
        <v>0.96212121212121215</v>
      </c>
      <c r="CS109" s="27">
        <v>0.88321167883211682</v>
      </c>
      <c r="CT109" s="27">
        <v>0.89805825242718451</v>
      </c>
      <c r="CU109" s="27">
        <v>0.97698209718670082</v>
      </c>
      <c r="CV109" s="27">
        <v>0.89834515366430256</v>
      </c>
      <c r="CW109" s="27">
        <v>0.9193154034229829</v>
      </c>
      <c r="CX109" s="27">
        <v>0.92730839966492862</v>
      </c>
    </row>
    <row r="110" spans="38:102" x14ac:dyDescent="0.35">
      <c r="AL110" s="16" t="s">
        <v>292</v>
      </c>
      <c r="AM110" s="27">
        <v>0.96286107290233836</v>
      </c>
      <c r="AN110" s="27">
        <v>0.94923504867872044</v>
      </c>
      <c r="AO110" s="27">
        <v>0.94389901823281908</v>
      </c>
      <c r="AP110" s="27">
        <v>0.93389592123769338</v>
      </c>
      <c r="AQ110" s="27">
        <v>0.96443228454172369</v>
      </c>
      <c r="AR110" s="27">
        <v>0.97402597402597402</v>
      </c>
      <c r="AS110" s="27">
        <v>0.96632302405498283</v>
      </c>
      <c r="AT110" s="27">
        <v>0.95638176338203607</v>
      </c>
      <c r="AU110" s="27">
        <v>0.95195607412491423</v>
      </c>
      <c r="AV110" s="27">
        <v>0.93831391363947914</v>
      </c>
      <c r="AW110" s="27">
        <v>0.93550673281360741</v>
      </c>
      <c r="AX110" s="27">
        <v>0.91601423487544487</v>
      </c>
      <c r="AY110" s="27">
        <v>0.96504455106237153</v>
      </c>
      <c r="AZ110" s="27">
        <v>0.95095367847411449</v>
      </c>
      <c r="BA110" s="27">
        <v>0.96629986244841815</v>
      </c>
      <c r="BB110" s="27">
        <v>0.94629843534833569</v>
      </c>
      <c r="BC110" s="27">
        <v>0.92066805845511479</v>
      </c>
      <c r="BD110" s="27">
        <v>0.90670352453351766</v>
      </c>
      <c r="BE110" s="27">
        <v>0.89229671897289586</v>
      </c>
      <c r="BF110" s="27">
        <v>0.90243902439024393</v>
      </c>
      <c r="BG110" s="27">
        <v>0.93866299104066164</v>
      </c>
      <c r="BH110" s="27">
        <v>0.93543956043956045</v>
      </c>
      <c r="BI110" s="27">
        <v>0.92508591065292101</v>
      </c>
      <c r="BJ110" s="27">
        <v>0.91732796978355935</v>
      </c>
      <c r="BK110" s="27">
        <v>0.90731707317073174</v>
      </c>
      <c r="BL110" s="27">
        <v>0.88919667590027696</v>
      </c>
      <c r="BM110" s="27">
        <v>0.85182534001431642</v>
      </c>
      <c r="BN110" s="27">
        <v>0.83129935391241927</v>
      </c>
      <c r="BO110" s="27">
        <v>0.92837465564738297</v>
      </c>
      <c r="BP110" s="27">
        <v>0.92510402219140087</v>
      </c>
      <c r="BQ110" s="27">
        <v>0.91781767955801108</v>
      </c>
      <c r="BR110" s="27">
        <v>0.89299068577064844</v>
      </c>
      <c r="BS110" s="27">
        <v>0.76487876561351942</v>
      </c>
      <c r="BT110" s="27">
        <v>0.81502086230876214</v>
      </c>
      <c r="BU110" s="27">
        <v>0.79062957540263545</v>
      </c>
      <c r="BV110" s="27">
        <v>0.8150584795321637</v>
      </c>
      <c r="BW110" s="27">
        <v>0.71994240460763137</v>
      </c>
      <c r="BX110" s="27">
        <v>0.79074733096085414</v>
      </c>
      <c r="BY110" s="27">
        <v>0.71813546977421705</v>
      </c>
      <c r="BZ110" s="27">
        <v>0.7734875554571119</v>
      </c>
      <c r="CA110" s="27">
        <v>0.85961272475795303</v>
      </c>
      <c r="CB110" s="27">
        <v>0.810296191819464</v>
      </c>
      <c r="CC110" s="27">
        <v>0.84854918612880392</v>
      </c>
      <c r="CD110" s="27">
        <v>0.83934890304317056</v>
      </c>
      <c r="CE110" s="27">
        <v>0.84896551724137936</v>
      </c>
      <c r="CF110" s="27">
        <v>0.84503127171646975</v>
      </c>
      <c r="CG110" s="27">
        <v>0.83506583506583509</v>
      </c>
      <c r="CH110" s="27">
        <v>0.84098137568186804</v>
      </c>
      <c r="CI110" s="27">
        <v>0.93585415259959481</v>
      </c>
      <c r="CJ110" s="27">
        <v>0.84531143052703628</v>
      </c>
      <c r="CK110" s="27">
        <v>0.91901166781056964</v>
      </c>
      <c r="CL110" s="27">
        <v>0.90984743411927882</v>
      </c>
      <c r="CM110" s="27">
        <v>0.91978246091094495</v>
      </c>
      <c r="CN110" s="27">
        <v>0.89233954451345754</v>
      </c>
      <c r="CO110" s="27">
        <v>0.89542036910457967</v>
      </c>
      <c r="CP110" s="27">
        <v>0.90250957994078029</v>
      </c>
      <c r="CQ110" s="27">
        <v>0.93008910212474294</v>
      </c>
      <c r="CR110" s="27">
        <v>0.90149456521739135</v>
      </c>
      <c r="CS110" s="27">
        <v>0.91002747252747251</v>
      </c>
      <c r="CT110" s="27">
        <v>0.91950034698126304</v>
      </c>
      <c r="CU110" s="27">
        <v>0.93890020366598781</v>
      </c>
      <c r="CV110" s="27">
        <v>0.9375</v>
      </c>
      <c r="CW110" s="27">
        <v>0.9408163265306122</v>
      </c>
      <c r="CX110" s="27">
        <v>0.92547543100678131</v>
      </c>
    </row>
    <row r="111" spans="38:102" x14ac:dyDescent="0.35">
      <c r="AL111" s="16" t="s">
        <v>293</v>
      </c>
      <c r="AM111" s="27">
        <v>1</v>
      </c>
      <c r="AN111" s="27">
        <v>1</v>
      </c>
      <c r="AO111" s="27">
        <v>1</v>
      </c>
      <c r="AP111" s="27">
        <v>0.99568034557235419</v>
      </c>
      <c r="AQ111" s="27">
        <v>1</v>
      </c>
      <c r="AR111" s="27">
        <v>0.99575371549893843</v>
      </c>
      <c r="AS111" s="27">
        <v>0.99143468950749469</v>
      </c>
      <c r="AT111" s="27">
        <v>0.99755267865411246</v>
      </c>
      <c r="AU111" s="27">
        <v>0.9913419913419913</v>
      </c>
      <c r="AV111" s="27">
        <v>1</v>
      </c>
      <c r="AW111" s="27">
        <v>0.98484848484848486</v>
      </c>
      <c r="AX111" s="27">
        <v>0.99352051835853128</v>
      </c>
      <c r="AY111" s="27">
        <v>0.99783549783549785</v>
      </c>
      <c r="AZ111" s="27">
        <v>1</v>
      </c>
      <c r="BA111" s="27">
        <v>0.98933901918976541</v>
      </c>
      <c r="BB111" s="27">
        <v>0.99384078736775294</v>
      </c>
      <c r="BC111" s="27">
        <v>0.97155361050328226</v>
      </c>
      <c r="BD111" s="27">
        <v>0.99136069114470837</v>
      </c>
      <c r="BE111" s="27">
        <v>0.98681318681318686</v>
      </c>
      <c r="BF111" s="27">
        <v>0.98908296943231444</v>
      </c>
      <c r="BG111" s="27">
        <v>0.97821350762527237</v>
      </c>
      <c r="BH111" s="27">
        <v>1</v>
      </c>
      <c r="BI111" s="27">
        <v>0.98922413793103448</v>
      </c>
      <c r="BJ111" s="27">
        <v>0.98660687192139984</v>
      </c>
      <c r="BK111" s="27">
        <v>0.97844827586206895</v>
      </c>
      <c r="BL111" s="27">
        <v>0.99570815450643779</v>
      </c>
      <c r="BM111" s="27">
        <v>0.97835497835497831</v>
      </c>
      <c r="BN111" s="27">
        <v>0.98698481561822127</v>
      </c>
      <c r="BO111" s="27">
        <v>0.97844827586206895</v>
      </c>
      <c r="BP111" s="27">
        <v>0.98936170212765961</v>
      </c>
      <c r="BQ111" s="27">
        <v>0.98709677419354835</v>
      </c>
      <c r="BR111" s="27">
        <v>0.98491471093214045</v>
      </c>
      <c r="BS111" s="27">
        <v>0.98910675381263613</v>
      </c>
      <c r="BT111" s="27">
        <v>0.98051948051948057</v>
      </c>
      <c r="BU111" s="27">
        <v>0.98064516129032253</v>
      </c>
      <c r="BV111" s="27">
        <v>1</v>
      </c>
      <c r="BW111" s="27">
        <v>0.96263736263736266</v>
      </c>
      <c r="BX111" s="27">
        <v>0.98478260869565215</v>
      </c>
      <c r="BY111" s="27">
        <v>0.94013303769401335</v>
      </c>
      <c r="BZ111" s="27">
        <v>0.97683205780706672</v>
      </c>
      <c r="CA111" s="27">
        <v>0.98290598290598286</v>
      </c>
      <c r="CB111" s="27">
        <v>0.99150743099787686</v>
      </c>
      <c r="CC111" s="27">
        <v>0.99353448275862066</v>
      </c>
      <c r="CD111" s="27">
        <v>0.99785407725321884</v>
      </c>
      <c r="CE111" s="27">
        <v>0.98526315789473684</v>
      </c>
      <c r="CF111" s="27">
        <v>0.99586776859504134</v>
      </c>
      <c r="CG111" s="27">
        <v>0.99156118143459915</v>
      </c>
      <c r="CH111" s="27">
        <v>0.99121344026286806</v>
      </c>
      <c r="CI111" s="27">
        <v>0.99156118143459915</v>
      </c>
      <c r="CJ111" s="27">
        <v>0.99372384937238489</v>
      </c>
      <c r="CK111" s="27">
        <v>1</v>
      </c>
      <c r="CL111" s="27">
        <v>0.97430406852248397</v>
      </c>
      <c r="CM111" s="27">
        <v>0.99168399168399168</v>
      </c>
      <c r="CN111" s="27">
        <v>0.98956158663883087</v>
      </c>
      <c r="CO111" s="27">
        <v>0.97933884297520657</v>
      </c>
      <c r="CP111" s="27">
        <v>0.98859621723249957</v>
      </c>
      <c r="CQ111" s="27">
        <v>0.98056155507559395</v>
      </c>
      <c r="CR111" s="27">
        <v>0.97649572649572647</v>
      </c>
      <c r="CS111" s="27">
        <v>0.96916299559471364</v>
      </c>
      <c r="CT111" s="27">
        <v>0.97792494481236203</v>
      </c>
      <c r="CU111" s="27">
        <v>0.97222222222222221</v>
      </c>
      <c r="CV111" s="27">
        <v>0.98064516129032253</v>
      </c>
      <c r="CW111" s="27">
        <v>0.97629310344827591</v>
      </c>
      <c r="CX111" s="27">
        <v>0.97618652984845955</v>
      </c>
    </row>
    <row r="112" spans="38:102" x14ac:dyDescent="0.35">
      <c r="AL112" s="16" t="s">
        <v>294</v>
      </c>
      <c r="AM112" s="27">
        <v>0.95714285714285718</v>
      </c>
      <c r="AN112" s="27">
        <v>0.95808383233532934</v>
      </c>
      <c r="AO112" s="27">
        <v>0.96799999999999997</v>
      </c>
      <c r="AP112" s="27">
        <v>0.96799999999999997</v>
      </c>
      <c r="AQ112" s="27">
        <v>0.95774647887323938</v>
      </c>
      <c r="AR112" s="27">
        <v>0.952191235059761</v>
      </c>
      <c r="AS112" s="27">
        <v>0.96593186372745488</v>
      </c>
      <c r="AT112" s="27">
        <v>0.96101375244837739</v>
      </c>
      <c r="AU112" s="27">
        <v>0.96039603960396036</v>
      </c>
      <c r="AV112" s="27">
        <v>0.94881889763779526</v>
      </c>
      <c r="AW112" s="27">
        <v>0.96230158730158732</v>
      </c>
      <c r="AX112" s="27">
        <v>0.9393346379647749</v>
      </c>
      <c r="AY112" s="27">
        <v>0.96039603960396036</v>
      </c>
      <c r="AZ112" s="27">
        <v>0.95841584158415838</v>
      </c>
      <c r="BA112" s="27">
        <v>0.95825049701789267</v>
      </c>
      <c r="BB112" s="27">
        <v>0.95541622010201854</v>
      </c>
      <c r="BC112" s="27">
        <v>0.96861924686192469</v>
      </c>
      <c r="BD112" s="27">
        <v>0.94841269841269837</v>
      </c>
      <c r="BE112" s="27">
        <v>0.969758064516129</v>
      </c>
      <c r="BF112" s="27">
        <v>0.9285714285714286</v>
      </c>
      <c r="BG112" s="27">
        <v>0.99141630901287559</v>
      </c>
      <c r="BH112" s="27">
        <v>0.95825049701789267</v>
      </c>
      <c r="BI112" s="27">
        <v>0.97384305835010065</v>
      </c>
      <c r="BJ112" s="27">
        <v>0.96269590039186426</v>
      </c>
      <c r="BK112" s="27">
        <v>0.94188376753507019</v>
      </c>
      <c r="BL112" s="27">
        <v>0.92842942345924451</v>
      </c>
      <c r="BM112" s="27">
        <v>0.95967741935483875</v>
      </c>
      <c r="BN112" s="27">
        <v>0.90927419354838712</v>
      </c>
      <c r="BO112" s="27">
        <v>0.97590361445783136</v>
      </c>
      <c r="BP112" s="27">
        <v>0.95652173913043481</v>
      </c>
      <c r="BQ112" s="27">
        <v>0.952755905511811</v>
      </c>
      <c r="BR112" s="27">
        <v>0.94634943757108825</v>
      </c>
      <c r="BS112" s="27">
        <v>0.92292089249492903</v>
      </c>
      <c r="BT112" s="27">
        <v>0.95833333333333337</v>
      </c>
      <c r="BU112" s="27">
        <v>0.9189723320158103</v>
      </c>
      <c r="BV112" s="27">
        <v>0.92954990215264188</v>
      </c>
      <c r="BW112" s="27">
        <v>0.87626774847870181</v>
      </c>
      <c r="BX112" s="27">
        <v>0.92957746478873238</v>
      </c>
      <c r="BY112" s="27">
        <v>0.87626774847870181</v>
      </c>
      <c r="BZ112" s="27">
        <v>0.9159842031061215</v>
      </c>
      <c r="CA112" s="27">
        <v>0.96031746031746035</v>
      </c>
      <c r="CB112" s="27">
        <v>0.94313725490196076</v>
      </c>
      <c r="CC112" s="27">
        <v>0.96626984126984128</v>
      </c>
      <c r="CD112" s="27">
        <v>0.95833333333333337</v>
      </c>
      <c r="CE112" s="27">
        <v>0.94106090373280948</v>
      </c>
      <c r="CF112" s="27">
        <v>0.94117647058823528</v>
      </c>
      <c r="CG112" s="27">
        <v>0.94302554027504915</v>
      </c>
      <c r="CH112" s="27">
        <v>0.95047440063124145</v>
      </c>
      <c r="CI112" s="27">
        <v>0.94881889763779526</v>
      </c>
      <c r="CJ112" s="27">
        <v>0.97599999999999998</v>
      </c>
      <c r="CK112" s="27">
        <v>0.95219885277246652</v>
      </c>
      <c r="CL112" s="27">
        <v>0.95366795366795365</v>
      </c>
      <c r="CM112" s="27">
        <v>0.94674556213017746</v>
      </c>
      <c r="CN112" s="27">
        <v>0.96593186372745488</v>
      </c>
      <c r="CO112" s="27">
        <v>0.94674556213017746</v>
      </c>
      <c r="CP112" s="27">
        <v>0.95572981315228922</v>
      </c>
      <c r="CQ112" s="27">
        <v>0.9575289575289575</v>
      </c>
      <c r="CR112" s="27">
        <v>0.9458413926499033</v>
      </c>
      <c r="CS112" s="27">
        <v>0.94563106796116503</v>
      </c>
      <c r="CT112" s="27">
        <v>0.93359375</v>
      </c>
      <c r="CU112" s="27">
        <v>0.96911196911196906</v>
      </c>
      <c r="CV112" s="27">
        <v>0.96138996138996136</v>
      </c>
      <c r="CW112" s="27">
        <v>0.97104247104247099</v>
      </c>
      <c r="CX112" s="27">
        <v>0.9548770813834897</v>
      </c>
    </row>
    <row r="113" spans="38:102" x14ac:dyDescent="0.35">
      <c r="AL113" s="16" t="s">
        <v>295</v>
      </c>
      <c r="AM113" s="27">
        <v>0.8193548387096774</v>
      </c>
      <c r="AN113" s="27">
        <v>0.68027210884353739</v>
      </c>
      <c r="AO113" s="27">
        <v>0.79136690647482011</v>
      </c>
      <c r="AP113" s="27">
        <v>0.80303030303030298</v>
      </c>
      <c r="AQ113" s="27">
        <v>0.82352941176470584</v>
      </c>
      <c r="AR113" s="27">
        <v>0.7567567567567568</v>
      </c>
      <c r="AS113" s="27">
        <v>0.891156462585034</v>
      </c>
      <c r="AT113" s="27">
        <v>0.79506668402354774</v>
      </c>
      <c r="AU113" s="27">
        <v>0.72602739726027399</v>
      </c>
      <c r="AV113" s="27">
        <v>0.6462585034013606</v>
      </c>
      <c r="AW113" s="27">
        <v>0.7734375</v>
      </c>
      <c r="AX113" s="27">
        <v>0.90090090090090091</v>
      </c>
      <c r="AY113" s="27">
        <v>0.81506849315068497</v>
      </c>
      <c r="AZ113" s="27">
        <v>0.78231292517006801</v>
      </c>
      <c r="BA113" s="27">
        <v>0.80136986301369861</v>
      </c>
      <c r="BB113" s="27">
        <v>0.77791079755671244</v>
      </c>
      <c r="BC113" s="27">
        <v>0.82517482517482521</v>
      </c>
      <c r="BD113" s="27">
        <v>0.72222222222222221</v>
      </c>
      <c r="BE113" s="27">
        <v>0.86330935251798557</v>
      </c>
      <c r="BF113" s="27">
        <v>0.79838709677419351</v>
      </c>
      <c r="BG113" s="27">
        <v>0.80794701986754969</v>
      </c>
      <c r="BH113" s="27">
        <v>0.72108843537414968</v>
      </c>
      <c r="BI113" s="27">
        <v>0.72847682119205293</v>
      </c>
      <c r="BJ113" s="27">
        <v>0.78094368187471119</v>
      </c>
      <c r="BK113" s="27">
        <v>0.68027210884353739</v>
      </c>
      <c r="BL113" s="27">
        <v>0.62328767123287676</v>
      </c>
      <c r="BM113" s="27">
        <v>0.6953125</v>
      </c>
      <c r="BN113" s="27">
        <v>0.84946236559139787</v>
      </c>
      <c r="BO113" s="27">
        <v>0.79259259259259263</v>
      </c>
      <c r="BP113" s="27">
        <v>0.75342465753424659</v>
      </c>
      <c r="BQ113" s="27">
        <v>0.36986301369863012</v>
      </c>
      <c r="BR113" s="27">
        <v>0.68060212992761149</v>
      </c>
      <c r="BS113" s="27">
        <v>0.79207920792079212</v>
      </c>
      <c r="BT113" s="27">
        <v>0.91</v>
      </c>
      <c r="BU113" s="27">
        <v>0.88235294117647056</v>
      </c>
      <c r="BV113" s="27">
        <v>0.82857142857142863</v>
      </c>
      <c r="BW113" s="27">
        <v>0.76699029126213591</v>
      </c>
      <c r="BX113" s="27">
        <v>0.75728155339805825</v>
      </c>
      <c r="BY113" s="27">
        <v>0.76699029126213591</v>
      </c>
      <c r="BZ113" s="27">
        <v>0.81489510194157444</v>
      </c>
      <c r="CA113" s="27">
        <v>0.81666666666666665</v>
      </c>
      <c r="CB113" s="27">
        <v>0.79245283018867929</v>
      </c>
      <c r="CC113" s="27">
        <v>0.89719626168224298</v>
      </c>
      <c r="CD113" s="27">
        <v>0.85585585585585588</v>
      </c>
      <c r="CE113" s="27">
        <v>0.7338709677419355</v>
      </c>
      <c r="CF113" s="27">
        <v>0.75609756097560976</v>
      </c>
      <c r="CG113" s="27">
        <v>0.9196428571428571</v>
      </c>
      <c r="CH113" s="27">
        <v>0.82454042860769228</v>
      </c>
      <c r="CI113" s="27">
        <v>0.76056338028169013</v>
      </c>
      <c r="CJ113" s="27">
        <v>0.61643835616438358</v>
      </c>
      <c r="CK113" s="27">
        <v>0.79389312977099236</v>
      </c>
      <c r="CL113" s="27">
        <v>0.79200000000000004</v>
      </c>
      <c r="CM113" s="27">
        <v>0.77483443708609268</v>
      </c>
      <c r="CN113" s="27">
        <v>0.72</v>
      </c>
      <c r="CO113" s="27">
        <v>0.75</v>
      </c>
      <c r="CP113" s="27">
        <v>0.74396132904330847</v>
      </c>
      <c r="CQ113" s="27">
        <v>0.83006535947712423</v>
      </c>
      <c r="CR113" s="27">
        <v>0.64052287581699341</v>
      </c>
      <c r="CS113" s="27">
        <v>0.83333333333333337</v>
      </c>
      <c r="CT113" s="27">
        <v>0.81159420289855078</v>
      </c>
      <c r="CU113" s="27">
        <v>0.83333333333333337</v>
      </c>
      <c r="CV113" s="27">
        <v>0.74509803921568629</v>
      </c>
      <c r="CW113" s="27">
        <v>0.73584905660377353</v>
      </c>
      <c r="CX113" s="27">
        <v>0.77568517152554217</v>
      </c>
    </row>
    <row r="114" spans="38:102" x14ac:dyDescent="0.35">
      <c r="AL114" s="16" t="s">
        <v>296</v>
      </c>
      <c r="AM114" s="27">
        <v>0.97950819672131151</v>
      </c>
      <c r="AN114" s="27">
        <v>0.98550724637681164</v>
      </c>
      <c r="AO114" s="27">
        <v>0.93647540983606559</v>
      </c>
      <c r="AP114" s="27">
        <v>0.93660531697341509</v>
      </c>
      <c r="AQ114" s="27">
        <v>0.99381443298969074</v>
      </c>
      <c r="AR114" s="27">
        <v>0.98340248962655596</v>
      </c>
      <c r="AS114" s="27">
        <v>0.9855670103092784</v>
      </c>
      <c r="AT114" s="27">
        <v>0.97155430040473256</v>
      </c>
      <c r="AU114" s="27">
        <v>0.93762993762993763</v>
      </c>
      <c r="AV114" s="27">
        <v>0.95705521472392641</v>
      </c>
      <c r="AW114" s="27">
        <v>0.92</v>
      </c>
      <c r="AX114" s="27">
        <v>0.93657505285412257</v>
      </c>
      <c r="AY114" s="27">
        <v>0.95859213250517594</v>
      </c>
      <c r="AZ114" s="27">
        <v>0.95918367346938771</v>
      </c>
      <c r="BA114" s="27">
        <v>0.98360655737704916</v>
      </c>
      <c r="BB114" s="27">
        <v>0.95037750979422853</v>
      </c>
      <c r="BC114" s="27">
        <v>0.98294243070362475</v>
      </c>
      <c r="BD114" s="27">
        <v>0.95032397408207347</v>
      </c>
      <c r="BE114" s="27">
        <v>0.97228144989339016</v>
      </c>
      <c r="BF114" s="27">
        <v>0.9658848614072495</v>
      </c>
      <c r="BG114" s="27">
        <v>0.97644539614561032</v>
      </c>
      <c r="BH114" s="27">
        <v>0.9570815450643777</v>
      </c>
      <c r="BI114" s="27">
        <v>0.9575371549893843</v>
      </c>
      <c r="BJ114" s="27">
        <v>0.96607097318367308</v>
      </c>
      <c r="BK114" s="27">
        <v>0.95338983050847459</v>
      </c>
      <c r="BL114" s="27">
        <v>0.95095948827292109</v>
      </c>
      <c r="BM114" s="27">
        <v>0.93220338983050843</v>
      </c>
      <c r="BN114" s="27">
        <v>0.87872340425531914</v>
      </c>
      <c r="BO114" s="27">
        <v>0.9576271186440678</v>
      </c>
      <c r="BP114" s="27">
        <v>0.92842535787321068</v>
      </c>
      <c r="BQ114" s="27">
        <v>0.95550847457627119</v>
      </c>
      <c r="BR114" s="27">
        <v>0.93669100913725323</v>
      </c>
      <c r="BS114" s="27">
        <v>0.89059080962800874</v>
      </c>
      <c r="BT114" s="27">
        <v>0.96595744680851059</v>
      </c>
      <c r="BU114" s="27">
        <v>0.87794432548179868</v>
      </c>
      <c r="BV114" s="27">
        <v>0.89574468085106385</v>
      </c>
      <c r="BW114" s="27">
        <v>0.8643326039387309</v>
      </c>
      <c r="BX114" s="27">
        <v>0.90254237288135597</v>
      </c>
      <c r="BY114" s="27">
        <v>0.8252212389380531</v>
      </c>
      <c r="BZ114" s="27">
        <v>0.88890478264678874</v>
      </c>
      <c r="CA114" s="27">
        <v>0.95397489539748959</v>
      </c>
      <c r="CB114" s="27">
        <v>0.94230769230769229</v>
      </c>
      <c r="CC114" s="27">
        <v>0.96848739495798319</v>
      </c>
      <c r="CD114" s="27">
        <v>0.97291666666666665</v>
      </c>
      <c r="CE114" s="27">
        <v>0.9603340292275574</v>
      </c>
      <c r="CF114" s="27">
        <v>0.94055201698513802</v>
      </c>
      <c r="CG114" s="27">
        <v>0.94255319148936167</v>
      </c>
      <c r="CH114" s="27">
        <v>0.95444655529026978</v>
      </c>
      <c r="CI114" s="27">
        <v>0.95445134575569357</v>
      </c>
      <c r="CJ114" s="27">
        <v>0.9711934156378601</v>
      </c>
      <c r="CK114" s="27">
        <v>0.9454926624737946</v>
      </c>
      <c r="CL114" s="27">
        <v>0.95597484276729561</v>
      </c>
      <c r="CM114" s="27">
        <v>0.95473251028806583</v>
      </c>
      <c r="CN114" s="27">
        <v>0.96707818930041156</v>
      </c>
      <c r="CO114" s="27">
        <v>0.95884773662551437</v>
      </c>
      <c r="CP114" s="27">
        <v>0.95825295754980522</v>
      </c>
      <c r="CQ114" s="27">
        <v>0.97021276595744677</v>
      </c>
      <c r="CR114" s="27">
        <v>0.95578947368421052</v>
      </c>
      <c r="CS114" s="27">
        <v>0.90322580645161288</v>
      </c>
      <c r="CT114" s="27">
        <v>0.93709327548806942</v>
      </c>
      <c r="CU114" s="27">
        <v>0.97844827586206895</v>
      </c>
      <c r="CV114" s="27">
        <v>0.96210526315789469</v>
      </c>
      <c r="CW114" s="27">
        <v>0.96210526315789469</v>
      </c>
      <c r="CX114" s="27">
        <v>0.95271144625131399</v>
      </c>
    </row>
    <row r="115" spans="38:102" x14ac:dyDescent="0.35">
      <c r="AL115" s="16" t="s">
        <v>297</v>
      </c>
      <c r="AM115" s="27">
        <v>0.88995215311004783</v>
      </c>
      <c r="AN115" s="27">
        <v>0.8</v>
      </c>
      <c r="AO115" s="27">
        <v>0.89393939393939392</v>
      </c>
      <c r="AP115" s="27">
        <v>0.85929648241206025</v>
      </c>
      <c r="AQ115" s="27">
        <v>0.90430622009569372</v>
      </c>
      <c r="AR115" s="27">
        <v>0.85922330097087374</v>
      </c>
      <c r="AS115" s="27">
        <v>0.893719806763285</v>
      </c>
      <c r="AT115" s="27">
        <v>0.87149105104162206</v>
      </c>
      <c r="AU115" s="27">
        <v>0.8719211822660099</v>
      </c>
      <c r="AV115" s="27">
        <v>0.85</v>
      </c>
      <c r="AW115" s="27">
        <v>0.88</v>
      </c>
      <c r="AX115" s="27">
        <v>0.81632653061224492</v>
      </c>
      <c r="AY115" s="27">
        <v>0.86124401913875603</v>
      </c>
      <c r="AZ115" s="27">
        <v>0.87439613526570048</v>
      </c>
      <c r="BA115" s="27">
        <v>0.89573459715639814</v>
      </c>
      <c r="BB115" s="27">
        <v>0.86423178063415851</v>
      </c>
      <c r="BC115" s="27">
        <v>0.88262910798122063</v>
      </c>
      <c r="BD115" s="27">
        <v>0.76649746192893398</v>
      </c>
      <c r="BE115" s="27">
        <v>0.89805825242718451</v>
      </c>
      <c r="BF115" s="27">
        <v>0.86341463414634145</v>
      </c>
      <c r="BG115" s="27">
        <v>0.87081339712918659</v>
      </c>
      <c r="BH115" s="27">
        <v>0.8529411764705882</v>
      </c>
      <c r="BI115" s="27">
        <v>0.87804878048780488</v>
      </c>
      <c r="BJ115" s="27">
        <v>0.85891468722446584</v>
      </c>
      <c r="BK115" s="27">
        <v>0.87441860465116283</v>
      </c>
      <c r="BL115" s="27">
        <v>0.84729064039408863</v>
      </c>
      <c r="BM115" s="27">
        <v>0.87</v>
      </c>
      <c r="BN115" s="27">
        <v>0.80487804878048785</v>
      </c>
      <c r="BO115" s="27">
        <v>0.87096774193548387</v>
      </c>
      <c r="BP115" s="27">
        <v>0.85185185185185186</v>
      </c>
      <c r="BQ115" s="27">
        <v>0.86046511627906974</v>
      </c>
      <c r="BR115" s="27">
        <v>0.85426742912744924</v>
      </c>
      <c r="BS115" s="27">
        <v>0.68472906403940892</v>
      </c>
      <c r="BT115" s="27">
        <v>0.79611650485436891</v>
      </c>
      <c r="BU115" s="27">
        <v>0.74358974358974361</v>
      </c>
      <c r="BV115" s="27">
        <v>0.75935828877005351</v>
      </c>
      <c r="BW115" s="27">
        <v>0.63500000000000001</v>
      </c>
      <c r="BX115" s="27">
        <v>0.8</v>
      </c>
      <c r="BY115" s="27">
        <v>0.64646464646464652</v>
      </c>
      <c r="BZ115" s="27">
        <v>0.72360832110260298</v>
      </c>
      <c r="CA115" s="27">
        <v>0.83251231527093594</v>
      </c>
      <c r="CB115" s="27">
        <v>0.73936170212765961</v>
      </c>
      <c r="CC115" s="27">
        <v>0.87179487179487181</v>
      </c>
      <c r="CD115" s="27">
        <v>0.87244897959183676</v>
      </c>
      <c r="CE115" s="27">
        <v>0.79679144385026734</v>
      </c>
      <c r="CF115" s="27">
        <v>0.78109452736318408</v>
      </c>
      <c r="CG115" s="27">
        <v>0.7978723404255319</v>
      </c>
      <c r="CH115" s="27">
        <v>0.81312516863204098</v>
      </c>
      <c r="CI115" s="27">
        <v>0.89552238805970152</v>
      </c>
      <c r="CJ115" s="27">
        <v>0.85567010309278346</v>
      </c>
      <c r="CK115" s="27">
        <v>0.89230769230769236</v>
      </c>
      <c r="CL115" s="27">
        <v>0.87179487179487181</v>
      </c>
      <c r="CM115" s="27">
        <v>0.87562189054726369</v>
      </c>
      <c r="CN115" s="27">
        <v>0.83495145631067957</v>
      </c>
      <c r="CO115" s="27">
        <v>0.8571428571428571</v>
      </c>
      <c r="CP115" s="27">
        <v>0.86900160846512142</v>
      </c>
      <c r="CQ115" s="27">
        <v>0.84651162790697676</v>
      </c>
      <c r="CR115" s="27">
        <v>0.81463414634146336</v>
      </c>
      <c r="CS115" s="27">
        <v>0.86255924170616116</v>
      </c>
      <c r="CT115" s="27">
        <v>0.81818181818181823</v>
      </c>
      <c r="CU115" s="27">
        <v>0.83561643835616439</v>
      </c>
      <c r="CV115" s="27">
        <v>0.8632075471698113</v>
      </c>
      <c r="CW115" s="27">
        <v>0.87037037037037035</v>
      </c>
      <c r="CX115" s="27">
        <v>0.84444017000468075</v>
      </c>
    </row>
    <row r="116" spans="38:102" x14ac:dyDescent="0.35">
      <c r="AL116" s="16" t="s">
        <v>298</v>
      </c>
      <c r="AM116" s="27">
        <v>0.88073394495412849</v>
      </c>
      <c r="AN116" s="27">
        <v>0.77981651376146788</v>
      </c>
      <c r="AO116" s="27">
        <v>0.88073394495412849</v>
      </c>
      <c r="AP116" s="27">
        <v>0.8990825688073395</v>
      </c>
      <c r="AQ116" s="27">
        <v>0.77981651376146788</v>
      </c>
      <c r="AR116" s="27">
        <v>0.66055045871559637</v>
      </c>
      <c r="AS116" s="27">
        <v>0.74311926605504586</v>
      </c>
      <c r="AT116" s="27">
        <v>0.80340760157273916</v>
      </c>
      <c r="AU116" s="27">
        <v>0.8165137614678899</v>
      </c>
      <c r="AV116" s="27">
        <v>0.88073394495412849</v>
      </c>
      <c r="AW116" s="27">
        <v>0.82568807339449546</v>
      </c>
      <c r="AX116" s="27">
        <v>0.86238532110091748</v>
      </c>
      <c r="AY116" s="27">
        <v>0.7155963302752294</v>
      </c>
      <c r="AZ116" s="27">
        <v>0.77981651376146788</v>
      </c>
      <c r="BA116" s="27">
        <v>0.75229357798165142</v>
      </c>
      <c r="BB116" s="27">
        <v>0.80471821756225415</v>
      </c>
      <c r="BC116" s="27">
        <v>0.87755102040816324</v>
      </c>
      <c r="BD116" s="27">
        <v>0.77981651376146788</v>
      </c>
      <c r="BE116" s="27">
        <v>0.79591836734693877</v>
      </c>
      <c r="BF116" s="27">
        <v>0.8571428571428571</v>
      </c>
      <c r="BG116" s="27">
        <v>0.93877551020408168</v>
      </c>
      <c r="BH116" s="27">
        <v>0.80733944954128445</v>
      </c>
      <c r="BI116" s="27">
        <v>0.9285714285714286</v>
      </c>
      <c r="BJ116" s="27">
        <v>0.85501644956803169</v>
      </c>
      <c r="BK116" s="27">
        <v>0.84883720930232553</v>
      </c>
      <c r="BL116" s="27">
        <v>0.77551020408163263</v>
      </c>
      <c r="BM116" s="27">
        <v>0.75</v>
      </c>
      <c r="BN116" s="27">
        <v>0.86904761904761907</v>
      </c>
      <c r="BO116" s="27">
        <v>0.71111111111111114</v>
      </c>
      <c r="BP116" s="27">
        <v>0.77551020408163263</v>
      </c>
      <c r="BQ116" s="27">
        <v>0.70408163265306123</v>
      </c>
      <c r="BR116" s="27">
        <v>0.77629971146819743</v>
      </c>
      <c r="BS116" s="27">
        <v>0.65</v>
      </c>
      <c r="BT116" s="27">
        <v>0.8783783783783784</v>
      </c>
      <c r="BU116" s="27">
        <v>0.70270270270270274</v>
      </c>
      <c r="BV116" s="27">
        <v>0.60869565217391308</v>
      </c>
      <c r="BW116" s="27">
        <v>0.65853658536585369</v>
      </c>
      <c r="BX116" s="27">
        <v>0.8783783783783784</v>
      </c>
      <c r="BY116" s="27">
        <v>0.53448275862068961</v>
      </c>
      <c r="BZ116" s="27">
        <v>0.7015963508028451</v>
      </c>
      <c r="CA116" s="27">
        <v>0.7407407407407407</v>
      </c>
      <c r="CB116" s="27">
        <v>0.60869565217391308</v>
      </c>
      <c r="CC116" s="27">
        <v>0.66666666666666663</v>
      </c>
      <c r="CD116" s="27">
        <v>0.671875</v>
      </c>
      <c r="CE116" s="27">
        <v>0.65217391304347827</v>
      </c>
      <c r="CF116" s="27">
        <v>0.69767441860465118</v>
      </c>
      <c r="CG116" s="27">
        <v>0.64</v>
      </c>
      <c r="CH116" s="27">
        <v>0.66826091303277857</v>
      </c>
      <c r="CI116" s="27">
        <v>0.83157894736842108</v>
      </c>
      <c r="CJ116" s="27">
        <v>0.671875</v>
      </c>
      <c r="CK116" s="27">
        <v>0.81443298969072164</v>
      </c>
      <c r="CL116" s="27">
        <v>0.75247524752475248</v>
      </c>
      <c r="CM116" s="27">
        <v>0.81176470588235294</v>
      </c>
      <c r="CN116" s="27">
        <v>0.58904109589041098</v>
      </c>
      <c r="CO116" s="27">
        <v>0.5679012345679012</v>
      </c>
      <c r="CP116" s="27">
        <v>0.71986703156065146</v>
      </c>
      <c r="CQ116" s="27">
        <v>0.81188118811881194</v>
      </c>
      <c r="CR116" s="27">
        <v>0.74257425742574257</v>
      </c>
      <c r="CS116" s="27">
        <v>0.68316831683168322</v>
      </c>
      <c r="CT116" s="27">
        <v>0.7722772277227723</v>
      </c>
      <c r="CU116" s="27">
        <v>0.7722772277227723</v>
      </c>
      <c r="CV116" s="27">
        <v>0.75247524752475248</v>
      </c>
      <c r="CW116" s="27">
        <v>0.75247524752475248</v>
      </c>
      <c r="CX116" s="27">
        <v>0.75530410183875518</v>
      </c>
    </row>
    <row r="117" spans="38:102" x14ac:dyDescent="0.35">
      <c r="AL117" s="16" t="s">
        <v>299</v>
      </c>
      <c r="AM117" s="27">
        <v>0.96852300242130751</v>
      </c>
      <c r="AN117" s="27">
        <v>0.99639423076923073</v>
      </c>
      <c r="AO117" s="27">
        <v>0.97313797313797312</v>
      </c>
      <c r="AP117" s="27">
        <v>0.99637243047158408</v>
      </c>
      <c r="AQ117" s="27">
        <v>0.9709443099273608</v>
      </c>
      <c r="AR117" s="27">
        <v>0.99879081015719473</v>
      </c>
      <c r="AS117" s="27">
        <v>0.97941888619854722</v>
      </c>
      <c r="AT117" s="27">
        <v>0.98336880615474265</v>
      </c>
      <c r="AU117" s="27">
        <v>0.96991576413959091</v>
      </c>
      <c r="AV117" s="27">
        <v>0.99637681159420288</v>
      </c>
      <c r="AW117" s="27">
        <v>0.95157384987893467</v>
      </c>
      <c r="AX117" s="27">
        <v>0.96564417177914108</v>
      </c>
      <c r="AY117" s="27">
        <v>0.97820823244552058</v>
      </c>
      <c r="AZ117" s="27">
        <v>0.9733656174334141</v>
      </c>
      <c r="BA117" s="27">
        <v>0.95893719806763289</v>
      </c>
      <c r="BB117" s="27">
        <v>0.97057452076263395</v>
      </c>
      <c r="BC117" s="27">
        <v>0.96984318455971052</v>
      </c>
      <c r="BD117" s="27">
        <v>0.96610169491525422</v>
      </c>
      <c r="BE117" s="27">
        <v>0.93389423076923073</v>
      </c>
      <c r="BF117" s="27">
        <v>0.96984318455971052</v>
      </c>
      <c r="BG117" s="27">
        <v>0.96028880866425992</v>
      </c>
      <c r="BH117" s="27">
        <v>0.97954271961492179</v>
      </c>
      <c r="BI117" s="27">
        <v>0.9723225030084236</v>
      </c>
      <c r="BJ117" s="27">
        <v>0.96454804658450155</v>
      </c>
      <c r="BK117" s="27">
        <v>0.9576271186440678</v>
      </c>
      <c r="BL117" s="27">
        <v>0.97939393939393937</v>
      </c>
      <c r="BM117" s="27">
        <v>0.92882991556091676</v>
      </c>
      <c r="BN117" s="27">
        <v>0.95536791314837155</v>
      </c>
      <c r="BO117" s="27">
        <v>0.97115384615384615</v>
      </c>
      <c r="BP117" s="27">
        <v>0.97201946472019463</v>
      </c>
      <c r="BQ117" s="27">
        <v>0.96514423076923073</v>
      </c>
      <c r="BR117" s="27">
        <v>0.96136234691293809</v>
      </c>
      <c r="BS117" s="27">
        <v>0.89441747572815533</v>
      </c>
      <c r="BT117" s="27">
        <v>0.93848009650180941</v>
      </c>
      <c r="BU117" s="27">
        <v>0.86650485436893199</v>
      </c>
      <c r="BV117" s="27">
        <v>0.90303030303030307</v>
      </c>
      <c r="BW117" s="27">
        <v>0.856453558504222</v>
      </c>
      <c r="BX117" s="27">
        <v>0.94813027744270206</v>
      </c>
      <c r="BY117" s="27">
        <v>0.84800965018094088</v>
      </c>
      <c r="BZ117" s="27">
        <v>0.89357517367958061</v>
      </c>
      <c r="CA117" s="27">
        <v>0.93825665859564167</v>
      </c>
      <c r="CB117" s="27">
        <v>0.9371980676328503</v>
      </c>
      <c r="CC117" s="27">
        <v>0.9551515151515152</v>
      </c>
      <c r="CD117" s="27">
        <v>0.94195888754534463</v>
      </c>
      <c r="CE117" s="27">
        <v>0.95883777239709445</v>
      </c>
      <c r="CF117" s="27">
        <v>0.93389423076923073</v>
      </c>
      <c r="CG117" s="27">
        <v>0.92874396135265702</v>
      </c>
      <c r="CH117" s="27">
        <v>0.94200587049204765</v>
      </c>
      <c r="CI117" s="27">
        <v>0.97330097087378642</v>
      </c>
      <c r="CJ117" s="27">
        <v>0.95757575757575752</v>
      </c>
      <c r="CK117" s="27">
        <v>0.96844660194174759</v>
      </c>
      <c r="CL117" s="27">
        <v>0.97330097087378642</v>
      </c>
      <c r="CM117" s="27">
        <v>0.98058252427184467</v>
      </c>
      <c r="CN117" s="27">
        <v>0.95157384987893467</v>
      </c>
      <c r="CO117" s="27">
        <v>0.96871239470517445</v>
      </c>
      <c r="CP117" s="27">
        <v>0.96764186716014744</v>
      </c>
      <c r="CQ117" s="27">
        <v>0.95848595848595852</v>
      </c>
      <c r="CR117" s="27">
        <v>0.96719319562575945</v>
      </c>
      <c r="CS117" s="27">
        <v>0.94518879415347135</v>
      </c>
      <c r="CT117" s="27">
        <v>0.94512195121951215</v>
      </c>
      <c r="CU117" s="27">
        <v>0.96359223300970875</v>
      </c>
      <c r="CV117" s="27">
        <v>0.96840826245443501</v>
      </c>
      <c r="CW117" s="27">
        <v>0.96467722289890379</v>
      </c>
      <c r="CX117" s="27">
        <v>0.95895251683539284</v>
      </c>
    </row>
    <row r="118" spans="38:102" x14ac:dyDescent="0.35">
      <c r="AL118" s="16" t="s">
        <v>300</v>
      </c>
      <c r="AM118" s="27">
        <v>0.96844660194174759</v>
      </c>
      <c r="AN118" s="27">
        <v>0.95588235294117652</v>
      </c>
      <c r="AO118" s="27">
        <v>0.95609756097560972</v>
      </c>
      <c r="AP118" s="27">
        <v>0.94240196078431371</v>
      </c>
      <c r="AQ118" s="27">
        <v>0.96703296703296704</v>
      </c>
      <c r="AR118" s="27">
        <v>0.96727272727272728</v>
      </c>
      <c r="AS118" s="27">
        <v>0.97201946472019463</v>
      </c>
      <c r="AT118" s="27">
        <v>0.96130766223839093</v>
      </c>
      <c r="AU118" s="27">
        <v>0.97936893203883491</v>
      </c>
      <c r="AV118" s="27">
        <v>0.96454767726161372</v>
      </c>
      <c r="AW118" s="27">
        <v>0.96319018404907975</v>
      </c>
      <c r="AX118" s="27">
        <v>0.96083231334149322</v>
      </c>
      <c r="AY118" s="27">
        <v>0.95970695970695974</v>
      </c>
      <c r="AZ118" s="27">
        <v>0.97451456310679607</v>
      </c>
      <c r="BA118" s="27">
        <v>0.96943765281173599</v>
      </c>
      <c r="BB118" s="27">
        <v>0.96737118318807336</v>
      </c>
      <c r="BC118" s="27">
        <v>0.948780487804878</v>
      </c>
      <c r="BD118" s="27">
        <v>0.96577017114914421</v>
      </c>
      <c r="BE118" s="27">
        <v>0.94009779951100247</v>
      </c>
      <c r="BF118" s="27">
        <v>0.94485294117647056</v>
      </c>
      <c r="BG118" s="27">
        <v>0.96088019559902205</v>
      </c>
      <c r="BH118" s="27">
        <v>0.91075794621026895</v>
      </c>
      <c r="BI118" s="27">
        <v>0.95863746958637475</v>
      </c>
      <c r="BJ118" s="27">
        <v>0.94711100157673733</v>
      </c>
      <c r="BK118" s="27">
        <v>0.95382746051032807</v>
      </c>
      <c r="BL118" s="27">
        <v>0.95736906211936668</v>
      </c>
      <c r="BM118" s="27">
        <v>0.93567961165048541</v>
      </c>
      <c r="BN118" s="27">
        <v>0.92691839220462846</v>
      </c>
      <c r="BO118" s="27">
        <v>0.95018226002430128</v>
      </c>
      <c r="BP118" s="27">
        <v>0.97682926829268291</v>
      </c>
      <c r="BQ118" s="27">
        <v>0.96630565583634176</v>
      </c>
      <c r="BR118" s="27">
        <v>0.95244453009116203</v>
      </c>
      <c r="BS118" s="27">
        <v>0.94038929440389296</v>
      </c>
      <c r="BT118" s="27">
        <v>0.94890510948905105</v>
      </c>
      <c r="BU118" s="27">
        <v>0.94296116504854366</v>
      </c>
      <c r="BV118" s="27">
        <v>0.93637454981992796</v>
      </c>
      <c r="BW118" s="27">
        <v>0.89743589743589747</v>
      </c>
      <c r="BX118" s="27">
        <v>0.93780487804878043</v>
      </c>
      <c r="BY118" s="27">
        <v>0.86609336609336607</v>
      </c>
      <c r="BZ118" s="27">
        <v>0.92428060861992278</v>
      </c>
      <c r="CA118" s="27">
        <v>0.96176821983273597</v>
      </c>
      <c r="CB118" s="27">
        <v>0.95329341317365268</v>
      </c>
      <c r="CC118" s="27">
        <v>0.94711538461538458</v>
      </c>
      <c r="CD118" s="27">
        <v>0.93954050785973398</v>
      </c>
      <c r="CE118" s="27">
        <v>0.95042321644498184</v>
      </c>
      <c r="CF118" s="27">
        <v>0.9616306954436451</v>
      </c>
      <c r="CG118" s="27">
        <v>0.93614457831325304</v>
      </c>
      <c r="CH118" s="27">
        <v>0.94998800224048385</v>
      </c>
      <c r="CI118" s="27">
        <v>0.96019300361881788</v>
      </c>
      <c r="CJ118" s="27">
        <v>0.94711538461538458</v>
      </c>
      <c r="CK118" s="27">
        <v>0.93486127864897461</v>
      </c>
      <c r="CL118" s="27">
        <v>0.93082524271844658</v>
      </c>
      <c r="CM118" s="27">
        <v>0.96024096385542168</v>
      </c>
      <c r="CN118" s="27">
        <v>0.96506024096385545</v>
      </c>
      <c r="CO118" s="27">
        <v>0.94350961538461542</v>
      </c>
      <c r="CP118" s="27">
        <v>0.94882938997221655</v>
      </c>
      <c r="CQ118" s="27">
        <v>0.9595588235294118</v>
      </c>
      <c r="CR118" s="27">
        <v>0.94309927360774815</v>
      </c>
      <c r="CS118" s="27">
        <v>0.95476772616136918</v>
      </c>
      <c r="CT118" s="27">
        <v>0.9511002444987775</v>
      </c>
      <c r="CU118" s="27">
        <v>0.94485294117647056</v>
      </c>
      <c r="CV118" s="27">
        <v>0.95493300852618757</v>
      </c>
      <c r="CW118" s="27">
        <v>0.94673123486682809</v>
      </c>
      <c r="CX118" s="27">
        <v>0.95072046462382764</v>
      </c>
    </row>
    <row r="119" spans="38:102" x14ac:dyDescent="0.35">
      <c r="AL119" s="16" t="s">
        <v>301</v>
      </c>
      <c r="AM119" s="27">
        <v>0.96644295302013428</v>
      </c>
      <c r="AN119" s="27">
        <v>0.93421052631578949</v>
      </c>
      <c r="AO119" s="27">
        <v>0.96644295302013428</v>
      </c>
      <c r="AP119" s="27">
        <v>0.96644295302013428</v>
      </c>
      <c r="AQ119" s="27">
        <v>0.97350993377483441</v>
      </c>
      <c r="AR119" s="27">
        <v>0.95364238410596025</v>
      </c>
      <c r="AS119" s="27">
        <v>0.94701986754966883</v>
      </c>
      <c r="AT119" s="27">
        <v>0.9582445101152367</v>
      </c>
      <c r="AU119" s="27">
        <v>0.93793103448275861</v>
      </c>
      <c r="AV119" s="27">
        <v>0.95945945945945943</v>
      </c>
      <c r="AW119" s="27">
        <v>0.95833333333333337</v>
      </c>
      <c r="AX119" s="27">
        <v>0.95833333333333337</v>
      </c>
      <c r="AY119" s="27">
        <v>0.95394736842105265</v>
      </c>
      <c r="AZ119" s="27">
        <v>0.98013245033112584</v>
      </c>
      <c r="BA119" s="27">
        <v>0.96026490066225167</v>
      </c>
      <c r="BB119" s="27">
        <v>0.95834312571761626</v>
      </c>
      <c r="BC119" s="27">
        <v>0.93150684931506844</v>
      </c>
      <c r="BD119" s="27">
        <v>0.95833333333333337</v>
      </c>
      <c r="BE119" s="27"/>
      <c r="BF119" s="27">
        <v>0.95804195804195802</v>
      </c>
      <c r="BG119" s="27">
        <v>0.96551724137931039</v>
      </c>
      <c r="BH119" s="27">
        <v>0.94594594594594594</v>
      </c>
      <c r="BI119" s="27">
        <v>0.95918367346938771</v>
      </c>
      <c r="BJ119" s="27">
        <v>0.95308816691416742</v>
      </c>
      <c r="BK119" s="27">
        <v>0.8783783783783784</v>
      </c>
      <c r="BL119" s="27">
        <v>0.95945945945945943</v>
      </c>
      <c r="BM119" s="27">
        <v>0.8666666666666667</v>
      </c>
      <c r="BN119" s="27">
        <v>0.83443708609271527</v>
      </c>
      <c r="BO119" s="27">
        <v>0.91216216216216217</v>
      </c>
      <c r="BP119" s="27">
        <v>0.91891891891891897</v>
      </c>
      <c r="BQ119" s="27">
        <v>0.96666666666666667</v>
      </c>
      <c r="BR119" s="27">
        <v>0.9052413340492812</v>
      </c>
      <c r="BS119" s="27">
        <v>0.64238410596026485</v>
      </c>
      <c r="BT119" s="27">
        <v>0.79194630872483218</v>
      </c>
      <c r="BU119" s="27">
        <v>0.64238410596026485</v>
      </c>
      <c r="BV119" s="27">
        <v>0.70198675496688745</v>
      </c>
      <c r="BW119" s="27">
        <v>0.64238410596026485</v>
      </c>
      <c r="BX119" s="27">
        <v>0.73154362416107388</v>
      </c>
      <c r="BY119" s="27">
        <v>0.73154362416107388</v>
      </c>
      <c r="BZ119" s="27">
        <v>0.69773894712780893</v>
      </c>
      <c r="CA119" s="27">
        <v>0.85314685314685312</v>
      </c>
      <c r="CB119" s="27">
        <v>0.70198675496688745</v>
      </c>
      <c r="CC119" s="27">
        <v>0.8413793103448276</v>
      </c>
      <c r="CD119" s="27">
        <v>0.8896551724137931</v>
      </c>
      <c r="CE119" s="27">
        <v>0.72</v>
      </c>
      <c r="CF119" s="27">
        <v>0.72</v>
      </c>
      <c r="CG119" s="27">
        <v>0.7466666666666667</v>
      </c>
      <c r="CH119" s="27">
        <v>0.78183353679128975</v>
      </c>
      <c r="CI119" s="27">
        <v>0.95364238410596025</v>
      </c>
      <c r="CJ119" s="27">
        <v>0.8896551724137931</v>
      </c>
      <c r="CK119" s="27">
        <v>0.88741721854304634</v>
      </c>
      <c r="CL119" s="27">
        <v>0.86754966887417218</v>
      </c>
      <c r="CM119" s="27">
        <v>0.95364238410596025</v>
      </c>
      <c r="CN119" s="27">
        <v>0.89403973509933776</v>
      </c>
      <c r="CO119" s="27">
        <v>0.92715231788079466</v>
      </c>
      <c r="CP119" s="27">
        <v>0.91044269728900928</v>
      </c>
      <c r="CQ119" s="27">
        <v>0.89403973509933776</v>
      </c>
      <c r="CR119" s="27">
        <v>0.92052980132450335</v>
      </c>
      <c r="CS119" s="27">
        <v>0.91390728476821192</v>
      </c>
      <c r="CT119" s="27">
        <v>0.91390728476821192</v>
      </c>
      <c r="CU119" s="27">
        <v>0.9072847682119205</v>
      </c>
      <c r="CV119" s="27">
        <v>0.9072847682119205</v>
      </c>
      <c r="CW119" s="27">
        <v>0.9072847682119205</v>
      </c>
      <c r="CX119" s="27">
        <v>0.90917691579943227</v>
      </c>
    </row>
    <row r="120" spans="38:102" x14ac:dyDescent="0.35">
      <c r="AL120" s="16" t="s">
        <v>302</v>
      </c>
      <c r="AM120" s="27">
        <v>0.98044009779951102</v>
      </c>
      <c r="AN120" s="27">
        <v>0.98275862068965514</v>
      </c>
      <c r="AO120" s="27">
        <v>0.96268656716417911</v>
      </c>
      <c r="AP120" s="27">
        <v>0.96969696969696972</v>
      </c>
      <c r="AQ120" s="27">
        <v>0.97566909975669103</v>
      </c>
      <c r="AR120" s="27">
        <v>0.99033816425120769</v>
      </c>
      <c r="AS120" s="27">
        <v>0.98044009779951102</v>
      </c>
      <c r="AT120" s="27">
        <v>0.97743280245110353</v>
      </c>
      <c r="AU120" s="27">
        <v>0.98753117206982544</v>
      </c>
      <c r="AV120" s="27">
        <v>0.97303921568627449</v>
      </c>
      <c r="AW120" s="27">
        <v>0.96984924623115576</v>
      </c>
      <c r="AX120" s="27">
        <v>0.97468354430379744</v>
      </c>
      <c r="AY120" s="27">
        <v>0.97051597051597049</v>
      </c>
      <c r="AZ120" s="27">
        <v>0.98053527980535282</v>
      </c>
      <c r="BA120" s="27">
        <v>0.96508728179551118</v>
      </c>
      <c r="BB120" s="27">
        <v>0.97446310148684112</v>
      </c>
      <c r="BC120" s="27">
        <v>0.95012468827930174</v>
      </c>
      <c r="BD120" s="27">
        <v>0.9779411764705882</v>
      </c>
      <c r="BE120" s="27">
        <v>0.92385786802030456</v>
      </c>
      <c r="BF120" s="27">
        <v>0.92385786802030456</v>
      </c>
      <c r="BG120" s="27">
        <v>0.97037037037037033</v>
      </c>
      <c r="BH120" s="27">
        <v>0.98058252427184467</v>
      </c>
      <c r="BI120" s="27">
        <v>0.95037220843672454</v>
      </c>
      <c r="BJ120" s="27">
        <v>0.95387238626706261</v>
      </c>
      <c r="BK120" s="27">
        <v>0.94750000000000001</v>
      </c>
      <c r="BL120" s="27">
        <v>0.9652605459057072</v>
      </c>
      <c r="BM120" s="27">
        <v>0.88161209068010071</v>
      </c>
      <c r="BN120" s="27">
        <v>0.95165394402035619</v>
      </c>
      <c r="BO120" s="27">
        <v>0.92326732673267331</v>
      </c>
      <c r="BP120" s="27">
        <v>0.95522388059701491</v>
      </c>
      <c r="BQ120" s="27">
        <v>0.9375</v>
      </c>
      <c r="BR120" s="27">
        <v>0.93743111256226463</v>
      </c>
      <c r="BS120" s="27">
        <v>0.94683544303797473</v>
      </c>
      <c r="BT120" s="27">
        <v>0.97022332506203479</v>
      </c>
      <c r="BU120" s="27">
        <v>0.95024875621890548</v>
      </c>
      <c r="BV120" s="27">
        <v>0.95024875621890548</v>
      </c>
      <c r="BW120" s="27">
        <v>0.87878787878787878</v>
      </c>
      <c r="BX120" s="27">
        <v>0.967741935483871</v>
      </c>
      <c r="BY120" s="27">
        <v>0.84615384615384615</v>
      </c>
      <c r="BZ120" s="27">
        <v>0.93003427728048815</v>
      </c>
      <c r="CA120" s="27">
        <v>0.97037037037037033</v>
      </c>
      <c r="CB120" s="27">
        <v>0.97007481296758102</v>
      </c>
      <c r="CC120" s="27">
        <v>0.97761194029850751</v>
      </c>
      <c r="CD120" s="27">
        <v>0.97549019607843135</v>
      </c>
      <c r="CE120" s="27">
        <v>0.97283950617283954</v>
      </c>
      <c r="CF120" s="27">
        <v>0.95843520782396086</v>
      </c>
      <c r="CG120" s="27">
        <v>0.9285714285714286</v>
      </c>
      <c r="CH120" s="27">
        <v>0.96477049461187436</v>
      </c>
      <c r="CI120" s="27">
        <v>0.96314496314496312</v>
      </c>
      <c r="CJ120" s="27">
        <v>0.97115384615384615</v>
      </c>
      <c r="CK120" s="27">
        <v>0.94162436548223349</v>
      </c>
      <c r="CL120" s="27">
        <v>0.949238578680203</v>
      </c>
      <c r="CM120" s="27">
        <v>0.97250000000000003</v>
      </c>
      <c r="CN120" s="27">
        <v>0.96341463414634143</v>
      </c>
      <c r="CO120" s="27">
        <v>0.95599022004889977</v>
      </c>
      <c r="CP120" s="27">
        <v>0.95958094395092686</v>
      </c>
      <c r="CQ120" s="27">
        <v>0.97984886649874059</v>
      </c>
      <c r="CR120" s="27">
        <v>0.96577017114914421</v>
      </c>
      <c r="CS120" s="27">
        <v>0.94278606965174128</v>
      </c>
      <c r="CT120" s="27">
        <v>0.94696969696969702</v>
      </c>
      <c r="CU120" s="27">
        <v>0.97007481296758102</v>
      </c>
      <c r="CV120" s="27">
        <v>0.9455445544554455</v>
      </c>
      <c r="CW120" s="27">
        <v>0.96805896805896807</v>
      </c>
      <c r="CX120" s="27">
        <v>0.95986473425018837</v>
      </c>
    </row>
    <row r="121" spans="38:102" x14ac:dyDescent="0.35">
      <c r="AL121" s="16" t="s">
        <v>303</v>
      </c>
      <c r="AM121" s="27">
        <v>0.93852065321805955</v>
      </c>
      <c r="AN121" s="27">
        <v>0.92381870781099329</v>
      </c>
      <c r="AO121" s="27">
        <v>0.91972920696324956</v>
      </c>
      <c r="AP121" s="27">
        <v>0.91771539206195551</v>
      </c>
      <c r="AQ121" s="27">
        <v>0.94711538461538458</v>
      </c>
      <c r="AR121" s="27">
        <v>0.94827586206896552</v>
      </c>
      <c r="AS121" s="27">
        <v>0.94837476099426388</v>
      </c>
      <c r="AT121" s="27">
        <v>0.93479285253326749</v>
      </c>
      <c r="AU121" s="27">
        <v>0.93637226970560306</v>
      </c>
      <c r="AV121" s="27">
        <v>0.95124282982791586</v>
      </c>
      <c r="AW121" s="27">
        <v>0.93453510436432641</v>
      </c>
      <c r="AX121" s="27">
        <v>0.9144486692015209</v>
      </c>
      <c r="AY121" s="27">
        <v>0.93572778827977321</v>
      </c>
      <c r="AZ121" s="27">
        <v>0.95179584120982985</v>
      </c>
      <c r="BA121" s="27">
        <v>0.93289224952741023</v>
      </c>
      <c r="BB121" s="27">
        <v>0.93671639315948274</v>
      </c>
      <c r="BC121" s="27">
        <v>0.94757281553398054</v>
      </c>
      <c r="BD121" s="27">
        <v>0.92293233082706772</v>
      </c>
      <c r="BE121" s="27">
        <v>0.919921875</v>
      </c>
      <c r="BF121" s="27">
        <v>0.90775269872423947</v>
      </c>
      <c r="BG121" s="27">
        <v>0.94641148325358848</v>
      </c>
      <c r="BH121" s="27">
        <v>0.94711992445703497</v>
      </c>
      <c r="BI121" s="27">
        <v>0.95133587786259544</v>
      </c>
      <c r="BJ121" s="27">
        <v>0.93472100080835818</v>
      </c>
      <c r="BK121" s="27">
        <v>0.94605009633911363</v>
      </c>
      <c r="BL121" s="27">
        <v>0.9456625357483317</v>
      </c>
      <c r="BM121" s="27">
        <v>0.9031007751937985</v>
      </c>
      <c r="BN121" s="27">
        <v>0.88601532567049812</v>
      </c>
      <c r="BO121" s="27">
        <v>0.93371757925072041</v>
      </c>
      <c r="BP121" s="27">
        <v>0.94252873563218387</v>
      </c>
      <c r="BQ121" s="27">
        <v>0.93378119001919391</v>
      </c>
      <c r="BR121" s="27">
        <v>0.92726517683626286</v>
      </c>
      <c r="BS121" s="27">
        <v>0.86981677917068467</v>
      </c>
      <c r="BT121" s="27">
        <v>0.90628019323671494</v>
      </c>
      <c r="BU121" s="27">
        <v>0.89147286821705429</v>
      </c>
      <c r="BV121" s="27">
        <v>0.89230769230769236</v>
      </c>
      <c r="BW121" s="27">
        <v>0.84936831875607388</v>
      </c>
      <c r="BX121" s="27">
        <v>0.88424124513618674</v>
      </c>
      <c r="BY121" s="27">
        <v>0.83544303797468356</v>
      </c>
      <c r="BZ121" s="27">
        <v>0.87556144782844147</v>
      </c>
      <c r="CA121" s="27">
        <v>0.92641509433962266</v>
      </c>
      <c r="CB121" s="27">
        <v>0.91793893129770987</v>
      </c>
      <c r="CC121" s="27">
        <v>0.94502369668246444</v>
      </c>
      <c r="CD121" s="27">
        <v>0.92242194891201512</v>
      </c>
      <c r="CE121" s="27">
        <v>0.9242424242424242</v>
      </c>
      <c r="CF121" s="27">
        <v>0.93047619047619046</v>
      </c>
      <c r="CG121" s="27">
        <v>0.91366223908918409</v>
      </c>
      <c r="CH121" s="27">
        <v>0.92574007500565869</v>
      </c>
      <c r="CI121" s="27">
        <v>0.94318181818181823</v>
      </c>
      <c r="CJ121" s="27">
        <v>0.91382575757575757</v>
      </c>
      <c r="CK121" s="27">
        <v>0.92264150943396228</v>
      </c>
      <c r="CL121" s="27">
        <v>0.91341579448144627</v>
      </c>
      <c r="CM121" s="27">
        <v>0.95570216776625827</v>
      </c>
      <c r="CN121" s="27">
        <v>0.9358490566037736</v>
      </c>
      <c r="CO121" s="27">
        <v>0.94687791239515373</v>
      </c>
      <c r="CP121" s="27">
        <v>0.93307057377688152</v>
      </c>
      <c r="CQ121" s="27">
        <v>0.94280266920877021</v>
      </c>
      <c r="CR121" s="27">
        <v>0.93188268684957432</v>
      </c>
      <c r="CS121" s="27">
        <v>0.9145299145299145</v>
      </c>
      <c r="CT121" s="27">
        <v>0.92169811320754713</v>
      </c>
      <c r="CU121" s="27">
        <v>0.93708293612964733</v>
      </c>
      <c r="CV121" s="27">
        <v>0.91973559962228513</v>
      </c>
      <c r="CW121" s="27">
        <v>0.91722169362511896</v>
      </c>
      <c r="CX121" s="27">
        <v>0.92642194473897965</v>
      </c>
    </row>
    <row r="122" spans="38:102" x14ac:dyDescent="0.35">
      <c r="AL122" s="16" t="s">
        <v>304</v>
      </c>
      <c r="AM122" s="27">
        <v>0.90203562340966925</v>
      </c>
      <c r="AN122" s="27">
        <v>0.88335517693315857</v>
      </c>
      <c r="AO122" s="27">
        <v>0.84955752212389379</v>
      </c>
      <c r="AP122" s="27">
        <v>0.84743589743589742</v>
      </c>
      <c r="AQ122" s="27">
        <v>0.92803030303030298</v>
      </c>
      <c r="AR122" s="27">
        <v>0.90218790218790224</v>
      </c>
      <c r="AS122" s="27">
        <v>0.90051020408163263</v>
      </c>
      <c r="AT122" s="27">
        <v>0.88758751845749384</v>
      </c>
      <c r="AU122" s="27">
        <v>0.8867924528301887</v>
      </c>
      <c r="AV122" s="27">
        <v>0.86588541666666663</v>
      </c>
      <c r="AW122" s="27">
        <v>0.84898477157360408</v>
      </c>
      <c r="AX122" s="27">
        <v>0.83787289234760054</v>
      </c>
      <c r="AY122" s="27">
        <v>0.88874680306905374</v>
      </c>
      <c r="AZ122" s="27">
        <v>0.91709183673469385</v>
      </c>
      <c r="BA122" s="27">
        <v>0.90909090909090906</v>
      </c>
      <c r="BB122" s="27">
        <v>0.87920929747324528</v>
      </c>
      <c r="BC122" s="27">
        <v>0.91847133757961785</v>
      </c>
      <c r="BD122" s="27">
        <v>0.86842105263157898</v>
      </c>
      <c r="BE122" s="27">
        <v>0.8493506493506493</v>
      </c>
      <c r="BF122" s="27">
        <v>0.83203125</v>
      </c>
      <c r="BG122" s="27">
        <v>0.91464968152866244</v>
      </c>
      <c r="BH122" s="27">
        <v>0.90153452685421998</v>
      </c>
      <c r="BI122" s="27">
        <v>0.89897698209718668</v>
      </c>
      <c r="BJ122" s="27">
        <v>0.88334792572027354</v>
      </c>
      <c r="BK122" s="27">
        <v>0.88556566970091022</v>
      </c>
      <c r="BL122" s="27">
        <v>0.85430463576158944</v>
      </c>
      <c r="BM122" s="27">
        <v>0.83942558746736295</v>
      </c>
      <c r="BN122" s="27">
        <v>0.80774365821094796</v>
      </c>
      <c r="BO122" s="27">
        <v>0.89896373056994816</v>
      </c>
      <c r="BP122" s="27">
        <v>0.88159588159588165</v>
      </c>
      <c r="BQ122" s="27">
        <v>0.89583333333333337</v>
      </c>
      <c r="BR122" s="27">
        <v>0.86620464237713901</v>
      </c>
      <c r="BS122" s="27">
        <v>0.66396761133603244</v>
      </c>
      <c r="BT122" s="27">
        <v>0.80645161290322576</v>
      </c>
      <c r="BU122" s="27">
        <v>0.7174515235457064</v>
      </c>
      <c r="BV122" s="27">
        <v>0.77631578947368418</v>
      </c>
      <c r="BW122" s="27">
        <v>0.6977715877437326</v>
      </c>
      <c r="BX122" s="27">
        <v>0.78755074424898508</v>
      </c>
      <c r="BY122" s="27">
        <v>0.68493150684931503</v>
      </c>
      <c r="BZ122" s="27">
        <v>0.73349148230009731</v>
      </c>
      <c r="CA122" s="27">
        <v>0.82288828337874664</v>
      </c>
      <c r="CB122" s="27">
        <v>0.76839237057220711</v>
      </c>
      <c r="CC122" s="27">
        <v>0.81440443213296398</v>
      </c>
      <c r="CD122" s="27">
        <v>0.79436619718309864</v>
      </c>
      <c r="CE122" s="27">
        <v>0.77503429355281206</v>
      </c>
      <c r="CF122" s="27">
        <v>0.80848153214774277</v>
      </c>
      <c r="CG122" s="27">
        <v>0.78296703296703296</v>
      </c>
      <c r="CH122" s="27">
        <v>0.79521916313351493</v>
      </c>
      <c r="CI122" s="27">
        <v>0.90407358738501975</v>
      </c>
      <c r="CJ122" s="27">
        <v>0.77200000000000002</v>
      </c>
      <c r="CK122" s="27">
        <v>0.85084306095979245</v>
      </c>
      <c r="CL122" s="27">
        <v>0.82222222222222219</v>
      </c>
      <c r="CM122" s="27">
        <v>0.86780104712041883</v>
      </c>
      <c r="CN122" s="27">
        <v>0.84836601307189541</v>
      </c>
      <c r="CO122" s="27">
        <v>0.84856396866840733</v>
      </c>
      <c r="CP122" s="27">
        <v>0.84483855706110789</v>
      </c>
      <c r="CQ122" s="27">
        <v>0.93121693121693117</v>
      </c>
      <c r="CR122" s="27">
        <v>0.85638998682476941</v>
      </c>
      <c r="CS122" s="27">
        <v>0.87354838709677418</v>
      </c>
      <c r="CT122" s="27">
        <v>0.85170603674540679</v>
      </c>
      <c r="CU122" s="27">
        <v>0.90563564875491476</v>
      </c>
      <c r="CV122" s="27">
        <v>0.89591567852437415</v>
      </c>
      <c r="CW122" s="27">
        <v>0.89790575916230364</v>
      </c>
      <c r="CX122" s="27">
        <v>0.88747406118935346</v>
      </c>
    </row>
    <row r="123" spans="38:102" x14ac:dyDescent="0.35">
      <c r="AL123" s="16" t="s">
        <v>305</v>
      </c>
      <c r="AM123" s="27">
        <v>0.9419124218051832</v>
      </c>
      <c r="AN123" s="27">
        <v>0.94897045658012535</v>
      </c>
      <c r="AO123" s="27">
        <v>0.90518783542039361</v>
      </c>
      <c r="AP123" s="27">
        <v>0.92665474060822894</v>
      </c>
      <c r="AQ123" s="27">
        <v>0.94906166219839139</v>
      </c>
      <c r="AR123" s="27">
        <v>0.97413024085637823</v>
      </c>
      <c r="AS123" s="27">
        <v>0.98302055406613043</v>
      </c>
      <c r="AT123" s="27">
        <v>0.94699113021926162</v>
      </c>
      <c r="AU123" s="27">
        <v>0.9361510791366906</v>
      </c>
      <c r="AV123" s="27">
        <v>0.93029490616621979</v>
      </c>
      <c r="AW123" s="27">
        <v>0.90171325518485124</v>
      </c>
      <c r="AX123" s="27">
        <v>0.87881508078994619</v>
      </c>
      <c r="AY123" s="27">
        <v>0.91510277033065235</v>
      </c>
      <c r="AZ123" s="27">
        <v>0.93800539083557954</v>
      </c>
      <c r="BA123" s="27">
        <v>0.93626570915619389</v>
      </c>
      <c r="BB123" s="27">
        <v>0.91947831308573336</v>
      </c>
      <c r="BC123" s="27">
        <v>0.90876565295169942</v>
      </c>
      <c r="BD123" s="27">
        <v>0.89821428571428574</v>
      </c>
      <c r="BE123" s="27">
        <v>0.88789237668161436</v>
      </c>
      <c r="BF123" s="27">
        <v>0.91136974037600715</v>
      </c>
      <c r="BG123" s="27">
        <v>0.92121754700089531</v>
      </c>
      <c r="BH123" s="27">
        <v>0.90705987488829309</v>
      </c>
      <c r="BI123" s="27">
        <v>0.92039355992844363</v>
      </c>
      <c r="BJ123" s="27">
        <v>0.90784471964874836</v>
      </c>
      <c r="BK123" s="27">
        <v>0.90672645739910318</v>
      </c>
      <c r="BL123" s="27">
        <v>0.94344703770197491</v>
      </c>
      <c r="BM123" s="27">
        <v>0.87623318385650228</v>
      </c>
      <c r="BN123" s="27">
        <v>0.87007168458781359</v>
      </c>
      <c r="BO123" s="27">
        <v>0.91860465116279066</v>
      </c>
      <c r="BP123" s="27">
        <v>0.9427549194991055</v>
      </c>
      <c r="BQ123" s="27">
        <v>0.9464285714285714</v>
      </c>
      <c r="BR123" s="27">
        <v>0.91489521509083738</v>
      </c>
      <c r="BS123" s="27">
        <v>0.81127012522361364</v>
      </c>
      <c r="BT123" s="27">
        <v>0.87623318385650228</v>
      </c>
      <c r="BU123" s="27">
        <v>0.83992805755395683</v>
      </c>
      <c r="BV123" s="27">
        <v>0.8699551569506726</v>
      </c>
      <c r="BW123" s="27">
        <v>0.78513876454789611</v>
      </c>
      <c r="BX123" s="27">
        <v>0.83706356311548791</v>
      </c>
      <c r="BY123" s="27">
        <v>0.7436594202898551</v>
      </c>
      <c r="BZ123" s="27">
        <v>0.82332118164828338</v>
      </c>
      <c r="CA123" s="27">
        <v>0.94816800714924043</v>
      </c>
      <c r="CB123" s="27">
        <v>0.93291592128801426</v>
      </c>
      <c r="CC123" s="27">
        <v>0.92569382273948075</v>
      </c>
      <c r="CD123" s="27">
        <v>0.928379588182632</v>
      </c>
      <c r="CE123" s="27">
        <v>0.93738819320214672</v>
      </c>
      <c r="CF123" s="27">
        <v>0.9427036705461056</v>
      </c>
      <c r="CG123" s="27">
        <v>0.90339892665474064</v>
      </c>
      <c r="CH123" s="27">
        <v>0.93123544710890871</v>
      </c>
      <c r="CI123" s="27">
        <v>0.91510277033065235</v>
      </c>
      <c r="CJ123" s="27">
        <v>0.96071428571428574</v>
      </c>
      <c r="CK123" s="27">
        <v>0.89624329159212879</v>
      </c>
      <c r="CL123" s="27">
        <v>0.87209302325581395</v>
      </c>
      <c r="CM123" s="27">
        <v>0.94364937388193204</v>
      </c>
      <c r="CN123" s="27">
        <v>0.96253345227475473</v>
      </c>
      <c r="CO123" s="27">
        <v>0.95503597122302153</v>
      </c>
      <c r="CP123" s="27">
        <v>0.92933888118179842</v>
      </c>
      <c r="CQ123" s="27">
        <v>0.94633273703041143</v>
      </c>
      <c r="CR123" s="27">
        <v>0.9309417040358744</v>
      </c>
      <c r="CS123" s="27">
        <v>0.93985637342908435</v>
      </c>
      <c r="CT123" s="27">
        <v>0.92569382273948075</v>
      </c>
      <c r="CU123" s="27">
        <v>0.9444941808415398</v>
      </c>
      <c r="CV123" s="27">
        <v>0.9301700984780662</v>
      </c>
      <c r="CW123" s="27">
        <v>0.93649373881932019</v>
      </c>
      <c r="CX123" s="27">
        <v>0.93628323648196832</v>
      </c>
    </row>
    <row r="124" spans="38:102" x14ac:dyDescent="0.35">
      <c r="AL124" s="16" t="s">
        <v>306</v>
      </c>
      <c r="AM124" s="27">
        <v>0.98060606060606059</v>
      </c>
      <c r="AN124" s="27">
        <v>0.98059037606146382</v>
      </c>
      <c r="AO124" s="27">
        <v>0.97731875253138922</v>
      </c>
      <c r="AP124" s="27">
        <v>0.97302737520128824</v>
      </c>
      <c r="AQ124" s="27">
        <v>0.98061389337641358</v>
      </c>
      <c r="AR124" s="27">
        <v>0.98388396454472204</v>
      </c>
      <c r="AS124" s="27">
        <v>0.99191919191919187</v>
      </c>
      <c r="AT124" s="27">
        <v>0.98113708774864705</v>
      </c>
      <c r="AU124" s="27">
        <v>0.98344771901493744</v>
      </c>
      <c r="AV124" s="27">
        <v>0.97705314009661837</v>
      </c>
      <c r="AW124" s="27">
        <v>0.9692058346839546</v>
      </c>
      <c r="AX124" s="27">
        <v>0.97572815533980584</v>
      </c>
      <c r="AY124" s="27">
        <v>0.98179611650485432</v>
      </c>
      <c r="AZ124" s="27">
        <v>0.98988673139158578</v>
      </c>
      <c r="BA124" s="27">
        <v>0.98870056497175141</v>
      </c>
      <c r="BB124" s="27">
        <v>0.98083118028621552</v>
      </c>
      <c r="BC124" s="27">
        <v>0.97906602254428343</v>
      </c>
      <c r="BD124" s="27">
        <v>0.98136142625607781</v>
      </c>
      <c r="BE124" s="27">
        <v>0.96274038461538458</v>
      </c>
      <c r="BF124" s="27">
        <v>0.96824758842443726</v>
      </c>
      <c r="BG124" s="27">
        <v>0.97982243744955611</v>
      </c>
      <c r="BH124" s="27">
        <v>0.97665995975855135</v>
      </c>
      <c r="BI124" s="27">
        <v>0.97341925090616188</v>
      </c>
      <c r="BJ124" s="27">
        <v>0.97447386713635031</v>
      </c>
      <c r="BK124" s="27">
        <v>0.95791177660866045</v>
      </c>
      <c r="BL124" s="27">
        <v>0.98271704180064312</v>
      </c>
      <c r="BM124" s="27">
        <v>0.95197740112994356</v>
      </c>
      <c r="BN124" s="27">
        <v>0.96448748991121869</v>
      </c>
      <c r="BO124" s="27">
        <v>0.96649172385950743</v>
      </c>
      <c r="BP124" s="27">
        <v>0.98390342052313884</v>
      </c>
      <c r="BQ124" s="27">
        <v>0.98151868220168748</v>
      </c>
      <c r="BR124" s="27">
        <v>0.96985821943354278</v>
      </c>
      <c r="BS124" s="27">
        <v>0.95966115369100446</v>
      </c>
      <c r="BT124" s="27">
        <v>0.97337636143606288</v>
      </c>
      <c r="BU124" s="27">
        <v>0.95309340881520421</v>
      </c>
      <c r="BV124" s="27">
        <v>0.94581479983825312</v>
      </c>
      <c r="BW124" s="27">
        <v>0.92958316471064351</v>
      </c>
      <c r="BX124" s="27">
        <v>0.95737836751105754</v>
      </c>
      <c r="BY124" s="27">
        <v>0.91980558930741185</v>
      </c>
      <c r="BZ124" s="27">
        <v>0.94838754932994818</v>
      </c>
      <c r="CA124" s="27">
        <v>0.97017331721080213</v>
      </c>
      <c r="CB124" s="27">
        <v>0.97051696284329558</v>
      </c>
      <c r="CC124" s="27">
        <v>0.96890145395799676</v>
      </c>
      <c r="CD124" s="27">
        <v>0.98869143780290791</v>
      </c>
      <c r="CE124" s="27">
        <v>0.97259169689641278</v>
      </c>
      <c r="CF124" s="27">
        <v>0.96335078534031415</v>
      </c>
      <c r="CG124" s="27">
        <v>0.96095008051529796</v>
      </c>
      <c r="CH124" s="27">
        <v>0.97073939065243242</v>
      </c>
      <c r="CI124" s="27">
        <v>0.97872340425531912</v>
      </c>
      <c r="CJ124" s="27">
        <v>0.99153567110036278</v>
      </c>
      <c r="CK124" s="27">
        <v>0.96368038740920092</v>
      </c>
      <c r="CL124" s="27">
        <v>0.98067632850241548</v>
      </c>
      <c r="CM124" s="27">
        <v>0.98431214802896216</v>
      </c>
      <c r="CN124" s="27">
        <v>0.99195171026156936</v>
      </c>
      <c r="CO124" s="27">
        <v>0.9838709677419355</v>
      </c>
      <c r="CP124" s="27">
        <v>0.98210723104282349</v>
      </c>
      <c r="CQ124" s="27">
        <v>0.98230088495575218</v>
      </c>
      <c r="CR124" s="27">
        <v>0.97901533494753834</v>
      </c>
      <c r="CS124" s="27">
        <v>0.97167138810198306</v>
      </c>
      <c r="CT124" s="27">
        <v>0.97733711048158645</v>
      </c>
      <c r="CU124" s="27">
        <v>0.98393574297188757</v>
      </c>
      <c r="CV124" s="27">
        <v>0.96736502820306203</v>
      </c>
      <c r="CW124" s="27">
        <v>0.97657512116316636</v>
      </c>
      <c r="CX124" s="27">
        <v>0.97688580154642524</v>
      </c>
    </row>
    <row r="125" spans="38:102" x14ac:dyDescent="0.35">
      <c r="AL125" s="16" t="s">
        <v>307</v>
      </c>
      <c r="AM125" s="27">
        <v>0.92607003891050588</v>
      </c>
      <c r="AN125" s="27">
        <v>0.9028846153846154</v>
      </c>
      <c r="AO125" s="27">
        <v>0.9064327485380117</v>
      </c>
      <c r="AP125" s="27">
        <v>0.89351403678606001</v>
      </c>
      <c r="AQ125" s="27">
        <v>0.94396135265700487</v>
      </c>
      <c r="AR125" s="27">
        <v>0.92850241545893719</v>
      </c>
      <c r="AS125" s="27">
        <v>0.92495126705653019</v>
      </c>
      <c r="AT125" s="27">
        <v>0.9180452106845236</v>
      </c>
      <c r="AU125" s="27">
        <v>0.9296875</v>
      </c>
      <c r="AV125" s="27">
        <v>0.91577928363988381</v>
      </c>
      <c r="AW125" s="27">
        <v>0.9455445544554455</v>
      </c>
      <c r="AX125" s="27">
        <v>0.95186640471512773</v>
      </c>
      <c r="AY125" s="27">
        <v>0.93023255813953487</v>
      </c>
      <c r="AZ125" s="27">
        <v>0.93731918997107044</v>
      </c>
      <c r="BA125" s="27">
        <v>0.93173076923076925</v>
      </c>
      <c r="BB125" s="27">
        <v>0.93459432287883304</v>
      </c>
      <c r="BC125" s="27">
        <v>0.93617021276595747</v>
      </c>
      <c r="BD125" s="27">
        <v>0.92151162790697672</v>
      </c>
      <c r="BE125" s="27">
        <v>0.92527040314650932</v>
      </c>
      <c r="BF125" s="27">
        <v>0.92610837438423643</v>
      </c>
      <c r="BG125" s="27">
        <v>0.93461538461538463</v>
      </c>
      <c r="BH125" s="27">
        <v>0.92248062015503873</v>
      </c>
      <c r="BI125" s="27">
        <v>0.92292870905587665</v>
      </c>
      <c r="BJ125" s="27">
        <v>0.92701219028999726</v>
      </c>
      <c r="BK125" s="27">
        <v>0.92692307692307696</v>
      </c>
      <c r="BL125" s="27">
        <v>0.92585365853658541</v>
      </c>
      <c r="BM125" s="27">
        <v>0.93100097181729835</v>
      </c>
      <c r="BN125" s="27">
        <v>0.923828125</v>
      </c>
      <c r="BO125" s="27">
        <v>0.94680851063829785</v>
      </c>
      <c r="BP125" s="27">
        <v>0.93113482056256058</v>
      </c>
      <c r="BQ125" s="27">
        <v>0.9542801556420234</v>
      </c>
      <c r="BR125" s="27">
        <v>0.93426133130283462</v>
      </c>
      <c r="BS125" s="27">
        <v>0.89400000000000002</v>
      </c>
      <c r="BT125" s="27">
        <v>0.90163934426229508</v>
      </c>
      <c r="BU125" s="27">
        <v>0.89338598223099708</v>
      </c>
      <c r="BV125" s="27">
        <v>0.87925998052580334</v>
      </c>
      <c r="BW125" s="27">
        <v>0.87244897959183676</v>
      </c>
      <c r="BX125" s="27">
        <v>0.89581304771178194</v>
      </c>
      <c r="BY125" s="27">
        <v>0.84394250513347024</v>
      </c>
      <c r="BZ125" s="27">
        <v>0.88292711992231199</v>
      </c>
      <c r="CA125" s="27">
        <v>0.8919431279620853</v>
      </c>
      <c r="CB125" s="27">
        <v>0.88846520495710202</v>
      </c>
      <c r="CC125" s="27">
        <v>0.90785645004849658</v>
      </c>
      <c r="CD125" s="27">
        <v>0.88022813688212931</v>
      </c>
      <c r="CE125" s="27">
        <v>0.87464387464387461</v>
      </c>
      <c r="CF125" s="27">
        <v>0.8946360153256705</v>
      </c>
      <c r="CG125" s="27">
        <v>0.86538461538461542</v>
      </c>
      <c r="CH125" s="27">
        <v>0.88616534645771061</v>
      </c>
      <c r="CI125" s="27">
        <v>0.91578947368421049</v>
      </c>
      <c r="CJ125" s="27">
        <v>0.88587464920486436</v>
      </c>
      <c r="CK125" s="27">
        <v>0.90751445086705207</v>
      </c>
      <c r="CL125" s="27">
        <v>0.90220517737296257</v>
      </c>
      <c r="CM125" s="27">
        <v>0.92606635071090049</v>
      </c>
      <c r="CN125" s="27">
        <v>0.88547486033519551</v>
      </c>
      <c r="CO125" s="27">
        <v>0.90656799259944498</v>
      </c>
      <c r="CP125" s="27">
        <v>0.90421327925351869</v>
      </c>
      <c r="CQ125" s="27">
        <v>0.90986717267552186</v>
      </c>
      <c r="CR125" s="27">
        <v>0.92212725546058882</v>
      </c>
      <c r="CS125" s="27">
        <v>0.90675547098001907</v>
      </c>
      <c r="CT125" s="27">
        <v>0.90307101727447214</v>
      </c>
      <c r="CU125" s="27">
        <v>0.9082308420056765</v>
      </c>
      <c r="CV125" s="27">
        <v>0.92722117202268428</v>
      </c>
      <c r="CW125" s="27">
        <v>0.90761904761904766</v>
      </c>
      <c r="CX125" s="27">
        <v>0.91212742543400149</v>
      </c>
    </row>
    <row r="126" spans="38:102" x14ac:dyDescent="0.35">
      <c r="AL126" s="16" t="s">
        <v>308</v>
      </c>
      <c r="AM126" s="27">
        <v>0.98797409805735426</v>
      </c>
      <c r="AN126" s="27">
        <v>0.99353049907578561</v>
      </c>
      <c r="AO126" s="27">
        <v>0.98424467099165891</v>
      </c>
      <c r="AP126" s="27">
        <v>0.97872340425531912</v>
      </c>
      <c r="AQ126" s="27">
        <v>0.98982423681776133</v>
      </c>
      <c r="AR126" s="27">
        <v>0.9907749077490775</v>
      </c>
      <c r="AS126" s="27">
        <v>0.9898336414048059</v>
      </c>
      <c r="AT126" s="27">
        <v>0.98784363690739474</v>
      </c>
      <c r="AU126" s="27">
        <v>0.99261992619926198</v>
      </c>
      <c r="AV126" s="27">
        <v>0.98797409805735426</v>
      </c>
      <c r="AW126" s="27">
        <v>0.97506925207756234</v>
      </c>
      <c r="AX126" s="27">
        <v>0.97502312673450509</v>
      </c>
      <c r="AY126" s="27">
        <v>0.98800738007380073</v>
      </c>
      <c r="AZ126" s="27">
        <v>0.97783933518005539</v>
      </c>
      <c r="BA126" s="27">
        <v>0.97414589104339799</v>
      </c>
      <c r="BB126" s="27">
        <v>0.9815255727665626</v>
      </c>
      <c r="BC126" s="27">
        <v>0.98055555555555551</v>
      </c>
      <c r="BD126" s="27">
        <v>0.987072945521699</v>
      </c>
      <c r="BE126" s="27">
        <v>0.96011131725417442</v>
      </c>
      <c r="BF126" s="27">
        <v>0.9636533084808947</v>
      </c>
      <c r="BG126" s="27">
        <v>0.98427382053654022</v>
      </c>
      <c r="BH126" s="27">
        <v>0.97506925207756234</v>
      </c>
      <c r="BI126" s="27">
        <v>0.98611111111111116</v>
      </c>
      <c r="BJ126" s="27">
        <v>0.97669247293393391</v>
      </c>
      <c r="BK126" s="27">
        <v>0.98057354301572619</v>
      </c>
      <c r="BL126" s="27">
        <v>0.98607242339832868</v>
      </c>
      <c r="BM126" s="27">
        <v>0.9524253731343284</v>
      </c>
      <c r="BN126" s="27">
        <v>0.9524253731343284</v>
      </c>
      <c r="BO126" s="27">
        <v>0.96947271045328398</v>
      </c>
      <c r="BP126" s="27">
        <v>0.96843082636954503</v>
      </c>
      <c r="BQ126" s="27">
        <v>0.98146431881371643</v>
      </c>
      <c r="BR126" s="27">
        <v>0.97012350975989392</v>
      </c>
      <c r="BS126" s="27">
        <v>0.93638914873713752</v>
      </c>
      <c r="BT126" s="27">
        <v>0.96648044692737434</v>
      </c>
      <c r="BU126" s="27">
        <v>0.93831775700934583</v>
      </c>
      <c r="BV126" s="27">
        <v>0.95716945996275604</v>
      </c>
      <c r="BW126" s="27">
        <v>0.89981273408239704</v>
      </c>
      <c r="BX126" s="27">
        <v>0.95522388059701491</v>
      </c>
      <c r="BY126" s="27">
        <v>0.89981273408239704</v>
      </c>
      <c r="BZ126" s="27">
        <v>0.93617230877120328</v>
      </c>
      <c r="CA126" s="27">
        <v>0.98156682027649766</v>
      </c>
      <c r="CB126" s="27">
        <v>0.97209302325581393</v>
      </c>
      <c r="CC126" s="27">
        <v>0.9605866177818515</v>
      </c>
      <c r="CD126" s="27">
        <v>0.9588665447897623</v>
      </c>
      <c r="CE126" s="27">
        <v>0.98618784530386738</v>
      </c>
      <c r="CF126" s="27">
        <v>0.96744186046511627</v>
      </c>
      <c r="CG126" s="27">
        <v>0.96385542168674698</v>
      </c>
      <c r="CH126" s="27">
        <v>0.97008544765137927</v>
      </c>
      <c r="CI126" s="27">
        <v>0.98438934802571165</v>
      </c>
      <c r="CJ126" s="27">
        <v>0.97977941176470584</v>
      </c>
      <c r="CK126" s="27">
        <v>0.97887970615243347</v>
      </c>
      <c r="CL126" s="27">
        <v>0.98526703499079193</v>
      </c>
      <c r="CM126" s="27">
        <v>0.98161764705882348</v>
      </c>
      <c r="CN126" s="27">
        <v>0.98154981549815501</v>
      </c>
      <c r="CO126" s="27">
        <v>0.9824074074074074</v>
      </c>
      <c r="CP126" s="27">
        <v>0.98198433869971846</v>
      </c>
      <c r="CQ126" s="27">
        <v>0.97250229147571032</v>
      </c>
      <c r="CR126" s="27">
        <v>0.98988970588235292</v>
      </c>
      <c r="CS126" s="27">
        <v>0.95496323529411764</v>
      </c>
      <c r="CT126" s="27">
        <v>0.96975252062328143</v>
      </c>
      <c r="CU126" s="27">
        <v>0.97779833487511558</v>
      </c>
      <c r="CV126" s="27">
        <v>0.98622589531680438</v>
      </c>
      <c r="CW126" s="27">
        <v>0.99261311172668509</v>
      </c>
      <c r="CX126" s="27">
        <v>0.97767787074200962</v>
      </c>
    </row>
    <row r="127" spans="38:102" x14ac:dyDescent="0.35">
      <c r="AL127" s="16" t="s">
        <v>309</v>
      </c>
      <c r="AM127" s="27">
        <v>0.94409377817853923</v>
      </c>
      <c r="AN127" s="27">
        <v>0.91139240506329111</v>
      </c>
      <c r="AO127" s="27">
        <v>0.91181818181818186</v>
      </c>
      <c r="AP127" s="27">
        <v>0.89680365296803655</v>
      </c>
      <c r="AQ127" s="27">
        <v>0.9460431654676259</v>
      </c>
      <c r="AR127" s="27">
        <v>0.93738819320214672</v>
      </c>
      <c r="AS127" s="27">
        <v>0.94915254237288138</v>
      </c>
      <c r="AT127" s="27">
        <v>0.92809884558152889</v>
      </c>
      <c r="AU127" s="27">
        <v>0.93454545454545457</v>
      </c>
      <c r="AV127" s="27">
        <v>0.92915531335149859</v>
      </c>
      <c r="AW127" s="27">
        <v>0.94</v>
      </c>
      <c r="AX127" s="27">
        <v>0.93303167420814481</v>
      </c>
      <c r="AY127" s="27">
        <v>0.93682310469314078</v>
      </c>
      <c r="AZ127" s="27">
        <v>0.94459582198001812</v>
      </c>
      <c r="BA127" s="27">
        <v>0.96018099547511315</v>
      </c>
      <c r="BB127" s="27">
        <v>0.93976176632191</v>
      </c>
      <c r="BC127" s="27">
        <v>0.9536784741144414</v>
      </c>
      <c r="BD127" s="27">
        <v>0.93333333333333335</v>
      </c>
      <c r="BE127" s="27">
        <v>0.94550408719346046</v>
      </c>
      <c r="BF127" s="27">
        <v>0.92391304347826086</v>
      </c>
      <c r="BG127" s="27">
        <v>0.95281306715063518</v>
      </c>
      <c r="BH127" s="27">
        <v>0.9559352517985612</v>
      </c>
      <c r="BI127" s="27">
        <v>0.95549500454132608</v>
      </c>
      <c r="BJ127" s="27">
        <v>0.94581032308714552</v>
      </c>
      <c r="BK127" s="27">
        <v>0.93806921675774135</v>
      </c>
      <c r="BL127" s="27">
        <v>0.92889288928892888</v>
      </c>
      <c r="BM127" s="27">
        <v>0.94545454545454544</v>
      </c>
      <c r="BN127" s="27">
        <v>0.93498168498168499</v>
      </c>
      <c r="BO127" s="27">
        <v>0.93495934959349591</v>
      </c>
      <c r="BP127" s="27">
        <v>0.96032461677186653</v>
      </c>
      <c r="BQ127" s="27">
        <v>0.94579945799457998</v>
      </c>
      <c r="BR127" s="27">
        <v>0.94121168012040612</v>
      </c>
      <c r="BS127" s="27">
        <v>0.91862567811934903</v>
      </c>
      <c r="BT127" s="27">
        <v>0.94584837545126355</v>
      </c>
      <c r="BU127" s="27">
        <v>0.94855595667870041</v>
      </c>
      <c r="BV127" s="27">
        <v>0.93666369313113296</v>
      </c>
      <c r="BW127" s="27">
        <v>0.88014638609332119</v>
      </c>
      <c r="BX127" s="27">
        <v>0.91666666666666663</v>
      </c>
      <c r="BY127" s="27">
        <v>0.85334555453712191</v>
      </c>
      <c r="BZ127" s="27">
        <v>0.91426461581107943</v>
      </c>
      <c r="CA127" s="27">
        <v>0.94107299912049247</v>
      </c>
      <c r="CB127" s="27">
        <v>0.93777388255915861</v>
      </c>
      <c r="CC127" s="27">
        <v>0.946284691136974</v>
      </c>
      <c r="CD127" s="27">
        <v>0.94154676258992809</v>
      </c>
      <c r="CE127" s="27">
        <v>0.9369527145359019</v>
      </c>
      <c r="CF127" s="27">
        <v>0.95410414827890555</v>
      </c>
      <c r="CG127" s="27">
        <v>0.93215859030837001</v>
      </c>
      <c r="CH127" s="27">
        <v>0.94141339836139004</v>
      </c>
      <c r="CI127" s="27">
        <v>0.97241992882562278</v>
      </c>
      <c r="CJ127" s="27">
        <v>0.946524064171123</v>
      </c>
      <c r="CK127" s="27">
        <v>0.94538943598925695</v>
      </c>
      <c r="CL127" s="27">
        <v>0.92376681614349776</v>
      </c>
      <c r="CM127" s="27">
        <v>0.9677708146821844</v>
      </c>
      <c r="CN127" s="27">
        <v>0.96988485385296719</v>
      </c>
      <c r="CO127" s="27">
        <v>0.96279893711248887</v>
      </c>
      <c r="CP127" s="27">
        <v>0.95550783582530596</v>
      </c>
      <c r="CQ127" s="27">
        <v>0.93974820143884896</v>
      </c>
      <c r="CR127" s="27">
        <v>0.93721973094170408</v>
      </c>
      <c r="CS127" s="27">
        <v>0.91359135913591361</v>
      </c>
      <c r="CT127" s="27">
        <v>0.89655172413793105</v>
      </c>
      <c r="CU127" s="27">
        <v>0.95442359249329756</v>
      </c>
      <c r="CV127" s="27">
        <v>0.9503985828166519</v>
      </c>
      <c r="CW127" s="27">
        <v>0.95632798573975042</v>
      </c>
      <c r="CX127" s="27">
        <v>0.93546588238629957</v>
      </c>
    </row>
    <row r="128" spans="38:102" x14ac:dyDescent="0.35">
      <c r="AL128" s="16" t="s">
        <v>310</v>
      </c>
      <c r="AM128" s="27">
        <v>0.94161575016972165</v>
      </c>
      <c r="AN128" s="27">
        <v>0.93528610354223429</v>
      </c>
      <c r="AO128" s="27">
        <v>0.937584803256445</v>
      </c>
      <c r="AP128" s="27">
        <v>0.94073569482288832</v>
      </c>
      <c r="AQ128" s="27">
        <v>0.93990546927751517</v>
      </c>
      <c r="AR128" s="27">
        <v>0.95144976399190828</v>
      </c>
      <c r="AS128" s="27">
        <v>0.9434343434343434</v>
      </c>
      <c r="AT128" s="27">
        <v>0.9414302754992937</v>
      </c>
      <c r="AU128" s="27">
        <v>0.93987975951903813</v>
      </c>
      <c r="AV128" s="27">
        <v>0.94061433447098974</v>
      </c>
      <c r="AW128" s="27">
        <v>0.93171061528059496</v>
      </c>
      <c r="AX128" s="27">
        <v>0.93220338983050843</v>
      </c>
      <c r="AY128" s="27">
        <v>0.96318607764390896</v>
      </c>
      <c r="AZ128" s="27">
        <v>0.95102040816326527</v>
      </c>
      <c r="BA128" s="27">
        <v>0.94605529332434257</v>
      </c>
      <c r="BB128" s="27">
        <v>0.94352426831894964</v>
      </c>
      <c r="BC128" s="27">
        <v>0.91339648173207033</v>
      </c>
      <c r="BD128" s="27">
        <v>0.94436906377204888</v>
      </c>
      <c r="BE128" s="27">
        <v>0.90060851926977692</v>
      </c>
      <c r="BF128" s="27">
        <v>0.90921318090114323</v>
      </c>
      <c r="BG128" s="27">
        <v>0.91</v>
      </c>
      <c r="BH128" s="27">
        <v>0.94414535666218036</v>
      </c>
      <c r="BI128" s="27">
        <v>0.91661107404936626</v>
      </c>
      <c r="BJ128" s="27">
        <v>0.91976338234094079</v>
      </c>
      <c r="BK128" s="27">
        <v>0.91172506738544479</v>
      </c>
      <c r="BL128" s="27">
        <v>0.92276422764227639</v>
      </c>
      <c r="BM128" s="27">
        <v>0.91186440677966096</v>
      </c>
      <c r="BN128" s="27">
        <v>0.88978494623655913</v>
      </c>
      <c r="BO128" s="27">
        <v>0.94064872325741888</v>
      </c>
      <c r="BP128" s="27">
        <v>0.91307277628032346</v>
      </c>
      <c r="BQ128" s="27">
        <v>0.93840830449826984</v>
      </c>
      <c r="BR128" s="27">
        <v>0.91832406458285043</v>
      </c>
      <c r="BS128" s="27">
        <v>0.89466484268125857</v>
      </c>
      <c r="BT128" s="27">
        <v>0.91587516960651294</v>
      </c>
      <c r="BU128" s="27">
        <v>0.89877717391304346</v>
      </c>
      <c r="BV128" s="27">
        <v>0.90601757944557137</v>
      </c>
      <c r="BW128" s="27">
        <v>0.84809264305177112</v>
      </c>
      <c r="BX128" s="27">
        <v>0.89615643964935943</v>
      </c>
      <c r="BY128" s="27">
        <v>0.83355886332882279</v>
      </c>
      <c r="BZ128" s="27">
        <v>0.88473467309661991</v>
      </c>
      <c r="CA128" s="27">
        <v>0.93888515782404303</v>
      </c>
      <c r="CB128" s="27">
        <v>0.92062415196743552</v>
      </c>
      <c r="CC128" s="27">
        <v>0.9394946808510638</v>
      </c>
      <c r="CD128" s="27">
        <v>0.93408788282290278</v>
      </c>
      <c r="CE128" s="27">
        <v>0.93075356415478616</v>
      </c>
      <c r="CF128" s="27">
        <v>0.92163429336905556</v>
      </c>
      <c r="CG128" s="27">
        <v>0.91532258064516125</v>
      </c>
      <c r="CH128" s="27">
        <v>0.92868604451920689</v>
      </c>
      <c r="CI128" s="27">
        <v>0.92968221771467208</v>
      </c>
      <c r="CJ128" s="27">
        <v>0.94304635761589406</v>
      </c>
      <c r="CK128" s="27">
        <v>0.9337349397590361</v>
      </c>
      <c r="CL128" s="27">
        <v>0.93605442176870746</v>
      </c>
      <c r="CM128" s="27">
        <v>0.93582887700534756</v>
      </c>
      <c r="CN128" s="27">
        <v>0.92727272727272725</v>
      </c>
      <c r="CO128" s="27">
        <v>0.93874833555259651</v>
      </c>
      <c r="CP128" s="27">
        <v>0.93490969666985446</v>
      </c>
      <c r="CQ128" s="27">
        <v>0.94192256341789049</v>
      </c>
      <c r="CR128" s="27">
        <v>0.92281651997291803</v>
      </c>
      <c r="CS128" s="27">
        <v>0.92756539235412472</v>
      </c>
      <c r="CT128" s="27">
        <v>0.93657219973009442</v>
      </c>
      <c r="CU128" s="27">
        <v>0.9538461538461539</v>
      </c>
      <c r="CV128" s="27">
        <v>0.94470667565745114</v>
      </c>
      <c r="CW128" s="27">
        <v>0.95427034297242774</v>
      </c>
      <c r="CX128" s="27">
        <v>0.94024283542158016</v>
      </c>
    </row>
    <row r="129" spans="38:102" x14ac:dyDescent="0.35">
      <c r="AL129" s="16" t="s">
        <v>311</v>
      </c>
      <c r="AM129" s="27">
        <v>0.93009820912767183</v>
      </c>
      <c r="AN129" s="27">
        <v>0.93526011560693645</v>
      </c>
      <c r="AO129" s="27">
        <v>0.90699017908723278</v>
      </c>
      <c r="AP129" s="27">
        <v>0.91276718659734257</v>
      </c>
      <c r="AQ129" s="27">
        <v>0.95147313691507795</v>
      </c>
      <c r="AR129" s="27">
        <v>0.93410404624277454</v>
      </c>
      <c r="AS129" s="27">
        <v>0.94444444444444442</v>
      </c>
      <c r="AT129" s="27">
        <v>0.93073390257449717</v>
      </c>
      <c r="AU129" s="27">
        <v>0.93314121037463982</v>
      </c>
      <c r="AV129" s="27">
        <v>0.92564841498559081</v>
      </c>
      <c r="AW129" s="27">
        <v>0.91637831603229525</v>
      </c>
      <c r="AX129" s="27">
        <v>0.93598615916955019</v>
      </c>
      <c r="AY129" s="27">
        <v>0.93141210374639771</v>
      </c>
      <c r="AZ129" s="27">
        <v>0.94351585014409223</v>
      </c>
      <c r="BA129" s="27">
        <v>0.94812680115273773</v>
      </c>
      <c r="BB129" s="27">
        <v>0.93345840794361479</v>
      </c>
      <c r="BC129" s="27">
        <v>0.90861769809138226</v>
      </c>
      <c r="BD129" s="27">
        <v>0.93829296424452135</v>
      </c>
      <c r="BE129" s="27">
        <v>0.89473684210526316</v>
      </c>
      <c r="BF129" s="27">
        <v>0.91035280508964722</v>
      </c>
      <c r="BG129" s="27">
        <v>0.94035900405327155</v>
      </c>
      <c r="BH129" s="27">
        <v>0.95370370370370372</v>
      </c>
      <c r="BI129" s="27">
        <v>0.92579710144927541</v>
      </c>
      <c r="BJ129" s="27">
        <v>0.92455144553386626</v>
      </c>
      <c r="BK129" s="27">
        <v>0.90835734870316998</v>
      </c>
      <c r="BL129" s="27">
        <v>0.91377314814814814</v>
      </c>
      <c r="BM129" s="27">
        <v>0.90662824207492798</v>
      </c>
      <c r="BN129" s="27">
        <v>0.89855907780979827</v>
      </c>
      <c r="BO129" s="27">
        <v>0.91983852364475205</v>
      </c>
      <c r="BP129" s="27">
        <v>0.9174841315637623</v>
      </c>
      <c r="BQ129" s="27">
        <v>0.90767455279861509</v>
      </c>
      <c r="BR129" s="27">
        <v>0.91033071782045349</v>
      </c>
      <c r="BS129" s="27">
        <v>0.83285302593659938</v>
      </c>
      <c r="BT129" s="27">
        <v>0.91066282420749278</v>
      </c>
      <c r="BU129" s="27">
        <v>0.86167146974063402</v>
      </c>
      <c r="BV129" s="27">
        <v>0.87665706051873193</v>
      </c>
      <c r="BW129" s="27">
        <v>0.78559077809798272</v>
      </c>
      <c r="BX129" s="27">
        <v>0.87665706051873193</v>
      </c>
      <c r="BY129" s="27">
        <v>0.76541786743515849</v>
      </c>
      <c r="BZ129" s="27">
        <v>0.84421572663647593</v>
      </c>
      <c r="CA129" s="27">
        <v>0.91757925072046109</v>
      </c>
      <c r="CB129" s="27">
        <v>0.91676300578034686</v>
      </c>
      <c r="CC129" s="27">
        <v>0.88414985590778095</v>
      </c>
      <c r="CD129" s="27">
        <v>0.91700288184438039</v>
      </c>
      <c r="CE129" s="27">
        <v>0.90144092219020178</v>
      </c>
      <c r="CF129" s="27">
        <v>0.91815561959654179</v>
      </c>
      <c r="CG129" s="27">
        <v>0.88357348703170024</v>
      </c>
      <c r="CH129" s="27">
        <v>0.90552357472448752</v>
      </c>
      <c r="CI129" s="27">
        <v>0.92910662824207491</v>
      </c>
      <c r="CJ129" s="27">
        <v>0.93429394812680111</v>
      </c>
      <c r="CK129" s="27">
        <v>0.90778097982708938</v>
      </c>
      <c r="CL129" s="27">
        <v>0.89510086455331417</v>
      </c>
      <c r="CM129" s="27">
        <v>0.94812680115273773</v>
      </c>
      <c r="CN129" s="27">
        <v>0.95677233429394815</v>
      </c>
      <c r="CO129" s="27">
        <v>0.94236311239193082</v>
      </c>
      <c r="CP129" s="27">
        <v>0.93050638122684237</v>
      </c>
      <c r="CQ129" s="27">
        <v>0.96655132641291808</v>
      </c>
      <c r="CR129" s="27">
        <v>0.91176470588235292</v>
      </c>
      <c r="CS129" s="27">
        <v>0.94117647058823528</v>
      </c>
      <c r="CT129" s="27">
        <v>0.93598615916955019</v>
      </c>
      <c r="CU129" s="27">
        <v>0.96195965417867435</v>
      </c>
      <c r="CV129" s="27">
        <v>0.93717579250720462</v>
      </c>
      <c r="CW129" s="27">
        <v>0.95273775216138323</v>
      </c>
      <c r="CX129" s="27">
        <v>0.94390740870004564</v>
      </c>
    </row>
    <row r="130" spans="38:102" x14ac:dyDescent="0.35">
      <c r="AL130" s="16" t="s">
        <v>312</v>
      </c>
      <c r="AM130" s="27">
        <v>0.8833592534992224</v>
      </c>
      <c r="AN130" s="27">
        <v>0.88064516129032255</v>
      </c>
      <c r="AO130" s="27">
        <v>0.90016638935108151</v>
      </c>
      <c r="AP130" s="27">
        <v>0.92282430213464695</v>
      </c>
      <c r="AQ130" s="27">
        <v>0.89147286821705429</v>
      </c>
      <c r="AR130" s="27">
        <v>0.87906976744186049</v>
      </c>
      <c r="AS130" s="27">
        <v>0.86976744186046506</v>
      </c>
      <c r="AT130" s="27">
        <v>0.88961502625637912</v>
      </c>
      <c r="AU130" s="27">
        <v>0.88798701298701299</v>
      </c>
      <c r="AV130" s="27">
        <v>0.92207792207792205</v>
      </c>
      <c r="AW130" s="27">
        <v>0.87928221859706357</v>
      </c>
      <c r="AX130" s="27">
        <v>0.90953947368421051</v>
      </c>
      <c r="AY130" s="27">
        <v>0.90115321252059311</v>
      </c>
      <c r="AZ130" s="27">
        <v>0.90686274509803921</v>
      </c>
      <c r="BA130" s="27">
        <v>0.92195121951219516</v>
      </c>
      <c r="BB130" s="27">
        <v>0.90412197206814804</v>
      </c>
      <c r="BC130" s="27">
        <v>0.92654424040066774</v>
      </c>
      <c r="BD130" s="27">
        <v>0.92985318107667214</v>
      </c>
      <c r="BE130" s="27">
        <v>0.88372093023255816</v>
      </c>
      <c r="BF130" s="27">
        <v>0.89112227805695143</v>
      </c>
      <c r="BG130" s="27">
        <v>0.91399662731871834</v>
      </c>
      <c r="BH130" s="27">
        <v>0.91993464052287577</v>
      </c>
      <c r="BI130" s="27">
        <v>0.90998363338788868</v>
      </c>
      <c r="BJ130" s="27">
        <v>0.91073650442804754</v>
      </c>
      <c r="BK130" s="27">
        <v>0.88</v>
      </c>
      <c r="BL130" s="27">
        <v>0.89915966386554624</v>
      </c>
      <c r="BM130" s="27">
        <v>0.87458745874587462</v>
      </c>
      <c r="BN130" s="27">
        <v>0.86326194398682043</v>
      </c>
      <c r="BO130" s="27">
        <v>0.91205211726384361</v>
      </c>
      <c r="BP130" s="27">
        <v>0.91530944625407162</v>
      </c>
      <c r="BQ130" s="27">
        <v>0.91909385113268605</v>
      </c>
      <c r="BR130" s="27">
        <v>0.89478064017840619</v>
      </c>
      <c r="BS130" s="27">
        <v>0.83728813559322035</v>
      </c>
      <c r="BT130" s="27">
        <v>0.87768595041322317</v>
      </c>
      <c r="BU130" s="27">
        <v>0.83220338983050846</v>
      </c>
      <c r="BV130" s="27">
        <v>0.86904761904761907</v>
      </c>
      <c r="BW130" s="27">
        <v>0.79357021996615906</v>
      </c>
      <c r="BX130" s="27">
        <v>0.82579564489112223</v>
      </c>
      <c r="BY130" s="27">
        <v>0.76149914821124365</v>
      </c>
      <c r="BZ130" s="27">
        <v>0.828155729707585</v>
      </c>
      <c r="CA130" s="27">
        <v>0.90645161290322585</v>
      </c>
      <c r="CB130" s="27">
        <v>0.90235690235690236</v>
      </c>
      <c r="CC130" s="27">
        <v>0.89070146818923324</v>
      </c>
      <c r="CD130" s="27">
        <v>0.89070146818923324</v>
      </c>
      <c r="CE130" s="27">
        <v>0.88613861386138615</v>
      </c>
      <c r="CF130" s="27">
        <v>0.89869281045751637</v>
      </c>
      <c r="CG130" s="27">
        <v>0.88524590163934425</v>
      </c>
      <c r="CH130" s="27">
        <v>0.89432696822812019</v>
      </c>
      <c r="CI130" s="27">
        <v>0.9</v>
      </c>
      <c r="CJ130" s="27">
        <v>0.81451612903225812</v>
      </c>
      <c r="CK130" s="27">
        <v>0.89523809523809528</v>
      </c>
      <c r="CL130" s="27">
        <v>0.87039999999999995</v>
      </c>
      <c r="CM130" s="27">
        <v>0.8972712680577849</v>
      </c>
      <c r="CN130" s="27">
        <v>0.9060509554140127</v>
      </c>
      <c r="CO130" s="27">
        <v>0.89855072463768115</v>
      </c>
      <c r="CP130" s="27">
        <v>0.88314673891140472</v>
      </c>
      <c r="CQ130" s="27">
        <v>0.88529886914378031</v>
      </c>
      <c r="CR130" s="27">
        <v>0.88095238095238093</v>
      </c>
      <c r="CS130" s="27">
        <v>0.88676236044657097</v>
      </c>
      <c r="CT130" s="27">
        <v>0.82176656151419558</v>
      </c>
      <c r="CU130" s="27">
        <v>0.89936102236421722</v>
      </c>
      <c r="CV130" s="27">
        <v>0.88235294117647056</v>
      </c>
      <c r="CW130" s="27">
        <v>0.88480000000000003</v>
      </c>
      <c r="CX130" s="27">
        <v>0.87732773365680228</v>
      </c>
    </row>
    <row r="131" spans="38:102" x14ac:dyDescent="0.35">
      <c r="AL131" s="16" t="s">
        <v>313</v>
      </c>
      <c r="AM131" s="27">
        <v>0.94354838709677424</v>
      </c>
      <c r="AN131" s="27">
        <v>0.9486803519061584</v>
      </c>
      <c r="AO131" s="27">
        <v>0.92302052785923749</v>
      </c>
      <c r="AP131" s="27">
        <v>0.9039589442815249</v>
      </c>
      <c r="AQ131" s="27">
        <v>0.95747800586510268</v>
      </c>
      <c r="AR131" s="27">
        <v>0.97140762463343111</v>
      </c>
      <c r="AS131" s="27">
        <v>0.96920821114369504</v>
      </c>
      <c r="AT131" s="27">
        <v>0.94532886468370336</v>
      </c>
      <c r="AU131" s="27">
        <v>0.96480938416422291</v>
      </c>
      <c r="AV131" s="27">
        <v>0.93181818181818177</v>
      </c>
      <c r="AW131" s="27">
        <v>0.92815249266862165</v>
      </c>
      <c r="AX131" s="27">
        <v>0.91275659824046917</v>
      </c>
      <c r="AY131" s="27">
        <v>0.95381231671554256</v>
      </c>
      <c r="AZ131" s="27">
        <v>0.94648093841642233</v>
      </c>
      <c r="BA131" s="27">
        <v>0.95747800586510268</v>
      </c>
      <c r="BB131" s="27">
        <v>0.94218684541265196</v>
      </c>
      <c r="BC131" s="27">
        <v>0.9486803519061584</v>
      </c>
      <c r="BD131" s="27">
        <v>0.93548387096774188</v>
      </c>
      <c r="BE131" s="27">
        <v>0.92448680351906154</v>
      </c>
      <c r="BF131" s="27">
        <v>0.93328445747800581</v>
      </c>
      <c r="BG131" s="27">
        <v>0.967741935483871</v>
      </c>
      <c r="BH131" s="27">
        <v>0.96700879765395897</v>
      </c>
      <c r="BI131" s="27">
        <v>0.97067448680351909</v>
      </c>
      <c r="BJ131" s="27">
        <v>0.94962295768747385</v>
      </c>
      <c r="BK131" s="27">
        <v>0.92285714285714282</v>
      </c>
      <c r="BL131" s="27">
        <v>0.94941348973607043</v>
      </c>
      <c r="BM131" s="27">
        <v>0.89857142857142858</v>
      </c>
      <c r="BN131" s="27">
        <v>0.87285714285714289</v>
      </c>
      <c r="BO131" s="27">
        <v>0.85117302052785926</v>
      </c>
      <c r="BP131" s="27">
        <v>0.96031746031746035</v>
      </c>
      <c r="BQ131" s="27">
        <v>0.95887445887445888</v>
      </c>
      <c r="BR131" s="27">
        <v>0.91629487767736617</v>
      </c>
      <c r="BS131" s="27">
        <v>0.8621428571428571</v>
      </c>
      <c r="BT131" s="27">
        <v>0.89</v>
      </c>
      <c r="BU131" s="27">
        <v>0.8671428571428571</v>
      </c>
      <c r="BV131" s="27">
        <v>0.87642857142857145</v>
      </c>
      <c r="BW131" s="27">
        <v>0.8214285714285714</v>
      </c>
      <c r="BX131" s="27">
        <v>0.87642857142857145</v>
      </c>
      <c r="BY131" s="27">
        <v>0.80714285714285716</v>
      </c>
      <c r="BZ131" s="27">
        <v>0.85724489795918368</v>
      </c>
      <c r="CA131" s="27">
        <v>0.92571428571428571</v>
      </c>
      <c r="CB131" s="27">
        <v>0.90071428571428569</v>
      </c>
      <c r="CC131" s="27">
        <v>0.90500000000000003</v>
      </c>
      <c r="CD131" s="27">
        <v>0.89</v>
      </c>
      <c r="CE131" s="27">
        <v>0.90428571428571425</v>
      </c>
      <c r="CF131" s="27">
        <v>0.93500000000000005</v>
      </c>
      <c r="CG131" s="27">
        <v>0.90857142857142859</v>
      </c>
      <c r="CH131" s="27">
        <v>0.90989795918367355</v>
      </c>
      <c r="CI131" s="27">
        <v>0.94071428571428573</v>
      </c>
      <c r="CJ131" s="27">
        <v>0.91857142857142859</v>
      </c>
      <c r="CK131" s="27">
        <v>0.91928571428571426</v>
      </c>
      <c r="CL131" s="27">
        <v>0.9235714285714286</v>
      </c>
      <c r="CM131" s="27">
        <v>0.95785714285714285</v>
      </c>
      <c r="CN131" s="27">
        <v>0.93857142857142861</v>
      </c>
      <c r="CO131" s="27">
        <v>0.96285714285714286</v>
      </c>
      <c r="CP131" s="27">
        <v>0.93734693877551012</v>
      </c>
      <c r="CQ131" s="27">
        <v>0.91214285714285714</v>
      </c>
      <c r="CR131" s="27">
        <v>0.92500000000000004</v>
      </c>
      <c r="CS131" s="27">
        <v>0.91285714285714281</v>
      </c>
      <c r="CT131" s="27">
        <v>0.91857142857142859</v>
      </c>
      <c r="CU131" s="27">
        <v>0.93142857142857138</v>
      </c>
      <c r="CV131" s="27">
        <v>0.94785714285714284</v>
      </c>
      <c r="CW131" s="27">
        <v>0.93928571428571428</v>
      </c>
      <c r="CX131" s="27">
        <v>0.92673469387755092</v>
      </c>
    </row>
    <row r="132" spans="38:102" x14ac:dyDescent="0.35">
      <c r="AL132" s="16" t="s">
        <v>314</v>
      </c>
      <c r="AM132" s="27">
        <v>0.90079716563330381</v>
      </c>
      <c r="AN132" s="27">
        <v>0.90276538804638717</v>
      </c>
      <c r="AO132" s="27">
        <v>0.89884649511978709</v>
      </c>
      <c r="AP132" s="27">
        <v>0.89539007092198586</v>
      </c>
      <c r="AQ132" s="27">
        <v>0.90998217468805709</v>
      </c>
      <c r="AR132" s="27">
        <v>0.89524647887323938</v>
      </c>
      <c r="AS132" s="27">
        <v>0.90852575488454712</v>
      </c>
      <c r="AT132" s="27">
        <v>0.9016505040239009</v>
      </c>
      <c r="AU132" s="27">
        <v>0.89698046181172286</v>
      </c>
      <c r="AV132" s="27">
        <v>0.89132340052585446</v>
      </c>
      <c r="AW132" s="27">
        <v>0.87745974955277284</v>
      </c>
      <c r="AX132" s="27">
        <v>0.88093106535362575</v>
      </c>
      <c r="AY132" s="27">
        <v>0.90391459074733094</v>
      </c>
      <c r="AZ132" s="27">
        <v>0.90274093722369586</v>
      </c>
      <c r="BA132" s="27">
        <v>0.9023957409050577</v>
      </c>
      <c r="BB132" s="27">
        <v>0.89367799230286582</v>
      </c>
      <c r="BC132" s="27">
        <v>0.8908765652951699</v>
      </c>
      <c r="BD132" s="27">
        <v>0.88437775816416597</v>
      </c>
      <c r="BE132" s="27">
        <v>0.87288888888888894</v>
      </c>
      <c r="BF132" s="27">
        <v>0.87599645704162976</v>
      </c>
      <c r="BG132" s="27">
        <v>0.8999106344950849</v>
      </c>
      <c r="BH132" s="27">
        <v>0.90722569134701159</v>
      </c>
      <c r="BI132" s="27">
        <v>0.90168290522586358</v>
      </c>
      <c r="BJ132" s="27">
        <v>0.89042270006540225</v>
      </c>
      <c r="BK132" s="27">
        <v>0.88025594149908593</v>
      </c>
      <c r="BL132" s="27">
        <v>0.8872246696035242</v>
      </c>
      <c r="BM132" s="27">
        <v>0.852054794520548</v>
      </c>
      <c r="BN132" s="27">
        <v>0.85414767547857795</v>
      </c>
      <c r="BO132" s="27">
        <v>0.90826521344232514</v>
      </c>
      <c r="BP132" s="27">
        <v>0.89244444444444448</v>
      </c>
      <c r="BQ132" s="27">
        <v>0.90265486725663713</v>
      </c>
      <c r="BR132" s="27">
        <v>0.88243537232073466</v>
      </c>
      <c r="BS132" s="27">
        <v>0.848512173128945</v>
      </c>
      <c r="BT132" s="27">
        <v>0.86166365280289325</v>
      </c>
      <c r="BU132" s="27">
        <v>0.86932849364791287</v>
      </c>
      <c r="BV132" s="27">
        <v>0.87149321266968327</v>
      </c>
      <c r="BW132" s="27">
        <v>0.82708142726440992</v>
      </c>
      <c r="BX132" s="27">
        <v>0.8445454545454546</v>
      </c>
      <c r="BY132" s="27">
        <v>0.79707495429616093</v>
      </c>
      <c r="BZ132" s="27">
        <v>0.84567133833649422</v>
      </c>
      <c r="CA132" s="27">
        <v>0.90276538804638717</v>
      </c>
      <c r="CB132" s="27">
        <v>0.88630259623992835</v>
      </c>
      <c r="CC132" s="27">
        <v>0.89317773788150812</v>
      </c>
      <c r="CD132" s="27">
        <v>0.8922800718132855</v>
      </c>
      <c r="CE132" s="27">
        <v>0.88789237668161436</v>
      </c>
      <c r="CF132" s="27">
        <v>0.89028776978417268</v>
      </c>
      <c r="CG132" s="27">
        <v>0.88437217705510385</v>
      </c>
      <c r="CH132" s="27">
        <v>0.89101115964314281</v>
      </c>
      <c r="CI132" s="27">
        <v>0.90349264705882348</v>
      </c>
      <c r="CJ132" s="27">
        <v>0.90169794459338692</v>
      </c>
      <c r="CK132" s="27">
        <v>0.90548204158790169</v>
      </c>
      <c r="CL132" s="27">
        <v>0.91129785247432304</v>
      </c>
      <c r="CM132" s="27">
        <v>0.91125343092406219</v>
      </c>
      <c r="CN132" s="27">
        <v>0.90187332738626225</v>
      </c>
      <c r="CO132" s="27">
        <v>0.91040723981900451</v>
      </c>
      <c r="CP132" s="27">
        <v>0.90650064054910917</v>
      </c>
      <c r="CQ132" s="27">
        <v>0.92314990512333961</v>
      </c>
      <c r="CR132" s="27">
        <v>0.9200743494423792</v>
      </c>
      <c r="CS132" s="27">
        <v>0.92125237191650855</v>
      </c>
      <c r="CT132" s="27">
        <v>0.93862134088762983</v>
      </c>
      <c r="CU132" s="27">
        <v>0.93067426400759734</v>
      </c>
      <c r="CV132" s="27">
        <v>0.93058161350844282</v>
      </c>
      <c r="CW132" s="27">
        <v>0.92242194891201512</v>
      </c>
      <c r="CX132" s="27">
        <v>0.92668225625684453</v>
      </c>
    </row>
    <row r="133" spans="38:102" x14ac:dyDescent="0.35">
      <c r="AL133" s="16" t="s">
        <v>315</v>
      </c>
      <c r="AM133" s="27">
        <v>0.97034135422495804</v>
      </c>
      <c r="AN133" s="27">
        <v>0.9582156973461321</v>
      </c>
      <c r="AO133" s="27">
        <v>0.97034135422495804</v>
      </c>
      <c r="AP133" s="27">
        <v>0.97034135422495804</v>
      </c>
      <c r="AQ133" s="27">
        <v>0.97034135422495804</v>
      </c>
      <c r="AR133" s="27">
        <v>0.96588971006253554</v>
      </c>
      <c r="AS133" s="27">
        <v>0.96491228070175439</v>
      </c>
      <c r="AT133" s="27">
        <v>0.96719758643003639</v>
      </c>
      <c r="AU133" s="27">
        <v>0.954185520361991</v>
      </c>
      <c r="AV133" s="27">
        <v>0.96117051209904336</v>
      </c>
      <c r="AW133" s="27">
        <v>0.9538461538461539</v>
      </c>
      <c r="AX133" s="27">
        <v>0.95300113250283125</v>
      </c>
      <c r="AY133" s="27">
        <v>0.95852017937219736</v>
      </c>
      <c r="AZ133" s="27">
        <v>0.96350364963503654</v>
      </c>
      <c r="BA133" s="27">
        <v>0.96925656791503634</v>
      </c>
      <c r="BB133" s="27">
        <v>0.95906910224746988</v>
      </c>
      <c r="BC133" s="27">
        <v>0.95809739524348814</v>
      </c>
      <c r="BD133" s="27">
        <v>0.96048970506399556</v>
      </c>
      <c r="BE133" s="27">
        <v>0.95809739524348814</v>
      </c>
      <c r="BF133" s="27">
        <v>0.95809739524348814</v>
      </c>
      <c r="BG133" s="27">
        <v>0.95891952729319074</v>
      </c>
      <c r="BH133" s="27">
        <v>0.9575892857142857</v>
      </c>
      <c r="BI133" s="27">
        <v>0.95979899497487442</v>
      </c>
      <c r="BJ133" s="27">
        <v>0.95872709982525861</v>
      </c>
      <c r="BK133" s="27">
        <v>0.96596710153148047</v>
      </c>
      <c r="BL133" s="27">
        <v>0.95649717514124288</v>
      </c>
      <c r="BM133" s="27">
        <v>0.95904436860068254</v>
      </c>
      <c r="BN133" s="27">
        <v>0.95842824601366738</v>
      </c>
      <c r="BO133" s="27">
        <v>0.96373937677053823</v>
      </c>
      <c r="BP133" s="27">
        <v>0.9640852974186308</v>
      </c>
      <c r="BQ133" s="27">
        <v>0.96497175141242941</v>
      </c>
      <c r="BR133" s="27">
        <v>0.96181904526981021</v>
      </c>
      <c r="BS133" s="27">
        <v>0.90898617511520741</v>
      </c>
      <c r="BT133" s="27">
        <v>0.93686006825938561</v>
      </c>
      <c r="BU133" s="27">
        <v>0.90898617511520741</v>
      </c>
      <c r="BV133" s="27">
        <v>0.90898617511520741</v>
      </c>
      <c r="BW133" s="27">
        <v>0.93413516609392899</v>
      </c>
      <c r="BX133" s="27">
        <v>0.93413516609392899</v>
      </c>
      <c r="BY133" s="27">
        <v>0.93413516609392899</v>
      </c>
      <c r="BZ133" s="27">
        <v>0.92374629884097081</v>
      </c>
      <c r="CA133" s="27">
        <v>0.96308539944903582</v>
      </c>
      <c r="CB133" s="27">
        <v>0.95280898876404496</v>
      </c>
      <c r="CC133" s="27">
        <v>0.96308539944903582</v>
      </c>
      <c r="CD133" s="27">
        <v>0.96308539944903582</v>
      </c>
      <c r="CE133" s="27">
        <v>0.94799321650650081</v>
      </c>
      <c r="CF133" s="27">
        <v>0.95158597662771283</v>
      </c>
      <c r="CG133" s="27">
        <v>0.95158597662771283</v>
      </c>
      <c r="CH133" s="27">
        <v>0.95617576526758263</v>
      </c>
      <c r="CI133" s="27">
        <v>0.94496942745969981</v>
      </c>
      <c r="CJ133" s="27">
        <v>0.9590387766247952</v>
      </c>
      <c r="CK133" s="27">
        <v>0.94534300055772447</v>
      </c>
      <c r="CL133" s="27">
        <v>0.94789915966386551</v>
      </c>
      <c r="CM133" s="27">
        <v>0.95902547065337762</v>
      </c>
      <c r="CN133" s="27">
        <v>0.96082698585418935</v>
      </c>
      <c r="CO133" s="27">
        <v>0.96534653465346532</v>
      </c>
      <c r="CP133" s="27">
        <v>0.95463562220958831</v>
      </c>
      <c r="CQ133" s="27">
        <v>0.94456762749445677</v>
      </c>
      <c r="CR133" s="27">
        <v>0.9574588769143505</v>
      </c>
      <c r="CS133" s="27">
        <v>0.94591611479028692</v>
      </c>
      <c r="CT133" s="27">
        <v>0.94591611479028692</v>
      </c>
      <c r="CU133" s="27">
        <v>0.94020844761382338</v>
      </c>
      <c r="CV133" s="27">
        <v>0.93329658213891953</v>
      </c>
      <c r="CW133" s="27">
        <v>0.9325594250967385</v>
      </c>
      <c r="CX133" s="27">
        <v>0.94284616983412317</v>
      </c>
    </row>
    <row r="134" spans="38:102" x14ac:dyDescent="0.35">
      <c r="AL134" s="16" t="s">
        <v>316</v>
      </c>
      <c r="AM134" s="27">
        <v>0.93816254416961131</v>
      </c>
      <c r="AN134" s="27">
        <v>0.97168141592920354</v>
      </c>
      <c r="AO134" s="27">
        <v>0.95583038869257952</v>
      </c>
      <c r="AP134" s="27">
        <v>0.95406360424028269</v>
      </c>
      <c r="AQ134" s="27">
        <v>0.95246478873239437</v>
      </c>
      <c r="AR134" s="27">
        <v>0.98233215547703179</v>
      </c>
      <c r="AS134" s="27">
        <v>0.95929203539823005</v>
      </c>
      <c r="AT134" s="27">
        <v>0.95911813323419037</v>
      </c>
      <c r="AU134" s="27">
        <v>0.95296167247386765</v>
      </c>
      <c r="AV134" s="27">
        <v>0.94885361552028213</v>
      </c>
      <c r="AW134" s="27">
        <v>0.95659722222222221</v>
      </c>
      <c r="AX134" s="27">
        <v>0.96341463414634143</v>
      </c>
      <c r="AY134" s="27">
        <v>0.95652173913043481</v>
      </c>
      <c r="AZ134" s="27">
        <v>0.94599303135888502</v>
      </c>
      <c r="BA134" s="27">
        <v>0.94385964912280707</v>
      </c>
      <c r="BB134" s="27">
        <v>0.95260022342497719</v>
      </c>
      <c r="BC134" s="27">
        <v>0.94107452339688047</v>
      </c>
      <c r="BD134" s="27">
        <v>0.95652173913043481</v>
      </c>
      <c r="BE134" s="27">
        <v>0.94809688581314877</v>
      </c>
      <c r="BF134" s="27">
        <v>0.93913043478260871</v>
      </c>
      <c r="BG134" s="27">
        <v>0.94755244755244761</v>
      </c>
      <c r="BH134" s="27">
        <v>0.94773519163763065</v>
      </c>
      <c r="BI134" s="27">
        <v>0.95454545454545459</v>
      </c>
      <c r="BJ134" s="27">
        <v>0.9478080966940865</v>
      </c>
      <c r="BK134" s="27">
        <v>0.9445407279029463</v>
      </c>
      <c r="BL134" s="27">
        <v>0.93728222996515675</v>
      </c>
      <c r="BM134" s="27">
        <v>1</v>
      </c>
      <c r="BN134" s="27">
        <v>0.94947735191637628</v>
      </c>
      <c r="BO134" s="27">
        <v>0.93706293706293708</v>
      </c>
      <c r="BP134" s="27">
        <v>0.93706293706293708</v>
      </c>
      <c r="BQ134" s="27">
        <v>0.93508771929824563</v>
      </c>
      <c r="BR134" s="27">
        <v>0.94864484331551402</v>
      </c>
      <c r="BS134" s="27">
        <v>0.91725352112676062</v>
      </c>
      <c r="BT134" s="27">
        <v>0.92682926829268297</v>
      </c>
      <c r="BU134" s="27">
        <v>0.93133802816901412</v>
      </c>
      <c r="BV134" s="27">
        <v>0.95422535211267601</v>
      </c>
      <c r="BW134" s="27">
        <v>0.87165775401069523</v>
      </c>
      <c r="BX134" s="27">
        <v>0.9194991055456172</v>
      </c>
      <c r="BY134" s="27">
        <v>0.88515901060070667</v>
      </c>
      <c r="BZ134" s="27">
        <v>0.91513743426545047</v>
      </c>
      <c r="CA134" s="27">
        <v>0.94425087108013939</v>
      </c>
      <c r="CB134" s="27">
        <v>0.94055944055944052</v>
      </c>
      <c r="CC134" s="27">
        <v>0.95296167247386765</v>
      </c>
      <c r="CD134" s="27">
        <v>0.97560975609756095</v>
      </c>
      <c r="CE134" s="27">
        <v>0.94250871080139376</v>
      </c>
      <c r="CF134" s="27">
        <v>0.94947735191637628</v>
      </c>
      <c r="CG134" s="27">
        <v>0.96341463414634143</v>
      </c>
      <c r="CH134" s="27">
        <v>0.95268320529644579</v>
      </c>
      <c r="CI134" s="27">
        <v>0.95993031358885017</v>
      </c>
      <c r="CJ134" s="27">
        <v>0.95644599303135891</v>
      </c>
      <c r="CK134" s="27">
        <v>0.94599303135888502</v>
      </c>
      <c r="CL134" s="27">
        <v>0.94947735191637628</v>
      </c>
      <c r="CM134" s="27">
        <v>0.96341463414634143</v>
      </c>
      <c r="CN134" s="27">
        <v>0.96347826086956523</v>
      </c>
      <c r="CO134" s="27">
        <v>0.95644599303135891</v>
      </c>
      <c r="CP134" s="27">
        <v>0.95645508256324796</v>
      </c>
      <c r="CQ134" s="27">
        <v>0.95818815331010454</v>
      </c>
      <c r="CR134" s="27">
        <v>0.94599303135888502</v>
      </c>
      <c r="CS134" s="27">
        <v>0.94250871080139376</v>
      </c>
      <c r="CT134" s="27">
        <v>0.95644599303135891</v>
      </c>
      <c r="CU134" s="27">
        <v>0.96335078534031415</v>
      </c>
      <c r="CV134" s="27">
        <v>0.94097222222222221</v>
      </c>
      <c r="CW134" s="27">
        <v>0.94589877835951131</v>
      </c>
      <c r="CX134" s="27">
        <v>0.95047966777482717</v>
      </c>
    </row>
    <row r="135" spans="38:102" x14ac:dyDescent="0.35">
      <c r="AL135" s="16" t="s">
        <v>317</v>
      </c>
      <c r="AM135" s="27">
        <v>0.9401408450704225</v>
      </c>
      <c r="AN135" s="27">
        <v>0.87937062937062938</v>
      </c>
      <c r="AO135" s="27">
        <v>0.93783303730017764</v>
      </c>
      <c r="AP135" s="27">
        <v>0.91388400702987693</v>
      </c>
      <c r="AQ135" s="27">
        <v>0.94773519163763065</v>
      </c>
      <c r="AR135" s="27">
        <v>0.95121951219512191</v>
      </c>
      <c r="AS135" s="27">
        <v>0.95121951219512191</v>
      </c>
      <c r="AT135" s="27">
        <v>0.93162896211414015</v>
      </c>
      <c r="AU135" s="27">
        <v>0.88441330998248691</v>
      </c>
      <c r="AV135" s="27">
        <v>0.93728222996515675</v>
      </c>
      <c r="AW135" s="27">
        <v>0.88441330998248691</v>
      </c>
      <c r="AX135" s="27">
        <v>0.96147110332749564</v>
      </c>
      <c r="AY135" s="27">
        <v>0.97217391304347822</v>
      </c>
      <c r="AZ135" s="27">
        <v>0.95847750865051906</v>
      </c>
      <c r="BA135" s="27">
        <v>0.95155709342560557</v>
      </c>
      <c r="BB135" s="27">
        <v>0.93568406691103267</v>
      </c>
      <c r="BC135" s="27">
        <v>0.94179894179894175</v>
      </c>
      <c r="BD135" s="27">
        <v>0.94982698961937717</v>
      </c>
      <c r="BE135" s="27">
        <v>0.9631578947368421</v>
      </c>
      <c r="BF135" s="27">
        <v>0.92794376098418274</v>
      </c>
      <c r="BG135" s="27">
        <v>0.94627383015597921</v>
      </c>
      <c r="BH135" s="27">
        <v>0.95344827586206893</v>
      </c>
      <c r="BI135" s="27">
        <v>0.94627383015597921</v>
      </c>
      <c r="BJ135" s="27">
        <v>0.94696050333048143</v>
      </c>
      <c r="BK135" s="27">
        <v>0.93728222996515675</v>
      </c>
      <c r="BL135" s="27">
        <v>0.95400340715502552</v>
      </c>
      <c r="BM135" s="27">
        <v>0.89770723104056438</v>
      </c>
      <c r="BN135" s="27">
        <v>0.90123456790123457</v>
      </c>
      <c r="BO135" s="27">
        <v>0.96193771626297575</v>
      </c>
      <c r="BP135" s="27">
        <v>0.94645941278065626</v>
      </c>
      <c r="BQ135" s="27">
        <v>0.95017182130584188</v>
      </c>
      <c r="BR135" s="27">
        <v>0.93554234091592214</v>
      </c>
      <c r="BS135" s="27">
        <v>0.87654320987654322</v>
      </c>
      <c r="BT135" s="27">
        <v>0.91826086956521735</v>
      </c>
      <c r="BU135" s="27">
        <v>0.8890845070422535</v>
      </c>
      <c r="BV135" s="27">
        <v>0.90509666080843587</v>
      </c>
      <c r="BW135" s="27">
        <v>0.84832451499118167</v>
      </c>
      <c r="BX135" s="27">
        <v>0.89298245614035088</v>
      </c>
      <c r="BY135" s="27">
        <v>0.81305114638447973</v>
      </c>
      <c r="BZ135" s="27">
        <v>0.87762048068692322</v>
      </c>
      <c r="CA135" s="27">
        <v>0.90299823633156961</v>
      </c>
      <c r="CB135" s="27">
        <v>0.92201039861351819</v>
      </c>
      <c r="CC135" s="27">
        <v>0.92592592592592593</v>
      </c>
      <c r="CD135" s="27">
        <v>0.93121693121693117</v>
      </c>
      <c r="CE135" s="27">
        <v>0.90299823633156961</v>
      </c>
      <c r="CF135" s="27">
        <v>0.92832764505119458</v>
      </c>
      <c r="CG135" s="27">
        <v>0.91754385964912277</v>
      </c>
      <c r="CH135" s="27">
        <v>0.91871731901711873</v>
      </c>
      <c r="CI135" s="27">
        <v>0.93717277486910999</v>
      </c>
      <c r="CJ135" s="27">
        <v>0.91887125220458554</v>
      </c>
      <c r="CK135" s="27">
        <v>0.94425087108013939</v>
      </c>
      <c r="CL135" s="27">
        <v>0.95059625212947185</v>
      </c>
      <c r="CM135" s="27">
        <v>0.93891797556719025</v>
      </c>
      <c r="CN135" s="27">
        <v>0.93827160493827155</v>
      </c>
      <c r="CO135" s="27">
        <v>0.9435626102292769</v>
      </c>
      <c r="CP135" s="27">
        <v>0.93880619157400658</v>
      </c>
      <c r="CQ135" s="27">
        <v>0.93902439024390238</v>
      </c>
      <c r="CR135" s="27">
        <v>0.96075085324232079</v>
      </c>
      <c r="CS135" s="27">
        <v>0.93760831889081453</v>
      </c>
      <c r="CT135" s="27">
        <v>0.93067590987868287</v>
      </c>
      <c r="CU135" s="27">
        <v>0.93333333333333335</v>
      </c>
      <c r="CV135" s="27">
        <v>0.95051194539249151</v>
      </c>
      <c r="CW135" s="27">
        <v>0.95517241379310347</v>
      </c>
      <c r="CX135" s="27">
        <v>0.94386816639637849</v>
      </c>
    </row>
    <row r="136" spans="38:102" x14ac:dyDescent="0.35">
      <c r="AL136" s="16" t="s">
        <v>318</v>
      </c>
      <c r="AM136" s="27">
        <v>0.91290824261275272</v>
      </c>
      <c r="AN136" s="27">
        <v>0.91937984496124026</v>
      </c>
      <c r="AO136" s="27">
        <v>0.89905362776025233</v>
      </c>
      <c r="AP136" s="27">
        <v>0.90282131661442011</v>
      </c>
      <c r="AQ136" s="27">
        <v>0.9148606811145511</v>
      </c>
      <c r="AR136" s="27">
        <v>0.92713178294573639</v>
      </c>
      <c r="AS136" s="27">
        <v>0.92414860681114552</v>
      </c>
      <c r="AT136" s="27">
        <v>0.9143291575457283</v>
      </c>
      <c r="AU136" s="27">
        <v>0.97941680960548883</v>
      </c>
      <c r="AV136" s="27">
        <v>0.91419656786271453</v>
      </c>
      <c r="AW136" s="27">
        <v>0.97413793103448276</v>
      </c>
      <c r="AX136" s="27">
        <v>0.97931034482758617</v>
      </c>
      <c r="AY136" s="27">
        <v>0.97495826377295491</v>
      </c>
      <c r="AZ136" s="27">
        <v>0.90979782270606535</v>
      </c>
      <c r="BA136" s="27">
        <v>0.91614906832298137</v>
      </c>
      <c r="BB136" s="27">
        <v>0.94970954401889629</v>
      </c>
      <c r="BC136" s="27">
        <v>0.91600633914421548</v>
      </c>
      <c r="BD136" s="27">
        <v>0.92551505546751189</v>
      </c>
      <c r="BE136" s="27">
        <v>0.90749601275917069</v>
      </c>
      <c r="BF136" s="27">
        <v>0.89743589743589747</v>
      </c>
      <c r="BG136" s="27">
        <v>0.88888888888888884</v>
      </c>
      <c r="BH136" s="27">
        <v>0.91469194312796209</v>
      </c>
      <c r="BI136" s="27">
        <v>0.9138755980861244</v>
      </c>
      <c r="BJ136" s="27">
        <v>0.90912996212996744</v>
      </c>
      <c r="BK136" s="27">
        <v>0.89698890649762286</v>
      </c>
      <c r="BL136" s="27">
        <v>0.90322580645161288</v>
      </c>
      <c r="BM136" s="27">
        <v>0.87138263665594851</v>
      </c>
      <c r="BN136" s="27">
        <v>0.89586776859504136</v>
      </c>
      <c r="BO136" s="27">
        <v>0.89808917197452232</v>
      </c>
      <c r="BP136" s="27">
        <v>0.90536277602523663</v>
      </c>
      <c r="BQ136" s="27">
        <v>0.90779014308426076</v>
      </c>
      <c r="BR136" s="27">
        <v>0.8969581727548922</v>
      </c>
      <c r="BS136" s="27">
        <v>0.92682926829268297</v>
      </c>
      <c r="BT136" s="27">
        <v>0.83110367892976589</v>
      </c>
      <c r="BU136" s="27">
        <v>0.94230769230769229</v>
      </c>
      <c r="BV136" s="27">
        <v>0.94300518134715028</v>
      </c>
      <c r="BW136" s="27">
        <v>0.88153310104529614</v>
      </c>
      <c r="BX136" s="27">
        <v>0.92013888888888884</v>
      </c>
      <c r="BY136" s="27">
        <v>0.87456445993031362</v>
      </c>
      <c r="BZ136" s="27">
        <v>0.9027831815345414</v>
      </c>
      <c r="CA136" s="27">
        <v>0.94557823129251706</v>
      </c>
      <c r="CB136" s="27">
        <v>0.9539249146757679</v>
      </c>
      <c r="CC136" s="27">
        <v>0.94529914529914527</v>
      </c>
      <c r="CD136" s="27">
        <v>0.95142378559463991</v>
      </c>
      <c r="CE136" s="27">
        <v>0.94300518134715028</v>
      </c>
      <c r="CF136" s="27">
        <v>0.96252129471890968</v>
      </c>
      <c r="CG136" s="27">
        <v>0.92385786802030456</v>
      </c>
      <c r="CH136" s="27">
        <v>0.94651577442120494</v>
      </c>
      <c r="CI136" s="27">
        <v>0.94207836456558769</v>
      </c>
      <c r="CJ136" s="27">
        <v>0.96321070234113715</v>
      </c>
      <c r="CK136" s="27">
        <v>0.95</v>
      </c>
      <c r="CL136" s="27">
        <v>0.93634840871021774</v>
      </c>
      <c r="CM136" s="27">
        <v>0.95238095238095233</v>
      </c>
      <c r="CN136" s="27">
        <v>0.96488294314381273</v>
      </c>
      <c r="CO136" s="27">
        <v>0.96140939597315433</v>
      </c>
      <c r="CP136" s="27">
        <v>0.95290153815926604</v>
      </c>
      <c r="CQ136" s="27">
        <v>0.95883361921097765</v>
      </c>
      <c r="CR136" s="27">
        <v>0.94352159468438535</v>
      </c>
      <c r="CS136" s="27">
        <v>0.96672504378283708</v>
      </c>
      <c r="CT136" s="27">
        <v>0.95986038394415363</v>
      </c>
      <c r="CU136" s="27">
        <v>0.95059625212947185</v>
      </c>
      <c r="CV136" s="27">
        <v>0.96632996632996637</v>
      </c>
      <c r="CW136" s="27">
        <v>0.95286195286195285</v>
      </c>
      <c r="CX136" s="27">
        <v>0.9569612589919636</v>
      </c>
    </row>
    <row r="137" spans="38:102" x14ac:dyDescent="0.35">
      <c r="AL137" s="16" t="s">
        <v>319</v>
      </c>
      <c r="AM137" s="27">
        <v>0.95258620689655171</v>
      </c>
      <c r="AN137" s="27">
        <v>0.93520518358531313</v>
      </c>
      <c r="AO137" s="27">
        <v>0.92841648590021697</v>
      </c>
      <c r="AP137" s="27">
        <v>0.92527472527472532</v>
      </c>
      <c r="AQ137" s="27">
        <v>0.95414847161572047</v>
      </c>
      <c r="AR137" s="27">
        <v>0.93534482758620685</v>
      </c>
      <c r="AS137" s="27">
        <v>0.93304535637149033</v>
      </c>
      <c r="AT137" s="27">
        <v>0.93771732246146067</v>
      </c>
      <c r="AU137" s="27">
        <v>0.95143487858719644</v>
      </c>
      <c r="AV137" s="27">
        <v>0.94989106753812635</v>
      </c>
      <c r="AW137" s="27">
        <v>0.95444685466377444</v>
      </c>
      <c r="AX137" s="27">
        <v>0.93965517241379315</v>
      </c>
      <c r="AY137" s="27">
        <v>0.93058568329718006</v>
      </c>
      <c r="AZ137" s="27">
        <v>0.95680345572354208</v>
      </c>
      <c r="BA137" s="27">
        <v>0.94805194805194803</v>
      </c>
      <c r="BB137" s="27">
        <v>0.94726700861079449</v>
      </c>
      <c r="BC137" s="27">
        <v>0.94635193133047213</v>
      </c>
      <c r="BD137" s="27">
        <v>0.93803418803418803</v>
      </c>
      <c r="BE137" s="27">
        <v>0.92374727668845313</v>
      </c>
      <c r="BF137" s="27">
        <v>0.92456896551724133</v>
      </c>
      <c r="BG137" s="27">
        <v>0.92677824267782427</v>
      </c>
      <c r="BH137" s="27">
        <v>0.94315789473684208</v>
      </c>
      <c r="BI137" s="27">
        <v>0.93191489361702129</v>
      </c>
      <c r="BJ137" s="27">
        <v>0.9335076275145775</v>
      </c>
      <c r="BK137" s="27">
        <v>0.94793926247288507</v>
      </c>
      <c r="BL137" s="27">
        <v>0.94805194805194803</v>
      </c>
      <c r="BM137" s="27">
        <v>0.94493392070484583</v>
      </c>
      <c r="BN137" s="27">
        <v>0.95414847161572047</v>
      </c>
      <c r="BO137" s="27">
        <v>0.94654788418708236</v>
      </c>
      <c r="BP137" s="27">
        <v>0.96263736263736266</v>
      </c>
      <c r="BQ137" s="27">
        <v>0.96475770925110127</v>
      </c>
      <c r="BR137" s="27">
        <v>0.95271665127442084</v>
      </c>
      <c r="BS137" s="27">
        <v>0.94493392070484583</v>
      </c>
      <c r="BT137" s="27">
        <v>0.95175438596491224</v>
      </c>
      <c r="BU137" s="27">
        <v>0.94759825327510916</v>
      </c>
      <c r="BV137" s="27">
        <v>0.93548387096774188</v>
      </c>
      <c r="BW137" s="27">
        <v>0.91574279379157431</v>
      </c>
      <c r="BX137" s="27">
        <v>0.93584070796460173</v>
      </c>
      <c r="BY137" s="27">
        <v>0.88539325842696626</v>
      </c>
      <c r="BZ137" s="27">
        <v>0.9309638844422502</v>
      </c>
      <c r="CA137" s="27">
        <v>0.94693877551020411</v>
      </c>
      <c r="CB137" s="27">
        <v>0.95071868583162222</v>
      </c>
      <c r="CC137" s="27">
        <v>0.93181818181818177</v>
      </c>
      <c r="CD137" s="27">
        <v>0.93333333333333335</v>
      </c>
      <c r="CE137" s="27">
        <v>0.95257731958762881</v>
      </c>
      <c r="CF137" s="27">
        <v>0.95473251028806583</v>
      </c>
      <c r="CG137" s="27">
        <v>0.94069529652351735</v>
      </c>
      <c r="CH137" s="27">
        <v>0.94440201469893625</v>
      </c>
      <c r="CI137" s="27">
        <v>0.94262295081967218</v>
      </c>
      <c r="CJ137" s="27">
        <v>0.94650205761316875</v>
      </c>
      <c r="CK137" s="27">
        <v>0.92355371900826444</v>
      </c>
      <c r="CL137" s="27">
        <v>0.93167701863354035</v>
      </c>
      <c r="CM137" s="27">
        <v>0.96537678207739308</v>
      </c>
      <c r="CN137" s="27">
        <v>0.95519348268839099</v>
      </c>
      <c r="CO137" s="27">
        <v>0.95092024539877296</v>
      </c>
      <c r="CP137" s="27">
        <v>0.94512089374845754</v>
      </c>
      <c r="CQ137" s="27">
        <v>0.96098562628336759</v>
      </c>
      <c r="CR137" s="27">
        <v>0.92693110647181631</v>
      </c>
      <c r="CS137" s="27">
        <v>0.93388429752066116</v>
      </c>
      <c r="CT137" s="27">
        <v>0.92723492723492729</v>
      </c>
      <c r="CU137" s="27">
        <v>0.95102040816326527</v>
      </c>
      <c r="CV137" s="27">
        <v>0.9524793388429752</v>
      </c>
      <c r="CW137" s="27">
        <v>0.95714285714285718</v>
      </c>
      <c r="CX137" s="27">
        <v>0.94423979452283857</v>
      </c>
    </row>
    <row r="138" spans="38:102" x14ac:dyDescent="0.35">
      <c r="AL138" s="16" t="s">
        <v>320</v>
      </c>
      <c r="AM138" s="27">
        <v>1</v>
      </c>
      <c r="AN138" s="27">
        <v>0.97328244274809161</v>
      </c>
      <c r="AO138" s="27">
        <v>1</v>
      </c>
      <c r="AP138" s="27">
        <v>0.99236641221374045</v>
      </c>
      <c r="AQ138" s="27">
        <v>1</v>
      </c>
      <c r="AR138" s="27">
        <v>0.99236641221374045</v>
      </c>
      <c r="AS138" s="27">
        <v>0.99236641221374045</v>
      </c>
      <c r="AT138" s="27">
        <v>0.99291166848418744</v>
      </c>
      <c r="AU138" s="27">
        <v>1</v>
      </c>
      <c r="AV138" s="27">
        <v>1</v>
      </c>
      <c r="AW138" s="27">
        <v>0.99618320610687028</v>
      </c>
      <c r="AX138" s="27">
        <v>0.99618320610687028</v>
      </c>
      <c r="AY138" s="27">
        <v>1</v>
      </c>
      <c r="AZ138" s="27">
        <v>1</v>
      </c>
      <c r="BA138" s="27">
        <v>1</v>
      </c>
      <c r="BB138" s="27">
        <v>0.9989094874591059</v>
      </c>
      <c r="BC138" s="27">
        <v>0.98496240601503759</v>
      </c>
      <c r="BD138" s="27">
        <v>0.99619771863117867</v>
      </c>
      <c r="BE138" s="27">
        <v>0.94736842105263153</v>
      </c>
      <c r="BF138" s="27">
        <v>0.95488721804511278</v>
      </c>
      <c r="BG138" s="27">
        <v>1</v>
      </c>
      <c r="BH138" s="27">
        <v>0.99618320610687028</v>
      </c>
      <c r="BI138" s="27">
        <v>1</v>
      </c>
      <c r="BJ138" s="27">
        <v>0.98279985283583304</v>
      </c>
      <c r="BK138" s="27">
        <v>0.96511627906976749</v>
      </c>
      <c r="BL138" s="27">
        <v>0.95112781954887216</v>
      </c>
      <c r="BM138" s="27">
        <v>0.93023255813953487</v>
      </c>
      <c r="BN138" s="27">
        <v>0.96899224806201545</v>
      </c>
      <c r="BO138" s="27">
        <v>0.98443579766536971</v>
      </c>
      <c r="BP138" s="27">
        <v>0.99616858237547889</v>
      </c>
      <c r="BQ138" s="27">
        <v>0.99618320610687028</v>
      </c>
      <c r="BR138" s="27">
        <v>0.97032235585255844</v>
      </c>
      <c r="BS138" s="27">
        <v>0.93023255813953487</v>
      </c>
      <c r="BT138" s="27">
        <v>0.95348837209302328</v>
      </c>
      <c r="BU138" s="27">
        <v>0.94573643410852715</v>
      </c>
      <c r="BV138" s="27">
        <v>0.95038167938931295</v>
      </c>
      <c r="BW138" s="27">
        <v>0.9147286821705426</v>
      </c>
      <c r="BX138" s="27">
        <v>0.95736434108527135</v>
      </c>
      <c r="BY138" s="27">
        <v>0.91085271317829453</v>
      </c>
      <c r="BZ138" s="27">
        <v>0.93754068288064374</v>
      </c>
      <c r="CA138" s="27">
        <v>0.96564885496183206</v>
      </c>
      <c r="CB138" s="27">
        <v>0.98091603053435117</v>
      </c>
      <c r="CC138" s="27">
        <v>0.95038167938931295</v>
      </c>
      <c r="CD138" s="27">
        <v>0.96183206106870234</v>
      </c>
      <c r="CE138" s="27">
        <v>0.96946564885496178</v>
      </c>
      <c r="CF138" s="27">
        <v>0.95038167938931295</v>
      </c>
      <c r="CG138" s="27">
        <v>0.95</v>
      </c>
      <c r="CH138" s="27">
        <v>0.96123227917121046</v>
      </c>
      <c r="CI138" s="27">
        <v>0.96946564885496178</v>
      </c>
      <c r="CJ138" s="27">
        <v>0.96183206106870234</v>
      </c>
      <c r="CK138" s="27">
        <v>0.96183206106870234</v>
      </c>
      <c r="CL138" s="27">
        <v>0.97709923664122134</v>
      </c>
      <c r="CM138" s="27">
        <v>0.98091603053435117</v>
      </c>
      <c r="CN138" s="27">
        <v>0.98473282442748089</v>
      </c>
      <c r="CO138" s="27">
        <v>0.97328244274809161</v>
      </c>
      <c r="CP138" s="27">
        <v>0.97273718647764451</v>
      </c>
      <c r="CQ138" s="27">
        <v>0.98091603053435117</v>
      </c>
      <c r="CR138" s="27">
        <v>0.98854961832061072</v>
      </c>
      <c r="CS138" s="27">
        <v>0.96564885496183206</v>
      </c>
      <c r="CT138" s="27">
        <v>0.98854961832061072</v>
      </c>
      <c r="CU138" s="27">
        <v>0.96946564885496178</v>
      </c>
      <c r="CV138" s="27">
        <v>0.99236641221374045</v>
      </c>
      <c r="CW138" s="27">
        <v>0.99236641221374045</v>
      </c>
      <c r="CX138" s="27">
        <v>0.98255179934569237</v>
      </c>
    </row>
    <row r="139" spans="38:102" x14ac:dyDescent="0.35">
      <c r="AL139" s="16" t="s">
        <v>321</v>
      </c>
      <c r="AM139" s="27">
        <v>0.94675324675324679</v>
      </c>
      <c r="AN139" s="27">
        <v>0.94675324675324679</v>
      </c>
      <c r="AO139" s="27" t="e">
        <v>#NUM!</v>
      </c>
      <c r="AP139" s="27" t="e">
        <v>#NUM!</v>
      </c>
      <c r="AQ139" s="27">
        <v>0.94675324675324679</v>
      </c>
      <c r="AR139" s="27">
        <v>0.94675324675324679</v>
      </c>
      <c r="AS139" s="27">
        <v>0.94675324675324679</v>
      </c>
      <c r="AT139" s="27" t="e">
        <v>#NUM!</v>
      </c>
      <c r="AU139" s="27">
        <v>0.94757536041939716</v>
      </c>
      <c r="AV139" s="27" t="e">
        <v>#NUM!</v>
      </c>
      <c r="AW139" s="27">
        <v>0.9445910290237467</v>
      </c>
      <c r="AX139" s="27">
        <v>0.9434954007884363</v>
      </c>
      <c r="AY139" s="27">
        <v>0.94225721784776906</v>
      </c>
      <c r="AZ139" s="27" t="e">
        <v>#NUM!</v>
      </c>
      <c r="BA139" s="27" t="e">
        <v>#NUM!</v>
      </c>
      <c r="BB139" s="27" t="e">
        <v>#NUM!</v>
      </c>
      <c r="BC139" s="27">
        <v>0.91994750656167978</v>
      </c>
      <c r="BD139" s="27">
        <v>0.9555555555555556</v>
      </c>
      <c r="BE139" s="27">
        <v>0.9337662337662338</v>
      </c>
      <c r="BF139" s="27">
        <v>0.94033722438391698</v>
      </c>
      <c r="BG139" s="27">
        <v>0.95714285714285718</v>
      </c>
      <c r="BH139" s="27">
        <v>0.967741935483871</v>
      </c>
      <c r="BI139" s="27">
        <v>0.97683397683397688</v>
      </c>
      <c r="BJ139" s="27">
        <v>0.95018932710401294</v>
      </c>
      <c r="BK139" s="27">
        <v>0.95466321243523311</v>
      </c>
      <c r="BL139" s="27">
        <v>0.95719844357976658</v>
      </c>
      <c r="BM139" s="27">
        <v>0.93561103810775292</v>
      </c>
      <c r="BN139" s="27">
        <v>0.93089960886571055</v>
      </c>
      <c r="BO139" s="27">
        <v>0.96875</v>
      </c>
      <c r="BP139" s="27">
        <v>0.96010296010296015</v>
      </c>
      <c r="BQ139" s="27">
        <v>0.97024579560155244</v>
      </c>
      <c r="BR139" s="27">
        <v>0.95392443695613949</v>
      </c>
      <c r="BS139" s="27">
        <v>0.88993288590604025</v>
      </c>
      <c r="BT139" s="27">
        <v>0.93315858453473133</v>
      </c>
      <c r="BU139" s="27">
        <v>0.920844327176781</v>
      </c>
      <c r="BV139" s="27">
        <v>0.92338177014531042</v>
      </c>
      <c r="BW139" s="27">
        <v>0.8588709677419355</v>
      </c>
      <c r="BX139" s="27">
        <v>0.90551181102362199</v>
      </c>
      <c r="BY139" s="27">
        <v>0.83801874163319945</v>
      </c>
      <c r="BZ139" s="27">
        <v>0.89567415545165985</v>
      </c>
      <c r="CA139" s="27">
        <v>0.93661060802069862</v>
      </c>
      <c r="CB139" s="27">
        <v>0.94086727989487517</v>
      </c>
      <c r="CC139" s="27">
        <v>0.93134715025906734</v>
      </c>
      <c r="CD139" s="27">
        <v>0.94337194337194341</v>
      </c>
      <c r="CE139" s="27">
        <v>0.93927648578811374</v>
      </c>
      <c r="CF139" s="27">
        <v>0.9366754617414248</v>
      </c>
      <c r="CG139" s="27">
        <v>0.93661060802069862</v>
      </c>
      <c r="CH139" s="27">
        <v>0.9378227910138317</v>
      </c>
      <c r="CI139" s="27">
        <v>0.93872229465449808</v>
      </c>
      <c r="CJ139" s="27">
        <v>0.9358974358974359</v>
      </c>
      <c r="CK139" s="27">
        <v>0.93246753246753245</v>
      </c>
      <c r="CL139" s="27">
        <v>0.9221789883268483</v>
      </c>
      <c r="CM139" s="27">
        <v>0.94871794871794868</v>
      </c>
      <c r="CN139" s="27">
        <v>0.96547314578005117</v>
      </c>
      <c r="CO139" s="27">
        <v>0.9614890885750963</v>
      </c>
      <c r="CP139" s="27">
        <v>0.94356377634563027</v>
      </c>
      <c r="CQ139" s="27">
        <v>0.95674967234600261</v>
      </c>
      <c r="CR139" s="27">
        <v>0.94186046511627908</v>
      </c>
      <c r="CS139" s="27">
        <v>0.93919793014230268</v>
      </c>
      <c r="CT139" s="27">
        <v>0.94056847545219635</v>
      </c>
      <c r="CU139" s="27">
        <v>0.9689119170984456</v>
      </c>
      <c r="CV139" s="27">
        <v>0.9419354838709677</v>
      </c>
      <c r="CW139" s="27">
        <v>0.96035805626598469</v>
      </c>
      <c r="CX139" s="27">
        <v>0.94994028575602552</v>
      </c>
    </row>
    <row r="140" spans="38:102" x14ac:dyDescent="0.35">
      <c r="AL140" s="16" t="s">
        <v>322</v>
      </c>
      <c r="AM140" s="27">
        <v>0.95005807200929149</v>
      </c>
      <c r="AN140" s="27">
        <v>0.93020594965675052</v>
      </c>
      <c r="AO140" s="27">
        <v>0.93728222996515675</v>
      </c>
      <c r="AP140" s="27">
        <v>0.91193511008111239</v>
      </c>
      <c r="AQ140" s="27">
        <v>0.96643518518518523</v>
      </c>
      <c r="AR140" s="27">
        <v>0.96078431372549022</v>
      </c>
      <c r="AS140" s="27">
        <v>0.96763005780346822</v>
      </c>
      <c r="AT140" s="27">
        <v>0.94633298834663648</v>
      </c>
      <c r="AU140" s="27">
        <v>0.95491329479768783</v>
      </c>
      <c r="AV140" s="27">
        <v>0.92873831775700932</v>
      </c>
      <c r="AW140" s="27">
        <v>0.9518779342723005</v>
      </c>
      <c r="AX140" s="27">
        <v>0.91695906432748542</v>
      </c>
      <c r="AY140" s="27">
        <v>0.95386389850057673</v>
      </c>
      <c r="AZ140" s="27">
        <v>0.92566782810685244</v>
      </c>
      <c r="BA140" s="27">
        <v>0.95433255269320838</v>
      </c>
      <c r="BB140" s="27">
        <v>0.94090755577930296</v>
      </c>
      <c r="BC140" s="27">
        <v>0.93879907621247116</v>
      </c>
      <c r="BD140" s="27">
        <v>0.93047508690614134</v>
      </c>
      <c r="BE140" s="27">
        <v>0.91976744186046511</v>
      </c>
      <c r="BF140" s="27">
        <v>0.90972222222222221</v>
      </c>
      <c r="BG140" s="27">
        <v>0.94322132097334876</v>
      </c>
      <c r="BH140" s="27">
        <v>0.94062863795110596</v>
      </c>
      <c r="BI140" s="27">
        <v>0.93886966551326412</v>
      </c>
      <c r="BJ140" s="27">
        <v>0.93164049309128838</v>
      </c>
      <c r="BK140" s="27">
        <v>0.94579008073817761</v>
      </c>
      <c r="BL140" s="27">
        <v>0.9282407407407407</v>
      </c>
      <c r="BM140" s="27">
        <v>0.92059838895281931</v>
      </c>
      <c r="BN140" s="27">
        <v>0.90700344431687718</v>
      </c>
      <c r="BO140" s="27">
        <v>0.9353348729792148</v>
      </c>
      <c r="BP140" s="27">
        <v>0.94616265750286366</v>
      </c>
      <c r="BQ140" s="27">
        <v>0.9416475972540046</v>
      </c>
      <c r="BR140" s="27">
        <v>0.93211111178352823</v>
      </c>
      <c r="BS140" s="27">
        <v>0.91012514220705343</v>
      </c>
      <c r="BT140" s="27">
        <v>0.92325315005727382</v>
      </c>
      <c r="BU140" s="27">
        <v>0.91034482758620694</v>
      </c>
      <c r="BV140" s="27">
        <v>0.90660592255125283</v>
      </c>
      <c r="BW140" s="27">
        <v>0.89564220183486243</v>
      </c>
      <c r="BX140" s="27">
        <v>0.91967403958090799</v>
      </c>
      <c r="BY140" s="27">
        <v>0.89327146171693739</v>
      </c>
      <c r="BZ140" s="27">
        <v>0.90841667793349923</v>
      </c>
      <c r="CA140" s="27">
        <v>0.92326431181485991</v>
      </c>
      <c r="CB140" s="27">
        <v>0.91940976163450627</v>
      </c>
      <c r="CC140" s="27">
        <v>0.94009779951100247</v>
      </c>
      <c r="CD140" s="27">
        <v>0.91888619854721554</v>
      </c>
      <c r="CE140" s="27">
        <v>0.93031358885017423</v>
      </c>
      <c r="CF140" s="27">
        <v>0.9285714285714286</v>
      </c>
      <c r="CG140" s="27">
        <v>0.91457858769931666</v>
      </c>
      <c r="CH140" s="27">
        <v>0.92501738237550046</v>
      </c>
      <c r="CI140" s="27">
        <v>0.94282511210762332</v>
      </c>
      <c r="CJ140" s="27">
        <v>0.94314381270903014</v>
      </c>
      <c r="CK140" s="27">
        <v>0.93986636971046766</v>
      </c>
      <c r="CL140" s="27">
        <v>0.911036036036036</v>
      </c>
      <c r="CM140" s="27">
        <v>0.94666666666666666</v>
      </c>
      <c r="CN140" s="27">
        <v>0.93222222222222217</v>
      </c>
      <c r="CO140" s="27">
        <v>0.94950603732162464</v>
      </c>
      <c r="CP140" s="27">
        <v>0.93789517953909574</v>
      </c>
      <c r="CQ140" s="27">
        <v>0.93673695893451725</v>
      </c>
      <c r="CR140" s="27">
        <v>0.91759465478841873</v>
      </c>
      <c r="CS140" s="27">
        <v>0.94988864142538976</v>
      </c>
      <c r="CT140" s="27">
        <v>0.93659621802002224</v>
      </c>
      <c r="CU140" s="27">
        <v>0.93118756936736957</v>
      </c>
      <c r="CV140" s="27">
        <v>0.9263392857142857</v>
      </c>
      <c r="CW140" s="27">
        <v>0.92402234636871505</v>
      </c>
      <c r="CX140" s="27">
        <v>0.93176652494553114</v>
      </c>
    </row>
    <row r="141" spans="38:102" x14ac:dyDescent="0.35">
      <c r="AL141" s="16" t="s">
        <v>323</v>
      </c>
      <c r="AM141" s="27">
        <v>1</v>
      </c>
      <c r="AN141" s="27">
        <v>1</v>
      </c>
      <c r="AO141" s="27">
        <v>1</v>
      </c>
      <c r="AP141" s="27">
        <v>1</v>
      </c>
      <c r="AQ141" s="27">
        <v>1</v>
      </c>
      <c r="AR141" s="27">
        <v>1</v>
      </c>
      <c r="AS141" s="27">
        <v>1</v>
      </c>
      <c r="AT141" s="27">
        <v>1</v>
      </c>
      <c r="AU141" s="27">
        <v>1</v>
      </c>
      <c r="AV141" s="27">
        <v>1</v>
      </c>
      <c r="AW141" s="27">
        <v>1</v>
      </c>
      <c r="AX141" s="27">
        <v>1</v>
      </c>
      <c r="AY141" s="27">
        <v>1</v>
      </c>
      <c r="AZ141" s="27">
        <v>1</v>
      </c>
      <c r="BA141" s="27">
        <v>1</v>
      </c>
      <c r="BB141" s="27">
        <v>1</v>
      </c>
      <c r="BC141" s="27">
        <v>1</v>
      </c>
      <c r="BD141" s="27">
        <v>1</v>
      </c>
      <c r="BE141" s="27">
        <v>1</v>
      </c>
      <c r="BF141" s="27">
        <v>1</v>
      </c>
      <c r="BG141" s="27">
        <v>1</v>
      </c>
      <c r="BH141" s="27">
        <v>1</v>
      </c>
      <c r="BI141" s="27">
        <v>1</v>
      </c>
      <c r="BJ141" s="27">
        <v>1</v>
      </c>
      <c r="BK141" s="27">
        <v>0.96832579185520362</v>
      </c>
      <c r="BL141" s="27">
        <v>0.97345132743362828</v>
      </c>
      <c r="BM141" s="27">
        <v>0.97058823529411764</v>
      </c>
      <c r="BN141" s="27">
        <v>0.95022624434389136</v>
      </c>
      <c r="BO141" s="27">
        <v>0.97123893805309736</v>
      </c>
      <c r="BP141" s="27">
        <v>0.97350993377483441</v>
      </c>
      <c r="BQ141" s="27">
        <v>0.96895787139689582</v>
      </c>
      <c r="BR141" s="27">
        <v>0.96804262030738109</v>
      </c>
      <c r="BS141" s="27">
        <v>0.90088105726872247</v>
      </c>
      <c r="BT141" s="27">
        <v>0.94678492239467849</v>
      </c>
      <c r="BU141" s="27">
        <v>0.92920353982300885</v>
      </c>
      <c r="BV141" s="27">
        <v>0.91390728476821192</v>
      </c>
      <c r="BW141" s="27">
        <v>0.905829596412556</v>
      </c>
      <c r="BX141" s="27">
        <v>0.95749440715883671</v>
      </c>
      <c r="BY141" s="27">
        <v>0.89013452914798208</v>
      </c>
      <c r="BZ141" s="27">
        <v>0.92060504813914235</v>
      </c>
      <c r="CA141" s="27">
        <v>0.92358078602620086</v>
      </c>
      <c r="CB141" s="27">
        <v>0.92307692307692313</v>
      </c>
      <c r="CC141" s="27">
        <v>0.91323210412147504</v>
      </c>
      <c r="CD141" s="27">
        <v>0.90692640692640691</v>
      </c>
      <c r="CE141" s="27">
        <v>0.94078947368421051</v>
      </c>
      <c r="CF141" s="27">
        <v>0.93186813186813189</v>
      </c>
      <c r="CG141" s="27">
        <v>0.93348115299334811</v>
      </c>
      <c r="CH141" s="27">
        <v>0.92470785409952794</v>
      </c>
      <c r="CI141" s="27">
        <v>0.96551724137931039</v>
      </c>
      <c r="CJ141" s="27">
        <v>0.88865096359743045</v>
      </c>
      <c r="CK141" s="27">
        <v>0.95248380129589638</v>
      </c>
      <c r="CL141" s="27">
        <v>0.94218415417558887</v>
      </c>
      <c r="CM141" s="27">
        <v>0.95338983050847459</v>
      </c>
      <c r="CN141" s="27">
        <v>0.90486257928118397</v>
      </c>
      <c r="CO141" s="27">
        <v>0.95670995670995673</v>
      </c>
      <c r="CP141" s="27">
        <v>0.93768550384969163</v>
      </c>
      <c r="CQ141" s="27">
        <v>0.94155844155844159</v>
      </c>
      <c r="CR141" s="27">
        <v>0.90966386554621848</v>
      </c>
      <c r="CS141" s="27">
        <v>0.9493392070484582</v>
      </c>
      <c r="CT141" s="27">
        <v>0.95594713656387664</v>
      </c>
      <c r="CU141" s="27">
        <v>0.9334763948497854</v>
      </c>
      <c r="CV141" s="27">
        <v>0.93697478991596639</v>
      </c>
      <c r="CW141" s="27">
        <v>0.94080338266384778</v>
      </c>
      <c r="CX141" s="27">
        <v>0.93825188830665651</v>
      </c>
    </row>
    <row r="142" spans="38:102" x14ac:dyDescent="0.35">
      <c r="AL142" s="16" t="s">
        <v>324</v>
      </c>
      <c r="AM142" s="27">
        <v>1</v>
      </c>
      <c r="AN142" s="27">
        <v>0.99689440993788825</v>
      </c>
      <c r="AO142" s="27">
        <v>1</v>
      </c>
      <c r="AP142" s="27">
        <v>1</v>
      </c>
      <c r="AQ142" s="27">
        <v>1</v>
      </c>
      <c r="AR142" s="27">
        <v>1</v>
      </c>
      <c r="AS142" s="27">
        <v>1</v>
      </c>
      <c r="AT142" s="27">
        <v>0.99955634427684115</v>
      </c>
      <c r="AU142" s="27">
        <v>1</v>
      </c>
      <c r="AV142" s="27">
        <v>1</v>
      </c>
      <c r="AW142" s="27">
        <v>0.99378881987577639</v>
      </c>
      <c r="AX142" s="27">
        <v>0.97204968944099379</v>
      </c>
      <c r="AY142" s="27">
        <v>1</v>
      </c>
      <c r="AZ142" s="27">
        <v>1</v>
      </c>
      <c r="BA142" s="27">
        <v>1</v>
      </c>
      <c r="BB142" s="27">
        <v>0.99511978704525283</v>
      </c>
      <c r="BC142" s="27">
        <v>1</v>
      </c>
      <c r="BD142" s="27">
        <v>0.99082568807339455</v>
      </c>
      <c r="BE142" s="27">
        <v>1</v>
      </c>
      <c r="BF142" s="27">
        <v>0.98159509202453987</v>
      </c>
      <c r="BG142" s="27">
        <v>1</v>
      </c>
      <c r="BH142" s="27">
        <v>0.97272727272727277</v>
      </c>
      <c r="BI142" s="27">
        <v>0.98159509202453987</v>
      </c>
      <c r="BJ142" s="27">
        <v>0.98953473497853517</v>
      </c>
      <c r="BK142" s="27">
        <v>1</v>
      </c>
      <c r="BL142" s="27">
        <v>1</v>
      </c>
      <c r="BM142" s="27">
        <v>0.95808383233532934</v>
      </c>
      <c r="BN142" s="27">
        <v>0.99099099099099097</v>
      </c>
      <c r="BO142" s="27">
        <v>1</v>
      </c>
      <c r="BP142" s="27">
        <v>1</v>
      </c>
      <c r="BQ142" s="27">
        <v>1</v>
      </c>
      <c r="BR142" s="27">
        <v>0.99272497476090293</v>
      </c>
      <c r="BS142" s="27">
        <v>0.99691358024691357</v>
      </c>
      <c r="BT142" s="27">
        <v>1</v>
      </c>
      <c r="BU142" s="27">
        <v>1</v>
      </c>
      <c r="BV142" s="27">
        <v>1</v>
      </c>
      <c r="BW142" s="27">
        <v>0.9285714285714286</v>
      </c>
      <c r="BX142" s="27">
        <v>0.95107033639143734</v>
      </c>
      <c r="BY142" s="27">
        <v>0.91222570532915359</v>
      </c>
      <c r="BZ142" s="27">
        <v>0.9698258643627049</v>
      </c>
      <c r="CA142" s="27">
        <v>0.99378881987577639</v>
      </c>
      <c r="CB142" s="27">
        <v>1</v>
      </c>
      <c r="CC142" s="27">
        <v>1</v>
      </c>
      <c r="CD142" s="27">
        <v>1</v>
      </c>
      <c r="CE142" s="27">
        <v>1</v>
      </c>
      <c r="CF142" s="27">
        <v>1</v>
      </c>
      <c r="CG142" s="27">
        <v>1</v>
      </c>
      <c r="CH142" s="27">
        <v>0.9991126885536824</v>
      </c>
      <c r="CI142" s="27">
        <v>1</v>
      </c>
      <c r="CJ142" s="27">
        <v>1</v>
      </c>
      <c r="CK142" s="27">
        <v>0.98412698412698407</v>
      </c>
      <c r="CL142" s="27">
        <v>1</v>
      </c>
      <c r="CM142" s="27">
        <v>1</v>
      </c>
      <c r="CN142" s="27">
        <v>1</v>
      </c>
      <c r="CO142" s="27">
        <v>1</v>
      </c>
      <c r="CP142" s="27">
        <v>0.99773242630385484</v>
      </c>
      <c r="CQ142" s="27">
        <v>0.99690402476780182</v>
      </c>
      <c r="CR142" s="27">
        <v>1</v>
      </c>
      <c r="CS142" s="27">
        <v>0.99376947040498442</v>
      </c>
      <c r="CT142" s="27">
        <v>1</v>
      </c>
      <c r="CU142" s="27">
        <v>1</v>
      </c>
      <c r="CV142" s="27">
        <v>1</v>
      </c>
      <c r="CW142" s="27">
        <v>0.99687499999999996</v>
      </c>
      <c r="CX142" s="27">
        <v>0.99822121359611238</v>
      </c>
    </row>
    <row r="143" spans="38:102" x14ac:dyDescent="0.35">
      <c r="AL143" s="16" t="s">
        <v>325</v>
      </c>
      <c r="AM143" s="27">
        <v>0.94211123723042001</v>
      </c>
      <c r="AN143" s="27">
        <v>0.94831460674157309</v>
      </c>
      <c r="AO143" s="27">
        <v>0.91274397244546501</v>
      </c>
      <c r="AP143" s="27">
        <v>0.94653014789533563</v>
      </c>
      <c r="AQ143" s="27">
        <v>0.94488188976377951</v>
      </c>
      <c r="AR143" s="27">
        <v>0.95701357466063353</v>
      </c>
      <c r="AS143" s="27">
        <v>0.9424379232505643</v>
      </c>
      <c r="AT143" s="27">
        <v>0.94200476456968174</v>
      </c>
      <c r="AU143" s="27">
        <v>0.94463667820069208</v>
      </c>
      <c r="AV143" s="27">
        <v>0.94412770809578106</v>
      </c>
      <c r="AW143" s="27">
        <v>0.94029850746268662</v>
      </c>
      <c r="AX143" s="27">
        <v>0.94144661308840416</v>
      </c>
      <c r="AY143" s="27">
        <v>0.93563218390804592</v>
      </c>
      <c r="AZ143" s="27">
        <v>0.94909502262443435</v>
      </c>
      <c r="BA143" s="27">
        <v>0.94337485843714608</v>
      </c>
      <c r="BB143" s="27">
        <v>0.94265879597388424</v>
      </c>
      <c r="BC143" s="27">
        <v>0.93629124004550623</v>
      </c>
      <c r="BD143" s="27">
        <v>0.94285714285714284</v>
      </c>
      <c r="BE143" s="27">
        <v>0.93728620296465226</v>
      </c>
      <c r="BF143" s="27">
        <v>0.94501718213058417</v>
      </c>
      <c r="BG143" s="27">
        <v>0.93650793650793651</v>
      </c>
      <c r="BH143" s="27">
        <v>0.94412770809578106</v>
      </c>
      <c r="BI143" s="27">
        <v>0.94406392694063923</v>
      </c>
      <c r="BJ143" s="27">
        <v>0.94087876279174887</v>
      </c>
      <c r="BK143" s="27">
        <v>0.93394077448747148</v>
      </c>
      <c r="BL143" s="27">
        <v>0.95330296127562641</v>
      </c>
      <c r="BM143" s="27">
        <v>0.90307867730900793</v>
      </c>
      <c r="BN143" s="27">
        <v>0.93257142857142861</v>
      </c>
      <c r="BO143" s="27">
        <v>0.92474344355758265</v>
      </c>
      <c r="BP143" s="27">
        <v>0.95127610208816704</v>
      </c>
      <c r="BQ143" s="27">
        <v>0.95265588914549648</v>
      </c>
      <c r="BR143" s="27">
        <v>0.93593846806211134</v>
      </c>
      <c r="BS143" s="27">
        <v>0.92352259559675554</v>
      </c>
      <c r="BT143" s="27">
        <v>0.93280182232346243</v>
      </c>
      <c r="BU143" s="27">
        <v>0.94851258581235698</v>
      </c>
      <c r="BV143" s="27">
        <v>0.93287827076222984</v>
      </c>
      <c r="BW143" s="27">
        <v>0.89988221436984683</v>
      </c>
      <c r="BX143" s="27">
        <v>0.93858632676709153</v>
      </c>
      <c r="BY143" s="27">
        <v>0.85985748218527314</v>
      </c>
      <c r="BZ143" s="27">
        <v>0.9194344711167165</v>
      </c>
      <c r="CA143" s="27">
        <v>0.9438202247191011</v>
      </c>
      <c r="CB143" s="27">
        <v>0.93451720310765818</v>
      </c>
      <c r="CC143" s="27">
        <v>0.93416572077185012</v>
      </c>
      <c r="CD143" s="27">
        <v>0.93033707865168536</v>
      </c>
      <c r="CE143" s="27">
        <v>0.94425863991081382</v>
      </c>
      <c r="CF143" s="27">
        <v>0.94500561167227837</v>
      </c>
      <c r="CG143" s="27">
        <v>0.92962542565266737</v>
      </c>
      <c r="CH143" s="27">
        <v>0.93738998635515058</v>
      </c>
      <c r="CI143" s="27">
        <v>0.94065934065934065</v>
      </c>
      <c r="CJ143" s="27">
        <v>0.94215795328142382</v>
      </c>
      <c r="CK143" s="27">
        <v>0.93</v>
      </c>
      <c r="CL143" s="27">
        <v>0.91574279379157431</v>
      </c>
      <c r="CM143" s="27">
        <v>0.93859649122807021</v>
      </c>
      <c r="CN143" s="27">
        <v>0.94370860927152322</v>
      </c>
      <c r="CO143" s="27">
        <v>0.94638949671772432</v>
      </c>
      <c r="CP143" s="27">
        <v>0.93675066927852235</v>
      </c>
      <c r="CQ143" s="27">
        <v>0.91770011273957164</v>
      </c>
      <c r="CR143" s="27">
        <v>0.93406593406593408</v>
      </c>
      <c r="CS143" s="27">
        <v>0.93258426966292129</v>
      </c>
      <c r="CT143" s="27">
        <v>0.9336283185840708</v>
      </c>
      <c r="CU143" s="27">
        <v>0.94097995545657021</v>
      </c>
      <c r="CV143" s="27">
        <v>0.9536934950385888</v>
      </c>
      <c r="CW143" s="27">
        <v>0.95444444444444443</v>
      </c>
      <c r="CX143" s="27">
        <v>0.93815664714172886</v>
      </c>
    </row>
    <row r="144" spans="38:102" x14ac:dyDescent="0.35">
      <c r="AL144" s="16" t="s">
        <v>139</v>
      </c>
      <c r="AM144" s="27">
        <v>0.93759159846075468</v>
      </c>
      <c r="AN144" s="27">
        <v>0.91708816280075323</v>
      </c>
      <c r="AO144" s="27" t="e">
        <v>#NUM!</v>
      </c>
      <c r="AP144" s="27" t="e">
        <v>#NUM!</v>
      </c>
      <c r="AQ144" s="27">
        <v>0.93741085637764188</v>
      </c>
      <c r="AR144" s="27">
        <v>0.9350783070091212</v>
      </c>
      <c r="AS144" s="27">
        <v>0.94233630333709084</v>
      </c>
      <c r="AT144" s="27" t="e">
        <v>#NUM!</v>
      </c>
      <c r="AU144" s="27">
        <v>0.93537144578718012</v>
      </c>
      <c r="AV144" s="27" t="e">
        <v>#NUM!</v>
      </c>
      <c r="AW144" s="27">
        <v>0.92165347713507451</v>
      </c>
      <c r="AX144" s="27">
        <v>0.91908869954472983</v>
      </c>
      <c r="AY144" s="27">
        <v>0.93743075653244157</v>
      </c>
      <c r="AZ144" s="27" t="e">
        <v>#NUM!</v>
      </c>
      <c r="BA144" s="27" t="e">
        <v>#NUM!</v>
      </c>
      <c r="BB144" s="27" t="e">
        <v>#NUM!</v>
      </c>
      <c r="BC144" s="27">
        <v>0.93158572768797288</v>
      </c>
      <c r="BD144" s="27">
        <v>0.92189144627637709</v>
      </c>
      <c r="BE144" s="27">
        <v>0.91912116845378322</v>
      </c>
      <c r="BF144" s="27">
        <v>0.91149235993536215</v>
      </c>
      <c r="BG144" s="27">
        <v>0.93568317656482858</v>
      </c>
      <c r="BH144" s="27">
        <v>0.92974891013451655</v>
      </c>
      <c r="BI144" s="27">
        <v>0.93102194098114266</v>
      </c>
      <c r="BJ144" s="27">
        <v>0.92579917095988717</v>
      </c>
      <c r="BK144" s="27">
        <v>0.9234891537353378</v>
      </c>
      <c r="BL144" s="27">
        <v>0.91824862516280314</v>
      </c>
      <c r="BM144" s="27">
        <v>0.90053583284542049</v>
      </c>
      <c r="BN144" s="27">
        <v>0.89500732677812067</v>
      </c>
      <c r="BO144" s="27">
        <v>0.92716569312478125</v>
      </c>
      <c r="BP144" s="27">
        <v>0.93402405079823347</v>
      </c>
      <c r="BQ144" s="27">
        <v>0.92902526394378726</v>
      </c>
      <c r="BR144" s="27">
        <v>0.91821370662692581</v>
      </c>
      <c r="BS144" s="27">
        <v>0.85888246670808233</v>
      </c>
      <c r="BT144" s="27">
        <v>0.89711994080638868</v>
      </c>
      <c r="BU144" s="27">
        <v>0.87366703719863847</v>
      </c>
      <c r="BV144" s="27">
        <v>0.87844894636197857</v>
      </c>
      <c r="BW144" s="27">
        <v>0.83369410716917314</v>
      </c>
      <c r="BX144" s="27">
        <v>0.88027533642755518</v>
      </c>
      <c r="BY144" s="27">
        <v>0.81911391253248556</v>
      </c>
      <c r="BZ144" s="27">
        <v>0.8630288210291861</v>
      </c>
      <c r="CA144" s="27">
        <v>0.9082184747187052</v>
      </c>
      <c r="CB144" s="27">
        <v>0.89131042768624813</v>
      </c>
      <c r="CC144" s="27">
        <v>0.90264593999031351</v>
      </c>
      <c r="CD144" s="27">
        <v>0.90121708035506864</v>
      </c>
      <c r="CE144" s="27">
        <v>0.89556611112995843</v>
      </c>
      <c r="CF144" s="27">
        <v>0.90384237622574137</v>
      </c>
      <c r="CG144" s="27">
        <v>0.89242607311986411</v>
      </c>
      <c r="CH144" s="27">
        <v>0.89931451740905</v>
      </c>
      <c r="CI144" s="27">
        <v>0.92545315323793564</v>
      </c>
      <c r="CJ144" s="27">
        <v>0.90955264033220196</v>
      </c>
      <c r="CK144" s="27">
        <v>0.91334491716711486</v>
      </c>
      <c r="CL144" s="27">
        <v>0.911629545483849</v>
      </c>
      <c r="CM144" s="27">
        <v>0.93085115726494461</v>
      </c>
      <c r="CN144" s="27">
        <v>0.9213294186587826</v>
      </c>
      <c r="CO144" s="27">
        <v>0.92876663799557402</v>
      </c>
      <c r="CP144" s="27">
        <v>0.92013249573434241</v>
      </c>
      <c r="CQ144" s="27">
        <v>0.92851181087302836</v>
      </c>
      <c r="CR144" s="27">
        <v>0.91435922770527589</v>
      </c>
      <c r="CS144" s="27">
        <v>0.91026307169651488</v>
      </c>
      <c r="CT144" s="27">
        <v>0.90896548724339077</v>
      </c>
      <c r="CU144" s="27">
        <v>0.93438434179101371</v>
      </c>
      <c r="CV144" s="27">
        <v>0.92448520735586348</v>
      </c>
      <c r="CW144" s="27">
        <v>0.93069966822366768</v>
      </c>
      <c r="CX144" s="27">
        <v>0.92166697355553562</v>
      </c>
    </row>
    <row r="149" spans="37:52" x14ac:dyDescent="0.35">
      <c r="AL149" s="13" t="s">
        <v>326</v>
      </c>
      <c r="AM149" s="23" t="s">
        <v>1</v>
      </c>
      <c r="AN149" s="23" t="s">
        <v>2</v>
      </c>
      <c r="AO149" s="23" t="s">
        <v>3</v>
      </c>
      <c r="AP149" s="23" t="s">
        <v>4</v>
      </c>
      <c r="AQ149" s="23" t="s">
        <v>5</v>
      </c>
      <c r="AR149" s="23" t="s">
        <v>6</v>
      </c>
      <c r="AS149" s="23" t="s">
        <v>7</v>
      </c>
      <c r="AT149" s="23" t="s">
        <v>8</v>
      </c>
      <c r="AU149" s="23" t="s">
        <v>9</v>
      </c>
      <c r="AV149" s="23" t="s">
        <v>10</v>
      </c>
      <c r="AW149" s="23" t="s">
        <v>11</v>
      </c>
      <c r="AX149" s="23" t="s">
        <v>12</v>
      </c>
      <c r="AY149" s="23" t="s">
        <v>13</v>
      </c>
      <c r="AZ149" s="23" t="s">
        <v>14</v>
      </c>
    </row>
    <row r="150" spans="37:52" x14ac:dyDescent="0.35">
      <c r="AL150" s="13" t="s">
        <v>146</v>
      </c>
      <c r="AM150" s="23">
        <f>IF((COUNTIF(AM151:AM287,"&gt;0"))=0, "", (COUNTIF(AM151:AM287,"&gt;0")))</f>
        <v>130</v>
      </c>
      <c r="AN150" s="23">
        <f t="shared" ref="AN150:AZ150" si="9">IF((COUNTIF(AN151:AN287,"&gt;0"))=0, "", (COUNTIF(AN151:AN287,"&gt;0")))</f>
        <v>129</v>
      </c>
      <c r="AO150" s="23">
        <f t="shared" si="9"/>
        <v>129</v>
      </c>
      <c r="AP150" s="23">
        <f t="shared" si="9"/>
        <v>127</v>
      </c>
      <c r="AQ150" s="23">
        <f t="shared" si="9"/>
        <v>118</v>
      </c>
      <c r="AR150" s="23">
        <f t="shared" si="9"/>
        <v>121</v>
      </c>
      <c r="AS150" s="23">
        <f t="shared" si="9"/>
        <v>126</v>
      </c>
      <c r="AT150" s="23">
        <f t="shared" si="9"/>
        <v>127</v>
      </c>
      <c r="AU150" s="23" t="str">
        <f t="shared" si="9"/>
        <v/>
      </c>
      <c r="AV150" s="23" t="str">
        <f t="shared" si="9"/>
        <v/>
      </c>
      <c r="AW150" s="23" t="str">
        <f t="shared" si="9"/>
        <v/>
      </c>
      <c r="AX150" s="23" t="str">
        <f t="shared" si="9"/>
        <v/>
      </c>
      <c r="AY150" s="23" t="str">
        <f t="shared" si="9"/>
        <v/>
      </c>
      <c r="AZ150" s="23" t="str">
        <f t="shared" si="9"/>
        <v/>
      </c>
    </row>
    <row r="151" spans="37:52" x14ac:dyDescent="0.35">
      <c r="AK151" s="16"/>
      <c r="AL151" s="16" t="s">
        <v>190</v>
      </c>
      <c r="AM151">
        <f t="shared" ref="AM151:AM215" si="10">COUNTIF($AM8:$AS8,"&gt;=85%")</f>
        <v>7</v>
      </c>
      <c r="AN151">
        <f t="shared" ref="AN151:AN215" si="11">COUNTIF($AU8:$BA8,"&gt;=85%")</f>
        <v>7</v>
      </c>
      <c r="AO151">
        <f t="shared" ref="AO151:AO215" si="12">COUNTIF($BC8:$BI8,"&gt;=85%")</f>
        <v>7</v>
      </c>
      <c r="AP151">
        <f t="shared" ref="AP151:AP215" si="13">COUNTIF($BK8:$BQ8,"&gt;=85%")</f>
        <v>7</v>
      </c>
      <c r="AQ151">
        <f t="shared" ref="AQ151:AQ215" si="14">COUNTIF($BS8:$BY8,"&gt;=85%")</f>
        <v>6</v>
      </c>
      <c r="AR151">
        <f t="shared" ref="AR151:AR215" si="15">COUNTIF($CA8:$CG8,"&gt;=85%")</f>
        <v>7</v>
      </c>
      <c r="AS151">
        <f t="shared" ref="AS151:AS215" si="16">COUNTIF($CI8:$CO8,"&gt;=85%")</f>
        <v>7</v>
      </c>
      <c r="AT151">
        <f t="shared" ref="AT151:AT215" si="17">COUNTIF($CQ8:$CW8,"&gt;=85%")</f>
        <v>7</v>
      </c>
      <c r="AU151">
        <f t="shared" ref="AU151:AU215" si="18">COUNTIF($CY8:$DE8,"&gt;=92%")</f>
        <v>0</v>
      </c>
      <c r="AV151">
        <f t="shared" ref="AV151:AV215" si="19">COUNTIF($DG8:$DM8,"&gt;=85%")</f>
        <v>0</v>
      </c>
      <c r="AW151">
        <f t="shared" ref="AW151:AW215" si="20">COUNTIF($DO8:$DU8,"&gt;=85%")</f>
        <v>0</v>
      </c>
      <c r="AX151">
        <f t="shared" ref="AX151:AX215" si="21">COUNTIF($DW8:$EC8,"&gt;=85%")</f>
        <v>0</v>
      </c>
      <c r="AY151">
        <f t="shared" ref="AY151:AY215" si="22">COUNTIF($EE8:$EK8,"&gt;=85%")</f>
        <v>0</v>
      </c>
      <c r="AZ151">
        <f t="shared" ref="AZ151:AZ216" si="23">COUNTIF($EM8:$ES8,"&gt;=85%")</f>
        <v>0</v>
      </c>
    </row>
    <row r="152" spans="37:52" x14ac:dyDescent="0.35">
      <c r="AK152" s="16"/>
      <c r="AL152" s="16" t="s">
        <v>191</v>
      </c>
      <c r="AM152">
        <f t="shared" si="10"/>
        <v>2</v>
      </c>
      <c r="AN152">
        <f t="shared" si="11"/>
        <v>2</v>
      </c>
      <c r="AO152">
        <f t="shared" si="12"/>
        <v>0</v>
      </c>
      <c r="AP152">
        <f t="shared" si="13"/>
        <v>0</v>
      </c>
      <c r="AQ152">
        <f t="shared" si="14"/>
        <v>0</v>
      </c>
      <c r="AR152">
        <f t="shared" si="15"/>
        <v>0</v>
      </c>
      <c r="AS152">
        <f t="shared" si="16"/>
        <v>1</v>
      </c>
      <c r="AT152">
        <f t="shared" si="17"/>
        <v>0</v>
      </c>
      <c r="AU152">
        <f t="shared" si="18"/>
        <v>0</v>
      </c>
      <c r="AV152">
        <f t="shared" si="19"/>
        <v>0</v>
      </c>
      <c r="AW152">
        <f t="shared" si="20"/>
        <v>0</v>
      </c>
      <c r="AX152">
        <f t="shared" si="21"/>
        <v>0</v>
      </c>
      <c r="AY152">
        <f t="shared" si="22"/>
        <v>0</v>
      </c>
      <c r="AZ152">
        <f t="shared" si="23"/>
        <v>0</v>
      </c>
    </row>
    <row r="153" spans="37:52" x14ac:dyDescent="0.35">
      <c r="AK153" s="16"/>
      <c r="AL153" s="16" t="s">
        <v>192</v>
      </c>
      <c r="AM153">
        <f t="shared" si="10"/>
        <v>7</v>
      </c>
      <c r="AN153">
        <f t="shared" si="11"/>
        <v>7</v>
      </c>
      <c r="AO153">
        <f t="shared" si="12"/>
        <v>7</v>
      </c>
      <c r="AP153">
        <f t="shared" si="13"/>
        <v>7</v>
      </c>
      <c r="AQ153">
        <f t="shared" si="14"/>
        <v>7</v>
      </c>
      <c r="AR153">
        <f t="shared" si="15"/>
        <v>7</v>
      </c>
      <c r="AS153">
        <f t="shared" si="16"/>
        <v>7</v>
      </c>
      <c r="AT153">
        <f t="shared" si="17"/>
        <v>7</v>
      </c>
      <c r="AU153">
        <f t="shared" si="18"/>
        <v>0</v>
      </c>
      <c r="AV153">
        <f t="shared" si="19"/>
        <v>0</v>
      </c>
      <c r="AW153">
        <f t="shared" si="20"/>
        <v>0</v>
      </c>
      <c r="AX153">
        <f t="shared" si="21"/>
        <v>0</v>
      </c>
      <c r="AY153">
        <f t="shared" si="22"/>
        <v>0</v>
      </c>
      <c r="AZ153">
        <f t="shared" si="23"/>
        <v>0</v>
      </c>
    </row>
    <row r="154" spans="37:52" x14ac:dyDescent="0.35">
      <c r="AK154" s="16"/>
      <c r="AL154" s="16" t="s">
        <v>193</v>
      </c>
      <c r="AM154">
        <f t="shared" si="10"/>
        <v>7</v>
      </c>
      <c r="AN154">
        <f t="shared" si="11"/>
        <v>7</v>
      </c>
      <c r="AO154">
        <f t="shared" si="12"/>
        <v>7</v>
      </c>
      <c r="AP154">
        <f t="shared" si="13"/>
        <v>7</v>
      </c>
      <c r="AQ154">
        <f t="shared" si="14"/>
        <v>7</v>
      </c>
      <c r="AR154">
        <f t="shared" si="15"/>
        <v>6</v>
      </c>
      <c r="AS154">
        <f t="shared" si="16"/>
        <v>7</v>
      </c>
      <c r="AT154">
        <f t="shared" si="17"/>
        <v>7</v>
      </c>
      <c r="AU154">
        <f t="shared" si="18"/>
        <v>0</v>
      </c>
      <c r="AV154">
        <f t="shared" si="19"/>
        <v>0</v>
      </c>
      <c r="AW154">
        <f t="shared" si="20"/>
        <v>0</v>
      </c>
      <c r="AX154">
        <f t="shared" si="21"/>
        <v>0</v>
      </c>
      <c r="AY154">
        <f t="shared" si="22"/>
        <v>0</v>
      </c>
      <c r="AZ154">
        <f t="shared" si="23"/>
        <v>0</v>
      </c>
    </row>
    <row r="155" spans="37:52" x14ac:dyDescent="0.35">
      <c r="AK155" s="16"/>
      <c r="AL155" s="16" t="s">
        <v>194</v>
      </c>
      <c r="AM155">
        <f t="shared" si="10"/>
        <v>7</v>
      </c>
      <c r="AN155">
        <f t="shared" si="11"/>
        <v>7</v>
      </c>
      <c r="AO155">
        <f t="shared" si="12"/>
        <v>7</v>
      </c>
      <c r="AP155">
        <f t="shared" si="13"/>
        <v>7</v>
      </c>
      <c r="AQ155">
        <f t="shared" si="14"/>
        <v>7</v>
      </c>
      <c r="AR155">
        <f t="shared" si="15"/>
        <v>7</v>
      </c>
      <c r="AS155">
        <f t="shared" si="16"/>
        <v>7</v>
      </c>
      <c r="AT155">
        <f t="shared" si="17"/>
        <v>7</v>
      </c>
      <c r="AU155">
        <f t="shared" si="18"/>
        <v>0</v>
      </c>
      <c r="AV155">
        <f t="shared" si="19"/>
        <v>0</v>
      </c>
      <c r="AW155">
        <f t="shared" si="20"/>
        <v>0</v>
      </c>
      <c r="AX155">
        <f t="shared" si="21"/>
        <v>0</v>
      </c>
      <c r="AY155">
        <f t="shared" si="22"/>
        <v>0</v>
      </c>
      <c r="AZ155">
        <f t="shared" si="23"/>
        <v>0</v>
      </c>
    </row>
    <row r="156" spans="37:52" x14ac:dyDescent="0.35">
      <c r="AK156" s="16"/>
      <c r="AL156" s="16" t="s">
        <v>195</v>
      </c>
      <c r="AM156">
        <f t="shared" si="10"/>
        <v>7</v>
      </c>
      <c r="AN156">
        <f t="shared" si="11"/>
        <v>7</v>
      </c>
      <c r="AO156">
        <f t="shared" si="12"/>
        <v>7</v>
      </c>
      <c r="AP156">
        <f t="shared" si="13"/>
        <v>7</v>
      </c>
      <c r="AQ156">
        <f t="shared" si="14"/>
        <v>5</v>
      </c>
      <c r="AR156">
        <f t="shared" si="15"/>
        <v>7</v>
      </c>
      <c r="AS156">
        <f t="shared" si="16"/>
        <v>7</v>
      </c>
      <c r="AT156">
        <f t="shared" si="17"/>
        <v>7</v>
      </c>
      <c r="AU156">
        <f t="shared" si="18"/>
        <v>0</v>
      </c>
      <c r="AV156">
        <f t="shared" si="19"/>
        <v>0</v>
      </c>
      <c r="AW156">
        <f t="shared" si="20"/>
        <v>0</v>
      </c>
      <c r="AX156">
        <f t="shared" si="21"/>
        <v>0</v>
      </c>
      <c r="AY156">
        <f t="shared" si="22"/>
        <v>0</v>
      </c>
      <c r="AZ156">
        <f t="shared" si="23"/>
        <v>0</v>
      </c>
    </row>
    <row r="157" spans="37:52" x14ac:dyDescent="0.35">
      <c r="AK157" s="16"/>
      <c r="AL157" s="16" t="s">
        <v>196</v>
      </c>
      <c r="AM157">
        <f t="shared" si="10"/>
        <v>7</v>
      </c>
      <c r="AN157">
        <f t="shared" si="11"/>
        <v>7</v>
      </c>
      <c r="AO157">
        <f t="shared" si="12"/>
        <v>7</v>
      </c>
      <c r="AP157">
        <f t="shared" si="13"/>
        <v>7</v>
      </c>
      <c r="AQ157">
        <f t="shared" si="14"/>
        <v>7</v>
      </c>
      <c r="AR157">
        <f t="shared" si="15"/>
        <v>7</v>
      </c>
      <c r="AS157">
        <f t="shared" si="16"/>
        <v>7</v>
      </c>
      <c r="AT157">
        <f t="shared" si="17"/>
        <v>7</v>
      </c>
      <c r="AU157">
        <f t="shared" si="18"/>
        <v>0</v>
      </c>
      <c r="AV157">
        <f t="shared" si="19"/>
        <v>0</v>
      </c>
      <c r="AW157">
        <f t="shared" si="20"/>
        <v>0</v>
      </c>
      <c r="AX157">
        <f t="shared" si="21"/>
        <v>0</v>
      </c>
      <c r="AY157">
        <f t="shared" si="22"/>
        <v>0</v>
      </c>
      <c r="AZ157">
        <f t="shared" si="23"/>
        <v>0</v>
      </c>
    </row>
    <row r="158" spans="37:52" x14ac:dyDescent="0.35">
      <c r="AK158" s="16"/>
      <c r="AL158" s="16" t="s">
        <v>197</v>
      </c>
      <c r="AM158">
        <f t="shared" si="10"/>
        <v>4</v>
      </c>
      <c r="AN158">
        <f t="shared" si="11"/>
        <v>4</v>
      </c>
      <c r="AO158">
        <f t="shared" si="12"/>
        <v>0</v>
      </c>
      <c r="AP158">
        <f t="shared" si="13"/>
        <v>0</v>
      </c>
      <c r="AQ158">
        <f t="shared" si="14"/>
        <v>0</v>
      </c>
      <c r="AR158">
        <f t="shared" si="15"/>
        <v>1</v>
      </c>
      <c r="AS158">
        <f t="shared" si="16"/>
        <v>1</v>
      </c>
      <c r="AT158">
        <f t="shared" si="17"/>
        <v>0</v>
      </c>
      <c r="AU158">
        <f t="shared" si="18"/>
        <v>0</v>
      </c>
      <c r="AV158">
        <f t="shared" si="19"/>
        <v>0</v>
      </c>
      <c r="AW158">
        <f t="shared" si="20"/>
        <v>0</v>
      </c>
      <c r="AX158">
        <f t="shared" si="21"/>
        <v>0</v>
      </c>
      <c r="AY158">
        <f t="shared" si="22"/>
        <v>0</v>
      </c>
      <c r="AZ158">
        <f t="shared" si="23"/>
        <v>0</v>
      </c>
    </row>
    <row r="159" spans="37:52" x14ac:dyDescent="0.35">
      <c r="AK159" s="16"/>
      <c r="AL159" s="16" t="s">
        <v>198</v>
      </c>
      <c r="AM159">
        <f t="shared" si="10"/>
        <v>7</v>
      </c>
      <c r="AN159">
        <f t="shared" si="11"/>
        <v>7</v>
      </c>
      <c r="AO159">
        <f t="shared" si="12"/>
        <v>7</v>
      </c>
      <c r="AP159">
        <f t="shared" si="13"/>
        <v>7</v>
      </c>
      <c r="AQ159">
        <f t="shared" si="14"/>
        <v>7</v>
      </c>
      <c r="AR159">
        <f t="shared" si="15"/>
        <v>7</v>
      </c>
      <c r="AS159">
        <f t="shared" si="16"/>
        <v>7</v>
      </c>
      <c r="AT159">
        <f t="shared" si="17"/>
        <v>7</v>
      </c>
      <c r="AU159">
        <f t="shared" si="18"/>
        <v>0</v>
      </c>
      <c r="AV159">
        <f t="shared" si="19"/>
        <v>0</v>
      </c>
      <c r="AW159">
        <f t="shared" si="20"/>
        <v>0</v>
      </c>
      <c r="AX159">
        <f t="shared" si="21"/>
        <v>0</v>
      </c>
      <c r="AY159">
        <f t="shared" si="22"/>
        <v>0</v>
      </c>
      <c r="AZ159">
        <f t="shared" si="23"/>
        <v>0</v>
      </c>
    </row>
    <row r="160" spans="37:52" x14ac:dyDescent="0.35">
      <c r="AK160" s="16"/>
      <c r="AL160" s="16" t="s">
        <v>199</v>
      </c>
      <c r="AM160">
        <f t="shared" si="10"/>
        <v>7</v>
      </c>
      <c r="AN160">
        <f t="shared" si="11"/>
        <v>7</v>
      </c>
      <c r="AO160">
        <f t="shared" si="12"/>
        <v>7</v>
      </c>
      <c r="AP160">
        <f t="shared" si="13"/>
        <v>7</v>
      </c>
      <c r="AQ160">
        <f t="shared" si="14"/>
        <v>7</v>
      </c>
      <c r="AR160">
        <f t="shared" si="15"/>
        <v>7</v>
      </c>
      <c r="AS160">
        <f t="shared" si="16"/>
        <v>7</v>
      </c>
      <c r="AT160">
        <f t="shared" si="17"/>
        <v>7</v>
      </c>
      <c r="AU160">
        <f t="shared" si="18"/>
        <v>0</v>
      </c>
      <c r="AV160">
        <f t="shared" si="19"/>
        <v>0</v>
      </c>
      <c r="AW160">
        <f t="shared" si="20"/>
        <v>0</v>
      </c>
      <c r="AX160">
        <f t="shared" si="21"/>
        <v>0</v>
      </c>
      <c r="AY160">
        <f t="shared" si="22"/>
        <v>0</v>
      </c>
      <c r="AZ160">
        <f t="shared" si="23"/>
        <v>0</v>
      </c>
    </row>
    <row r="161" spans="37:52" x14ac:dyDescent="0.35">
      <c r="AK161" s="16"/>
      <c r="AL161" s="16" t="s">
        <v>200</v>
      </c>
      <c r="AM161">
        <f t="shared" si="10"/>
        <v>7</v>
      </c>
      <c r="AN161">
        <f t="shared" si="11"/>
        <v>7</v>
      </c>
      <c r="AO161">
        <f t="shared" si="12"/>
        <v>7</v>
      </c>
      <c r="AP161">
        <f t="shared" si="13"/>
        <v>7</v>
      </c>
      <c r="AQ161">
        <f t="shared" si="14"/>
        <v>5</v>
      </c>
      <c r="AR161">
        <f t="shared" si="15"/>
        <v>7</v>
      </c>
      <c r="AS161">
        <f t="shared" si="16"/>
        <v>7</v>
      </c>
      <c r="AT161">
        <f t="shared" si="17"/>
        <v>7</v>
      </c>
      <c r="AU161">
        <f t="shared" si="18"/>
        <v>0</v>
      </c>
      <c r="AV161">
        <f t="shared" si="19"/>
        <v>0</v>
      </c>
      <c r="AW161">
        <f t="shared" si="20"/>
        <v>0</v>
      </c>
      <c r="AX161">
        <f t="shared" si="21"/>
        <v>0</v>
      </c>
      <c r="AY161">
        <f t="shared" si="22"/>
        <v>0</v>
      </c>
      <c r="AZ161">
        <f t="shared" si="23"/>
        <v>0</v>
      </c>
    </row>
    <row r="162" spans="37:52" x14ac:dyDescent="0.35">
      <c r="AK162" s="16"/>
      <c r="AL162" s="16" t="s">
        <v>201</v>
      </c>
      <c r="AM162">
        <f t="shared" si="10"/>
        <v>7</v>
      </c>
      <c r="AN162">
        <f t="shared" si="11"/>
        <v>7</v>
      </c>
      <c r="AO162">
        <f t="shared" si="12"/>
        <v>7</v>
      </c>
      <c r="AP162">
        <f t="shared" si="13"/>
        <v>7</v>
      </c>
      <c r="AQ162">
        <f t="shared" si="14"/>
        <v>7</v>
      </c>
      <c r="AR162">
        <f t="shared" si="15"/>
        <v>6</v>
      </c>
      <c r="AS162">
        <f t="shared" si="16"/>
        <v>7</v>
      </c>
      <c r="AT162">
        <f t="shared" si="17"/>
        <v>7</v>
      </c>
      <c r="AU162">
        <f t="shared" si="18"/>
        <v>0</v>
      </c>
      <c r="AV162">
        <f t="shared" si="19"/>
        <v>0</v>
      </c>
      <c r="AW162">
        <f t="shared" si="20"/>
        <v>0</v>
      </c>
      <c r="AX162">
        <f t="shared" si="21"/>
        <v>0</v>
      </c>
      <c r="AY162">
        <f t="shared" si="22"/>
        <v>0</v>
      </c>
      <c r="AZ162">
        <f t="shared" si="23"/>
        <v>0</v>
      </c>
    </row>
    <row r="163" spans="37:52" x14ac:dyDescent="0.35">
      <c r="AK163" s="16"/>
      <c r="AL163" s="16" t="s">
        <v>202</v>
      </c>
      <c r="AM163">
        <f t="shared" si="10"/>
        <v>7</v>
      </c>
      <c r="AN163">
        <f t="shared" si="11"/>
        <v>7</v>
      </c>
      <c r="AO163">
        <f t="shared" si="12"/>
        <v>7</v>
      </c>
      <c r="AP163">
        <f t="shared" si="13"/>
        <v>7</v>
      </c>
      <c r="AQ163">
        <f t="shared" si="14"/>
        <v>7</v>
      </c>
      <c r="AR163">
        <f t="shared" si="15"/>
        <v>7</v>
      </c>
      <c r="AS163">
        <f t="shared" si="16"/>
        <v>7</v>
      </c>
      <c r="AT163">
        <f t="shared" si="17"/>
        <v>7</v>
      </c>
      <c r="AU163">
        <f t="shared" si="18"/>
        <v>0</v>
      </c>
      <c r="AV163">
        <f t="shared" si="19"/>
        <v>0</v>
      </c>
      <c r="AW163">
        <f t="shared" si="20"/>
        <v>0</v>
      </c>
      <c r="AX163">
        <f t="shared" si="21"/>
        <v>0</v>
      </c>
      <c r="AY163">
        <f t="shared" si="22"/>
        <v>0</v>
      </c>
      <c r="AZ163">
        <f t="shared" si="23"/>
        <v>0</v>
      </c>
    </row>
    <row r="164" spans="37:52" x14ac:dyDescent="0.35">
      <c r="AK164" s="16"/>
      <c r="AL164" s="16" t="s">
        <v>203</v>
      </c>
      <c r="AM164">
        <f t="shared" si="10"/>
        <v>7</v>
      </c>
      <c r="AN164">
        <f t="shared" si="11"/>
        <v>7</v>
      </c>
      <c r="AO164">
        <f t="shared" si="12"/>
        <v>7</v>
      </c>
      <c r="AP164">
        <f t="shared" si="13"/>
        <v>7</v>
      </c>
      <c r="AQ164">
        <f t="shared" si="14"/>
        <v>7</v>
      </c>
      <c r="AR164">
        <f t="shared" si="15"/>
        <v>7</v>
      </c>
      <c r="AS164">
        <f t="shared" si="16"/>
        <v>7</v>
      </c>
      <c r="AT164">
        <f t="shared" si="17"/>
        <v>7</v>
      </c>
      <c r="AU164">
        <f t="shared" si="18"/>
        <v>0</v>
      </c>
      <c r="AV164">
        <f t="shared" si="19"/>
        <v>0</v>
      </c>
      <c r="AW164">
        <f t="shared" si="20"/>
        <v>0</v>
      </c>
      <c r="AX164">
        <f t="shared" si="21"/>
        <v>0</v>
      </c>
      <c r="AY164">
        <f t="shared" si="22"/>
        <v>0</v>
      </c>
      <c r="AZ164">
        <f t="shared" si="23"/>
        <v>0</v>
      </c>
    </row>
    <row r="165" spans="37:52" x14ac:dyDescent="0.35">
      <c r="AK165" s="16"/>
      <c r="AL165" s="16" t="s">
        <v>204</v>
      </c>
      <c r="AM165">
        <f t="shared" si="10"/>
        <v>7</v>
      </c>
      <c r="AN165">
        <f t="shared" si="11"/>
        <v>7</v>
      </c>
      <c r="AO165">
        <f t="shared" si="12"/>
        <v>7</v>
      </c>
      <c r="AP165">
        <f t="shared" si="13"/>
        <v>7</v>
      </c>
      <c r="AQ165">
        <f t="shared" si="14"/>
        <v>7</v>
      </c>
      <c r="AR165">
        <f t="shared" si="15"/>
        <v>7</v>
      </c>
      <c r="AS165">
        <f t="shared" si="16"/>
        <v>7</v>
      </c>
      <c r="AT165">
        <f t="shared" si="17"/>
        <v>7</v>
      </c>
      <c r="AU165">
        <f t="shared" si="18"/>
        <v>0</v>
      </c>
      <c r="AV165">
        <f t="shared" si="19"/>
        <v>0</v>
      </c>
      <c r="AW165">
        <f t="shared" si="20"/>
        <v>0</v>
      </c>
      <c r="AX165">
        <f t="shared" si="21"/>
        <v>0</v>
      </c>
      <c r="AY165">
        <f t="shared" si="22"/>
        <v>0</v>
      </c>
      <c r="AZ165">
        <f t="shared" si="23"/>
        <v>0</v>
      </c>
    </row>
    <row r="166" spans="37:52" x14ac:dyDescent="0.35">
      <c r="AK166" s="16"/>
      <c r="AL166" s="16" t="s">
        <v>205</v>
      </c>
      <c r="AM166">
        <f t="shared" si="10"/>
        <v>7</v>
      </c>
      <c r="AN166">
        <f t="shared" si="11"/>
        <v>7</v>
      </c>
      <c r="AO166">
        <f t="shared" si="12"/>
        <v>7</v>
      </c>
      <c r="AP166">
        <f t="shared" si="13"/>
        <v>7</v>
      </c>
      <c r="AQ166">
        <f t="shared" si="14"/>
        <v>5</v>
      </c>
      <c r="AR166">
        <f t="shared" si="15"/>
        <v>7</v>
      </c>
      <c r="AS166">
        <f t="shared" si="16"/>
        <v>7</v>
      </c>
      <c r="AT166">
        <f t="shared" si="17"/>
        <v>7</v>
      </c>
      <c r="AU166">
        <f t="shared" si="18"/>
        <v>0</v>
      </c>
      <c r="AV166">
        <f t="shared" si="19"/>
        <v>0</v>
      </c>
      <c r="AW166">
        <f t="shared" si="20"/>
        <v>0</v>
      </c>
      <c r="AX166">
        <f t="shared" si="21"/>
        <v>0</v>
      </c>
      <c r="AY166">
        <f t="shared" si="22"/>
        <v>0</v>
      </c>
      <c r="AZ166">
        <f t="shared" si="23"/>
        <v>0</v>
      </c>
    </row>
    <row r="167" spans="37:52" x14ac:dyDescent="0.35">
      <c r="AK167" s="16"/>
      <c r="AL167" s="16" t="s">
        <v>206</v>
      </c>
      <c r="AM167">
        <f t="shared" si="10"/>
        <v>7</v>
      </c>
      <c r="AN167">
        <f t="shared" si="11"/>
        <v>7</v>
      </c>
      <c r="AO167">
        <f t="shared" si="12"/>
        <v>7</v>
      </c>
      <c r="AP167">
        <f t="shared" si="13"/>
        <v>7</v>
      </c>
      <c r="AQ167">
        <f t="shared" si="14"/>
        <v>7</v>
      </c>
      <c r="AR167">
        <f t="shared" si="15"/>
        <v>7</v>
      </c>
      <c r="AS167">
        <f t="shared" si="16"/>
        <v>7</v>
      </c>
      <c r="AT167">
        <f t="shared" si="17"/>
        <v>7</v>
      </c>
      <c r="AU167">
        <f t="shared" si="18"/>
        <v>0</v>
      </c>
      <c r="AV167">
        <f t="shared" si="19"/>
        <v>0</v>
      </c>
      <c r="AW167">
        <f t="shared" si="20"/>
        <v>0</v>
      </c>
      <c r="AX167">
        <f t="shared" si="21"/>
        <v>0</v>
      </c>
      <c r="AY167">
        <f t="shared" si="22"/>
        <v>0</v>
      </c>
      <c r="AZ167">
        <f t="shared" si="23"/>
        <v>0</v>
      </c>
    </row>
    <row r="168" spans="37:52" x14ac:dyDescent="0.35">
      <c r="AK168" s="16"/>
      <c r="AL168" s="16" t="s">
        <v>207</v>
      </c>
      <c r="AM168">
        <f t="shared" si="10"/>
        <v>7</v>
      </c>
      <c r="AN168">
        <f t="shared" si="11"/>
        <v>7</v>
      </c>
      <c r="AO168">
        <f t="shared" si="12"/>
        <v>6</v>
      </c>
      <c r="AP168">
        <f t="shared" si="13"/>
        <v>6</v>
      </c>
      <c r="AQ168">
        <f t="shared" si="14"/>
        <v>2</v>
      </c>
      <c r="AR168">
        <f t="shared" si="15"/>
        <v>7</v>
      </c>
      <c r="AS168">
        <f t="shared" si="16"/>
        <v>7</v>
      </c>
      <c r="AT168">
        <f t="shared" si="17"/>
        <v>7</v>
      </c>
      <c r="AU168">
        <f t="shared" si="18"/>
        <v>0</v>
      </c>
      <c r="AV168">
        <f t="shared" si="19"/>
        <v>0</v>
      </c>
      <c r="AW168">
        <f t="shared" si="20"/>
        <v>0</v>
      </c>
      <c r="AX168">
        <f t="shared" si="21"/>
        <v>0</v>
      </c>
      <c r="AY168">
        <f t="shared" si="22"/>
        <v>0</v>
      </c>
      <c r="AZ168">
        <f t="shared" si="23"/>
        <v>0</v>
      </c>
    </row>
    <row r="169" spans="37:52" x14ac:dyDescent="0.35">
      <c r="AK169" s="16"/>
      <c r="AL169" s="16" t="s">
        <v>208</v>
      </c>
      <c r="AM169">
        <f t="shared" si="10"/>
        <v>7</v>
      </c>
      <c r="AN169">
        <f t="shared" si="11"/>
        <v>7</v>
      </c>
      <c r="AO169">
        <f t="shared" si="12"/>
        <v>7</v>
      </c>
      <c r="AP169">
        <f t="shared" si="13"/>
        <v>7</v>
      </c>
      <c r="AQ169">
        <f t="shared" si="14"/>
        <v>7</v>
      </c>
      <c r="AR169">
        <f t="shared" si="15"/>
        <v>7</v>
      </c>
      <c r="AS169">
        <f t="shared" si="16"/>
        <v>7</v>
      </c>
      <c r="AT169">
        <f t="shared" si="17"/>
        <v>7</v>
      </c>
      <c r="AU169">
        <f t="shared" si="18"/>
        <v>0</v>
      </c>
      <c r="AV169">
        <f t="shared" si="19"/>
        <v>0</v>
      </c>
      <c r="AW169">
        <f t="shared" si="20"/>
        <v>0</v>
      </c>
      <c r="AX169">
        <f t="shared" si="21"/>
        <v>0</v>
      </c>
      <c r="AY169">
        <f t="shared" si="22"/>
        <v>0</v>
      </c>
      <c r="AZ169">
        <f t="shared" si="23"/>
        <v>0</v>
      </c>
    </row>
    <row r="170" spans="37:52" x14ac:dyDescent="0.35">
      <c r="AK170" s="16"/>
      <c r="AL170" s="16" t="s">
        <v>209</v>
      </c>
      <c r="AM170">
        <f t="shared" si="10"/>
        <v>7</v>
      </c>
      <c r="AN170">
        <f t="shared" si="11"/>
        <v>7</v>
      </c>
      <c r="AO170">
        <f t="shared" si="12"/>
        <v>7</v>
      </c>
      <c r="AP170">
        <f t="shared" si="13"/>
        <v>7</v>
      </c>
      <c r="AQ170">
        <f t="shared" si="14"/>
        <v>6</v>
      </c>
      <c r="AR170">
        <f t="shared" si="15"/>
        <v>7</v>
      </c>
      <c r="AS170">
        <f t="shared" si="16"/>
        <v>7</v>
      </c>
      <c r="AT170">
        <f t="shared" si="17"/>
        <v>7</v>
      </c>
      <c r="AU170">
        <f t="shared" si="18"/>
        <v>0</v>
      </c>
      <c r="AV170">
        <f t="shared" si="19"/>
        <v>0</v>
      </c>
      <c r="AW170">
        <f t="shared" si="20"/>
        <v>0</v>
      </c>
      <c r="AX170">
        <f t="shared" si="21"/>
        <v>0</v>
      </c>
      <c r="AY170">
        <f t="shared" si="22"/>
        <v>0</v>
      </c>
      <c r="AZ170">
        <f t="shared" si="23"/>
        <v>0</v>
      </c>
    </row>
    <row r="171" spans="37:52" x14ac:dyDescent="0.35">
      <c r="AK171" s="16"/>
      <c r="AL171" s="16" t="s">
        <v>210</v>
      </c>
      <c r="AM171">
        <f t="shared" si="10"/>
        <v>7</v>
      </c>
      <c r="AN171">
        <f t="shared" si="11"/>
        <v>7</v>
      </c>
      <c r="AO171">
        <f t="shared" si="12"/>
        <v>7</v>
      </c>
      <c r="AP171">
        <f t="shared" si="13"/>
        <v>7</v>
      </c>
      <c r="AQ171">
        <f t="shared" si="14"/>
        <v>7</v>
      </c>
      <c r="AR171">
        <f t="shared" si="15"/>
        <v>7</v>
      </c>
      <c r="AS171">
        <f t="shared" si="16"/>
        <v>7</v>
      </c>
      <c r="AT171">
        <f t="shared" si="17"/>
        <v>7</v>
      </c>
      <c r="AU171">
        <f t="shared" si="18"/>
        <v>0</v>
      </c>
      <c r="AV171">
        <f t="shared" si="19"/>
        <v>0</v>
      </c>
      <c r="AW171">
        <f t="shared" si="20"/>
        <v>0</v>
      </c>
      <c r="AX171">
        <f t="shared" si="21"/>
        <v>0</v>
      </c>
      <c r="AY171">
        <f t="shared" si="22"/>
        <v>0</v>
      </c>
      <c r="AZ171">
        <f t="shared" si="23"/>
        <v>0</v>
      </c>
    </row>
    <row r="172" spans="37:52" x14ac:dyDescent="0.35">
      <c r="AK172" s="16"/>
      <c r="AL172" s="16" t="s">
        <v>211</v>
      </c>
      <c r="AM172">
        <f t="shared" si="10"/>
        <v>7</v>
      </c>
      <c r="AN172">
        <f t="shared" si="11"/>
        <v>7</v>
      </c>
      <c r="AO172">
        <f t="shared" si="12"/>
        <v>7</v>
      </c>
      <c r="AP172">
        <f t="shared" si="13"/>
        <v>7</v>
      </c>
      <c r="AQ172">
        <f t="shared" si="14"/>
        <v>7</v>
      </c>
      <c r="AR172">
        <f t="shared" si="15"/>
        <v>7</v>
      </c>
      <c r="AS172">
        <f t="shared" si="16"/>
        <v>7</v>
      </c>
      <c r="AT172">
        <f t="shared" si="17"/>
        <v>7</v>
      </c>
      <c r="AU172">
        <f t="shared" si="18"/>
        <v>0</v>
      </c>
      <c r="AV172">
        <f t="shared" si="19"/>
        <v>0</v>
      </c>
      <c r="AW172">
        <f t="shared" si="20"/>
        <v>0</v>
      </c>
      <c r="AX172">
        <f t="shared" si="21"/>
        <v>0</v>
      </c>
      <c r="AY172">
        <f t="shared" si="22"/>
        <v>0</v>
      </c>
      <c r="AZ172">
        <f t="shared" si="23"/>
        <v>0</v>
      </c>
    </row>
    <row r="173" spans="37:52" x14ac:dyDescent="0.35">
      <c r="AK173" s="16"/>
      <c r="AL173" s="16" t="s">
        <v>212</v>
      </c>
      <c r="AM173">
        <f t="shared" si="10"/>
        <v>7</v>
      </c>
      <c r="AN173">
        <f t="shared" si="11"/>
        <v>7</v>
      </c>
      <c r="AO173">
        <f t="shared" si="12"/>
        <v>7</v>
      </c>
      <c r="AP173">
        <f t="shared" si="13"/>
        <v>7</v>
      </c>
      <c r="AQ173">
        <f t="shared" si="14"/>
        <v>4</v>
      </c>
      <c r="AR173">
        <f t="shared" si="15"/>
        <v>7</v>
      </c>
      <c r="AS173">
        <f t="shared" si="16"/>
        <v>7</v>
      </c>
      <c r="AT173">
        <f t="shared" si="17"/>
        <v>7</v>
      </c>
      <c r="AU173">
        <f t="shared" si="18"/>
        <v>0</v>
      </c>
      <c r="AV173">
        <f t="shared" si="19"/>
        <v>0</v>
      </c>
      <c r="AW173">
        <f t="shared" si="20"/>
        <v>0</v>
      </c>
      <c r="AX173">
        <f t="shared" si="21"/>
        <v>0</v>
      </c>
      <c r="AY173">
        <f t="shared" si="22"/>
        <v>0</v>
      </c>
      <c r="AZ173">
        <f t="shared" si="23"/>
        <v>0</v>
      </c>
    </row>
    <row r="174" spans="37:52" x14ac:dyDescent="0.35">
      <c r="AK174" s="16"/>
      <c r="AL174" s="16" t="s">
        <v>213</v>
      </c>
      <c r="AM174">
        <f t="shared" si="10"/>
        <v>7</v>
      </c>
      <c r="AN174">
        <f t="shared" si="11"/>
        <v>7</v>
      </c>
      <c r="AO174">
        <f t="shared" si="12"/>
        <v>7</v>
      </c>
      <c r="AP174">
        <f t="shared" si="13"/>
        <v>7</v>
      </c>
      <c r="AQ174">
        <f t="shared" si="14"/>
        <v>5</v>
      </c>
      <c r="AR174">
        <f t="shared" si="15"/>
        <v>7</v>
      </c>
      <c r="AS174">
        <f t="shared" si="16"/>
        <v>7</v>
      </c>
      <c r="AT174">
        <f t="shared" si="17"/>
        <v>7</v>
      </c>
      <c r="AU174">
        <f t="shared" si="18"/>
        <v>0</v>
      </c>
      <c r="AV174">
        <f t="shared" si="19"/>
        <v>0</v>
      </c>
      <c r="AW174">
        <f t="shared" si="20"/>
        <v>0</v>
      </c>
      <c r="AX174">
        <f t="shared" si="21"/>
        <v>0</v>
      </c>
      <c r="AY174">
        <f t="shared" si="22"/>
        <v>0</v>
      </c>
      <c r="AZ174">
        <f t="shared" si="23"/>
        <v>0</v>
      </c>
    </row>
    <row r="175" spans="37:52" x14ac:dyDescent="0.35">
      <c r="AK175" s="16"/>
      <c r="AL175" s="16" t="s">
        <v>214</v>
      </c>
      <c r="AM175">
        <f t="shared" si="10"/>
        <v>7</v>
      </c>
      <c r="AN175">
        <f t="shared" si="11"/>
        <v>7</v>
      </c>
      <c r="AO175">
        <f t="shared" si="12"/>
        <v>7</v>
      </c>
      <c r="AP175">
        <f t="shared" si="13"/>
        <v>7</v>
      </c>
      <c r="AQ175">
        <f t="shared" si="14"/>
        <v>7</v>
      </c>
      <c r="AR175">
        <f t="shared" si="15"/>
        <v>7</v>
      </c>
      <c r="AS175">
        <f t="shared" si="16"/>
        <v>7</v>
      </c>
      <c r="AT175">
        <f t="shared" si="17"/>
        <v>7</v>
      </c>
      <c r="AU175">
        <f t="shared" si="18"/>
        <v>0</v>
      </c>
      <c r="AV175">
        <f t="shared" si="19"/>
        <v>0</v>
      </c>
      <c r="AW175">
        <f t="shared" si="20"/>
        <v>0</v>
      </c>
      <c r="AX175">
        <f t="shared" si="21"/>
        <v>0</v>
      </c>
      <c r="AY175">
        <f t="shared" si="22"/>
        <v>0</v>
      </c>
      <c r="AZ175">
        <f t="shared" si="23"/>
        <v>0</v>
      </c>
    </row>
    <row r="176" spans="37:52" x14ac:dyDescent="0.35">
      <c r="AK176" s="16"/>
      <c r="AL176" s="16" t="s">
        <v>215</v>
      </c>
      <c r="AM176">
        <f t="shared" si="10"/>
        <v>7</v>
      </c>
      <c r="AN176">
        <f t="shared" si="11"/>
        <v>7</v>
      </c>
      <c r="AO176">
        <f t="shared" si="12"/>
        <v>7</v>
      </c>
      <c r="AP176">
        <f t="shared" si="13"/>
        <v>7</v>
      </c>
      <c r="AQ176">
        <f t="shared" si="14"/>
        <v>7</v>
      </c>
      <c r="AR176">
        <f t="shared" si="15"/>
        <v>7</v>
      </c>
      <c r="AS176">
        <f t="shared" si="16"/>
        <v>7</v>
      </c>
      <c r="AT176">
        <f t="shared" si="17"/>
        <v>7</v>
      </c>
      <c r="AU176">
        <f t="shared" si="18"/>
        <v>0</v>
      </c>
      <c r="AV176">
        <f t="shared" si="19"/>
        <v>0</v>
      </c>
      <c r="AW176">
        <f t="shared" si="20"/>
        <v>0</v>
      </c>
      <c r="AX176">
        <f t="shared" si="21"/>
        <v>0</v>
      </c>
      <c r="AY176">
        <f t="shared" si="22"/>
        <v>0</v>
      </c>
      <c r="AZ176">
        <f t="shared" si="23"/>
        <v>0</v>
      </c>
    </row>
    <row r="177" spans="37:52" x14ac:dyDescent="0.35">
      <c r="AK177" s="16"/>
      <c r="AL177" s="16" t="s">
        <v>216</v>
      </c>
      <c r="AM177">
        <f t="shared" si="10"/>
        <v>7</v>
      </c>
      <c r="AN177">
        <f t="shared" si="11"/>
        <v>7</v>
      </c>
      <c r="AO177">
        <f t="shared" si="12"/>
        <v>7</v>
      </c>
      <c r="AP177">
        <f t="shared" si="13"/>
        <v>7</v>
      </c>
      <c r="AQ177">
        <f t="shared" si="14"/>
        <v>7</v>
      </c>
      <c r="AR177">
        <f t="shared" si="15"/>
        <v>7</v>
      </c>
      <c r="AS177">
        <f t="shared" si="16"/>
        <v>7</v>
      </c>
      <c r="AT177">
        <f t="shared" si="17"/>
        <v>7</v>
      </c>
      <c r="AU177">
        <f t="shared" si="18"/>
        <v>0</v>
      </c>
      <c r="AV177">
        <f t="shared" si="19"/>
        <v>0</v>
      </c>
      <c r="AW177">
        <f t="shared" si="20"/>
        <v>0</v>
      </c>
      <c r="AX177">
        <f t="shared" si="21"/>
        <v>0</v>
      </c>
      <c r="AY177">
        <f t="shared" si="22"/>
        <v>0</v>
      </c>
      <c r="AZ177">
        <f t="shared" si="23"/>
        <v>0</v>
      </c>
    </row>
    <row r="178" spans="37:52" x14ac:dyDescent="0.35">
      <c r="AK178" s="16"/>
      <c r="AL178" s="16" t="s">
        <v>217</v>
      </c>
      <c r="AM178">
        <f t="shared" si="10"/>
        <v>7</v>
      </c>
      <c r="AN178">
        <f t="shared" si="11"/>
        <v>7</v>
      </c>
      <c r="AO178">
        <f t="shared" si="12"/>
        <v>7</v>
      </c>
      <c r="AP178">
        <f t="shared" si="13"/>
        <v>7</v>
      </c>
      <c r="AQ178">
        <f t="shared" si="14"/>
        <v>7</v>
      </c>
      <c r="AR178">
        <f t="shared" si="15"/>
        <v>7</v>
      </c>
      <c r="AS178">
        <f t="shared" si="16"/>
        <v>7</v>
      </c>
      <c r="AT178">
        <f t="shared" si="17"/>
        <v>7</v>
      </c>
      <c r="AU178">
        <f t="shared" si="18"/>
        <v>0</v>
      </c>
      <c r="AV178">
        <f t="shared" si="19"/>
        <v>0</v>
      </c>
      <c r="AW178">
        <f t="shared" si="20"/>
        <v>0</v>
      </c>
      <c r="AX178">
        <f t="shared" si="21"/>
        <v>0</v>
      </c>
      <c r="AY178">
        <f t="shared" si="22"/>
        <v>0</v>
      </c>
      <c r="AZ178">
        <f t="shared" si="23"/>
        <v>0</v>
      </c>
    </row>
    <row r="179" spans="37:52" x14ac:dyDescent="0.35">
      <c r="AK179" s="16"/>
      <c r="AL179" s="16" t="s">
        <v>218</v>
      </c>
      <c r="AM179">
        <f t="shared" si="10"/>
        <v>7</v>
      </c>
      <c r="AN179">
        <f t="shared" si="11"/>
        <v>7</v>
      </c>
      <c r="AO179">
        <f t="shared" si="12"/>
        <v>7</v>
      </c>
      <c r="AP179">
        <f t="shared" si="13"/>
        <v>4</v>
      </c>
      <c r="AQ179">
        <f t="shared" si="14"/>
        <v>4</v>
      </c>
      <c r="AR179">
        <f t="shared" si="15"/>
        <v>2</v>
      </c>
      <c r="AS179">
        <f t="shared" si="16"/>
        <v>3</v>
      </c>
      <c r="AT179">
        <f t="shared" si="17"/>
        <v>6</v>
      </c>
      <c r="AU179">
        <f t="shared" si="18"/>
        <v>0</v>
      </c>
      <c r="AV179">
        <f t="shared" si="19"/>
        <v>0</v>
      </c>
      <c r="AW179">
        <f t="shared" si="20"/>
        <v>0</v>
      </c>
      <c r="AX179">
        <f t="shared" si="21"/>
        <v>0</v>
      </c>
      <c r="AY179">
        <f t="shared" si="22"/>
        <v>0</v>
      </c>
      <c r="AZ179">
        <f t="shared" si="23"/>
        <v>0</v>
      </c>
    </row>
    <row r="180" spans="37:52" x14ac:dyDescent="0.35">
      <c r="AK180" s="16"/>
      <c r="AL180" s="16" t="s">
        <v>219</v>
      </c>
      <c r="AM180">
        <f t="shared" si="10"/>
        <v>7</v>
      </c>
      <c r="AN180">
        <f t="shared" si="11"/>
        <v>7</v>
      </c>
      <c r="AO180">
        <f t="shared" si="12"/>
        <v>7</v>
      </c>
      <c r="AP180">
        <f t="shared" si="13"/>
        <v>7</v>
      </c>
      <c r="AQ180">
        <f t="shared" si="14"/>
        <v>7</v>
      </c>
      <c r="AR180">
        <f t="shared" si="15"/>
        <v>7</v>
      </c>
      <c r="AS180">
        <f t="shared" si="16"/>
        <v>7</v>
      </c>
      <c r="AT180">
        <f t="shared" si="17"/>
        <v>7</v>
      </c>
      <c r="AU180">
        <f t="shared" si="18"/>
        <v>0</v>
      </c>
      <c r="AV180">
        <f t="shared" si="19"/>
        <v>0</v>
      </c>
      <c r="AW180">
        <f t="shared" si="20"/>
        <v>0</v>
      </c>
      <c r="AX180">
        <f t="shared" si="21"/>
        <v>0</v>
      </c>
      <c r="AY180">
        <f t="shared" si="22"/>
        <v>0</v>
      </c>
      <c r="AZ180">
        <f t="shared" si="23"/>
        <v>0</v>
      </c>
    </row>
    <row r="181" spans="37:52" x14ac:dyDescent="0.35">
      <c r="AK181" s="16"/>
      <c r="AL181" s="16" t="s">
        <v>220</v>
      </c>
      <c r="AM181">
        <f t="shared" si="10"/>
        <v>7</v>
      </c>
      <c r="AN181">
        <f t="shared" si="11"/>
        <v>7</v>
      </c>
      <c r="AO181">
        <f t="shared" si="12"/>
        <v>7</v>
      </c>
      <c r="AP181">
        <f t="shared" si="13"/>
        <v>7</v>
      </c>
      <c r="AQ181">
        <f t="shared" si="14"/>
        <v>7</v>
      </c>
      <c r="AR181">
        <f t="shared" si="15"/>
        <v>7</v>
      </c>
      <c r="AS181">
        <f t="shared" si="16"/>
        <v>7</v>
      </c>
      <c r="AT181">
        <f t="shared" si="17"/>
        <v>7</v>
      </c>
      <c r="AU181">
        <f t="shared" si="18"/>
        <v>0</v>
      </c>
      <c r="AV181">
        <f t="shared" si="19"/>
        <v>0</v>
      </c>
      <c r="AW181">
        <f t="shared" si="20"/>
        <v>0</v>
      </c>
      <c r="AX181">
        <f t="shared" si="21"/>
        <v>0</v>
      </c>
      <c r="AY181">
        <f t="shared" si="22"/>
        <v>0</v>
      </c>
      <c r="AZ181">
        <f t="shared" si="23"/>
        <v>0</v>
      </c>
    </row>
    <row r="182" spans="37:52" x14ac:dyDescent="0.35">
      <c r="AK182" s="16"/>
      <c r="AL182" s="16" t="s">
        <v>221</v>
      </c>
      <c r="AM182">
        <f t="shared" si="10"/>
        <v>7</v>
      </c>
      <c r="AN182">
        <f t="shared" si="11"/>
        <v>7</v>
      </c>
      <c r="AO182">
        <f t="shared" si="12"/>
        <v>7</v>
      </c>
      <c r="AP182">
        <f t="shared" si="13"/>
        <v>7</v>
      </c>
      <c r="AQ182">
        <f t="shared" si="14"/>
        <v>7</v>
      </c>
      <c r="AR182">
        <f t="shared" si="15"/>
        <v>7</v>
      </c>
      <c r="AS182">
        <f t="shared" si="16"/>
        <v>7</v>
      </c>
      <c r="AT182">
        <f t="shared" si="17"/>
        <v>7</v>
      </c>
      <c r="AU182">
        <f t="shared" si="18"/>
        <v>0</v>
      </c>
      <c r="AV182">
        <f t="shared" si="19"/>
        <v>0</v>
      </c>
      <c r="AW182">
        <f t="shared" si="20"/>
        <v>0</v>
      </c>
      <c r="AX182">
        <f t="shared" si="21"/>
        <v>0</v>
      </c>
      <c r="AY182">
        <f t="shared" si="22"/>
        <v>0</v>
      </c>
      <c r="AZ182">
        <f t="shared" si="23"/>
        <v>0</v>
      </c>
    </row>
    <row r="183" spans="37:52" x14ac:dyDescent="0.35">
      <c r="AK183" s="16"/>
      <c r="AL183" s="16" t="s">
        <v>222</v>
      </c>
      <c r="AM183">
        <f t="shared" si="10"/>
        <v>7</v>
      </c>
      <c r="AN183">
        <f t="shared" si="11"/>
        <v>7</v>
      </c>
      <c r="AO183">
        <f t="shared" si="12"/>
        <v>7</v>
      </c>
      <c r="AP183">
        <f t="shared" si="13"/>
        <v>7</v>
      </c>
      <c r="AQ183">
        <f t="shared" si="14"/>
        <v>5</v>
      </c>
      <c r="AR183">
        <f t="shared" si="15"/>
        <v>7</v>
      </c>
      <c r="AS183">
        <f t="shared" si="16"/>
        <v>7</v>
      </c>
      <c r="AT183">
        <f t="shared" si="17"/>
        <v>6</v>
      </c>
      <c r="AU183">
        <f t="shared" si="18"/>
        <v>0</v>
      </c>
      <c r="AV183">
        <f t="shared" si="19"/>
        <v>0</v>
      </c>
      <c r="AW183">
        <f t="shared" si="20"/>
        <v>0</v>
      </c>
      <c r="AX183">
        <f t="shared" si="21"/>
        <v>0</v>
      </c>
      <c r="AY183">
        <f t="shared" si="22"/>
        <v>0</v>
      </c>
      <c r="AZ183">
        <f t="shared" si="23"/>
        <v>0</v>
      </c>
    </row>
    <row r="184" spans="37:52" x14ac:dyDescent="0.35">
      <c r="AK184" s="16"/>
      <c r="AL184" s="16" t="s">
        <v>223</v>
      </c>
      <c r="AM184">
        <f t="shared" si="10"/>
        <v>1</v>
      </c>
      <c r="AN184">
        <f t="shared" si="11"/>
        <v>0</v>
      </c>
      <c r="AO184">
        <f t="shared" si="12"/>
        <v>2</v>
      </c>
      <c r="AP184">
        <f t="shared" si="13"/>
        <v>2</v>
      </c>
      <c r="AQ184">
        <f t="shared" si="14"/>
        <v>0</v>
      </c>
      <c r="AR184">
        <f t="shared" si="15"/>
        <v>0</v>
      </c>
      <c r="AS184">
        <f t="shared" si="16"/>
        <v>0</v>
      </c>
      <c r="AT184">
        <f t="shared" si="17"/>
        <v>1</v>
      </c>
      <c r="AU184">
        <f t="shared" si="18"/>
        <v>0</v>
      </c>
      <c r="AV184">
        <f t="shared" si="19"/>
        <v>0</v>
      </c>
      <c r="AW184">
        <f t="shared" si="20"/>
        <v>0</v>
      </c>
      <c r="AX184">
        <f t="shared" si="21"/>
        <v>0</v>
      </c>
      <c r="AY184">
        <f t="shared" si="22"/>
        <v>0</v>
      </c>
      <c r="AZ184">
        <f t="shared" si="23"/>
        <v>0</v>
      </c>
    </row>
    <row r="185" spans="37:52" x14ac:dyDescent="0.35">
      <c r="AK185" s="16"/>
      <c r="AL185" s="16" t="s">
        <v>224</v>
      </c>
      <c r="AM185">
        <f t="shared" si="10"/>
        <v>7</v>
      </c>
      <c r="AN185">
        <f t="shared" si="11"/>
        <v>7</v>
      </c>
      <c r="AO185">
        <f t="shared" si="12"/>
        <v>7</v>
      </c>
      <c r="AP185">
        <f t="shared" si="13"/>
        <v>7</v>
      </c>
      <c r="AQ185">
        <f t="shared" si="14"/>
        <v>7</v>
      </c>
      <c r="AR185">
        <f t="shared" si="15"/>
        <v>7</v>
      </c>
      <c r="AS185">
        <f t="shared" si="16"/>
        <v>7</v>
      </c>
      <c r="AT185">
        <f t="shared" si="17"/>
        <v>7</v>
      </c>
      <c r="AU185">
        <f t="shared" si="18"/>
        <v>0</v>
      </c>
      <c r="AV185">
        <f t="shared" si="19"/>
        <v>0</v>
      </c>
      <c r="AW185">
        <f t="shared" si="20"/>
        <v>0</v>
      </c>
      <c r="AX185">
        <f t="shared" si="21"/>
        <v>0</v>
      </c>
      <c r="AY185">
        <f t="shared" si="22"/>
        <v>0</v>
      </c>
      <c r="AZ185">
        <f t="shared" si="23"/>
        <v>0</v>
      </c>
    </row>
    <row r="186" spans="37:52" x14ac:dyDescent="0.35">
      <c r="AK186" s="16"/>
      <c r="AL186" s="16" t="s">
        <v>225</v>
      </c>
      <c r="AM186">
        <f t="shared" si="10"/>
        <v>7</v>
      </c>
      <c r="AN186">
        <f t="shared" si="11"/>
        <v>7</v>
      </c>
      <c r="AO186">
        <f t="shared" si="12"/>
        <v>7</v>
      </c>
      <c r="AP186">
        <f t="shared" si="13"/>
        <v>6</v>
      </c>
      <c r="AQ186">
        <f t="shared" si="14"/>
        <v>1</v>
      </c>
      <c r="AR186">
        <f t="shared" si="15"/>
        <v>3</v>
      </c>
      <c r="AS186">
        <f t="shared" si="16"/>
        <v>7</v>
      </c>
      <c r="AT186">
        <f t="shared" si="17"/>
        <v>7</v>
      </c>
      <c r="AU186">
        <f t="shared" si="18"/>
        <v>0</v>
      </c>
      <c r="AV186">
        <f t="shared" si="19"/>
        <v>0</v>
      </c>
      <c r="AW186">
        <f t="shared" si="20"/>
        <v>0</v>
      </c>
      <c r="AX186">
        <f t="shared" si="21"/>
        <v>0</v>
      </c>
      <c r="AY186">
        <f t="shared" si="22"/>
        <v>0</v>
      </c>
      <c r="AZ186">
        <f t="shared" si="23"/>
        <v>0</v>
      </c>
    </row>
    <row r="187" spans="37:52" x14ac:dyDescent="0.35">
      <c r="AK187" s="16"/>
      <c r="AL187" s="16" t="s">
        <v>226</v>
      </c>
      <c r="AM187">
        <f t="shared" si="10"/>
        <v>7</v>
      </c>
      <c r="AN187">
        <f t="shared" si="11"/>
        <v>7</v>
      </c>
      <c r="AO187">
        <f t="shared" si="12"/>
        <v>7</v>
      </c>
      <c r="AP187">
        <f t="shared" si="13"/>
        <v>6</v>
      </c>
      <c r="AQ187">
        <f t="shared" si="14"/>
        <v>4</v>
      </c>
      <c r="AR187">
        <f t="shared" si="15"/>
        <v>7</v>
      </c>
      <c r="AS187">
        <f t="shared" si="16"/>
        <v>7</v>
      </c>
      <c r="AT187">
        <f t="shared" si="17"/>
        <v>7</v>
      </c>
      <c r="AU187">
        <f t="shared" si="18"/>
        <v>0</v>
      </c>
      <c r="AV187">
        <f t="shared" si="19"/>
        <v>0</v>
      </c>
      <c r="AW187">
        <f t="shared" si="20"/>
        <v>0</v>
      </c>
      <c r="AX187">
        <f t="shared" si="21"/>
        <v>0</v>
      </c>
      <c r="AY187">
        <f t="shared" si="22"/>
        <v>0</v>
      </c>
      <c r="AZ187">
        <f t="shared" si="23"/>
        <v>0</v>
      </c>
    </row>
    <row r="188" spans="37:52" x14ac:dyDescent="0.35">
      <c r="AK188" s="16"/>
      <c r="AL188" s="16" t="s">
        <v>227</v>
      </c>
      <c r="AM188">
        <f t="shared" si="10"/>
        <v>2</v>
      </c>
      <c r="AN188">
        <f t="shared" si="11"/>
        <v>1</v>
      </c>
      <c r="AO188">
        <f t="shared" si="12"/>
        <v>1</v>
      </c>
      <c r="AP188">
        <f t="shared" si="13"/>
        <v>0</v>
      </c>
      <c r="AQ188">
        <f t="shared" si="14"/>
        <v>0</v>
      </c>
      <c r="AR188">
        <f t="shared" si="15"/>
        <v>0</v>
      </c>
      <c r="AS188">
        <f t="shared" si="16"/>
        <v>4</v>
      </c>
      <c r="AT188">
        <f t="shared" si="17"/>
        <v>6</v>
      </c>
      <c r="AU188">
        <f t="shared" si="18"/>
        <v>0</v>
      </c>
      <c r="AV188">
        <f t="shared" si="19"/>
        <v>0</v>
      </c>
      <c r="AW188">
        <f t="shared" si="20"/>
        <v>0</v>
      </c>
      <c r="AX188">
        <f t="shared" si="21"/>
        <v>0</v>
      </c>
      <c r="AY188">
        <f t="shared" si="22"/>
        <v>0</v>
      </c>
      <c r="AZ188">
        <f t="shared" si="23"/>
        <v>0</v>
      </c>
    </row>
    <row r="189" spans="37:52" x14ac:dyDescent="0.35">
      <c r="AK189" s="16"/>
      <c r="AL189" s="16" t="s">
        <v>228</v>
      </c>
      <c r="AM189">
        <f t="shared" si="10"/>
        <v>7</v>
      </c>
      <c r="AN189">
        <f t="shared" si="11"/>
        <v>7</v>
      </c>
      <c r="AO189">
        <f t="shared" si="12"/>
        <v>7</v>
      </c>
      <c r="AP189">
        <f t="shared" si="13"/>
        <v>7</v>
      </c>
      <c r="AQ189">
        <f t="shared" si="14"/>
        <v>5</v>
      </c>
      <c r="AR189">
        <f t="shared" si="15"/>
        <v>7</v>
      </c>
      <c r="AS189">
        <f t="shared" si="16"/>
        <v>7</v>
      </c>
      <c r="AT189">
        <f t="shared" si="17"/>
        <v>7</v>
      </c>
      <c r="AU189">
        <f t="shared" si="18"/>
        <v>0</v>
      </c>
      <c r="AV189">
        <f t="shared" si="19"/>
        <v>0</v>
      </c>
      <c r="AW189">
        <f t="shared" si="20"/>
        <v>0</v>
      </c>
      <c r="AX189">
        <f t="shared" si="21"/>
        <v>0</v>
      </c>
      <c r="AY189">
        <f t="shared" si="22"/>
        <v>0</v>
      </c>
      <c r="AZ189">
        <f t="shared" si="23"/>
        <v>0</v>
      </c>
    </row>
    <row r="190" spans="37:52" x14ac:dyDescent="0.35">
      <c r="AK190" s="16"/>
      <c r="AL190" s="16" t="s">
        <v>229</v>
      </c>
      <c r="AM190">
        <f t="shared" si="10"/>
        <v>7</v>
      </c>
      <c r="AN190">
        <f t="shared" si="11"/>
        <v>7</v>
      </c>
      <c r="AO190">
        <f t="shared" si="12"/>
        <v>7</v>
      </c>
      <c r="AP190">
        <f t="shared" si="13"/>
        <v>7</v>
      </c>
      <c r="AQ190">
        <f t="shared" si="14"/>
        <v>5</v>
      </c>
      <c r="AR190">
        <f t="shared" si="15"/>
        <v>7</v>
      </c>
      <c r="AS190">
        <f t="shared" si="16"/>
        <v>7</v>
      </c>
      <c r="AT190">
        <f t="shared" si="17"/>
        <v>7</v>
      </c>
      <c r="AU190">
        <f t="shared" si="18"/>
        <v>0</v>
      </c>
      <c r="AV190">
        <f t="shared" si="19"/>
        <v>0</v>
      </c>
      <c r="AW190">
        <f t="shared" si="20"/>
        <v>0</v>
      </c>
      <c r="AX190">
        <f t="shared" si="21"/>
        <v>0</v>
      </c>
      <c r="AY190">
        <f t="shared" si="22"/>
        <v>0</v>
      </c>
      <c r="AZ190">
        <f t="shared" si="23"/>
        <v>0</v>
      </c>
    </row>
    <row r="191" spans="37:52" x14ac:dyDescent="0.35">
      <c r="AK191" s="16"/>
      <c r="AL191" s="16" t="s">
        <v>230</v>
      </c>
      <c r="AM191">
        <f t="shared" si="10"/>
        <v>7</v>
      </c>
      <c r="AN191">
        <f t="shared" si="11"/>
        <v>7</v>
      </c>
      <c r="AO191">
        <f t="shared" si="12"/>
        <v>7</v>
      </c>
      <c r="AP191">
        <f t="shared" si="13"/>
        <v>7</v>
      </c>
      <c r="AQ191">
        <f t="shared" si="14"/>
        <v>5</v>
      </c>
      <c r="AR191">
        <f t="shared" si="15"/>
        <v>7</v>
      </c>
      <c r="AS191">
        <f t="shared" si="16"/>
        <v>7</v>
      </c>
      <c r="AT191">
        <f t="shared" si="17"/>
        <v>7</v>
      </c>
      <c r="AU191">
        <f t="shared" si="18"/>
        <v>0</v>
      </c>
      <c r="AV191">
        <f t="shared" si="19"/>
        <v>0</v>
      </c>
      <c r="AW191">
        <f t="shared" si="20"/>
        <v>0</v>
      </c>
      <c r="AX191">
        <f t="shared" si="21"/>
        <v>0</v>
      </c>
      <c r="AY191">
        <f t="shared" si="22"/>
        <v>0</v>
      </c>
      <c r="AZ191">
        <f t="shared" si="23"/>
        <v>0</v>
      </c>
    </row>
    <row r="192" spans="37:52" x14ac:dyDescent="0.35">
      <c r="AK192" s="16"/>
      <c r="AL192" s="16" t="s">
        <v>231</v>
      </c>
      <c r="AM192">
        <f t="shared" si="10"/>
        <v>7</v>
      </c>
      <c r="AN192">
        <f t="shared" si="11"/>
        <v>7</v>
      </c>
      <c r="AO192">
        <f t="shared" si="12"/>
        <v>7</v>
      </c>
      <c r="AP192">
        <f t="shared" si="13"/>
        <v>7</v>
      </c>
      <c r="AQ192">
        <f t="shared" si="14"/>
        <v>7</v>
      </c>
      <c r="AR192">
        <f t="shared" si="15"/>
        <v>7</v>
      </c>
      <c r="AS192">
        <f t="shared" si="16"/>
        <v>7</v>
      </c>
      <c r="AT192">
        <f t="shared" si="17"/>
        <v>7</v>
      </c>
      <c r="AU192">
        <f t="shared" si="18"/>
        <v>0</v>
      </c>
      <c r="AV192">
        <f t="shared" si="19"/>
        <v>0</v>
      </c>
      <c r="AW192">
        <f t="shared" si="20"/>
        <v>0</v>
      </c>
      <c r="AX192">
        <f t="shared" si="21"/>
        <v>0</v>
      </c>
      <c r="AY192">
        <f t="shared" si="22"/>
        <v>0</v>
      </c>
      <c r="AZ192">
        <f t="shared" si="23"/>
        <v>0</v>
      </c>
    </row>
    <row r="193" spans="37:52" x14ac:dyDescent="0.35">
      <c r="AK193" s="16"/>
      <c r="AL193" s="16" t="s">
        <v>232</v>
      </c>
      <c r="AM193">
        <f t="shared" si="10"/>
        <v>7</v>
      </c>
      <c r="AN193">
        <f t="shared" si="11"/>
        <v>7</v>
      </c>
      <c r="AO193">
        <f t="shared" si="12"/>
        <v>7</v>
      </c>
      <c r="AP193">
        <f t="shared" si="13"/>
        <v>7</v>
      </c>
      <c r="AQ193">
        <f t="shared" si="14"/>
        <v>7</v>
      </c>
      <c r="AR193">
        <f t="shared" si="15"/>
        <v>7</v>
      </c>
      <c r="AS193">
        <f t="shared" si="16"/>
        <v>7</v>
      </c>
      <c r="AT193">
        <f t="shared" si="17"/>
        <v>7</v>
      </c>
      <c r="AU193">
        <f t="shared" si="18"/>
        <v>0</v>
      </c>
      <c r="AV193">
        <f t="shared" si="19"/>
        <v>0</v>
      </c>
      <c r="AW193">
        <f t="shared" si="20"/>
        <v>0</v>
      </c>
      <c r="AX193">
        <f t="shared" si="21"/>
        <v>0</v>
      </c>
      <c r="AY193">
        <f t="shared" si="22"/>
        <v>0</v>
      </c>
      <c r="AZ193">
        <f t="shared" si="23"/>
        <v>0</v>
      </c>
    </row>
    <row r="194" spans="37:52" x14ac:dyDescent="0.35">
      <c r="AK194" s="16"/>
      <c r="AL194" s="16" t="s">
        <v>233</v>
      </c>
      <c r="AM194">
        <f t="shared" si="10"/>
        <v>7</v>
      </c>
      <c r="AN194">
        <f t="shared" si="11"/>
        <v>7</v>
      </c>
      <c r="AO194">
        <f t="shared" si="12"/>
        <v>7</v>
      </c>
      <c r="AP194">
        <f t="shared" si="13"/>
        <v>7</v>
      </c>
      <c r="AQ194">
        <f t="shared" si="14"/>
        <v>7</v>
      </c>
      <c r="AR194">
        <f t="shared" si="15"/>
        <v>7</v>
      </c>
      <c r="AS194">
        <f t="shared" si="16"/>
        <v>7</v>
      </c>
      <c r="AT194">
        <f t="shared" si="17"/>
        <v>7</v>
      </c>
      <c r="AU194">
        <f t="shared" si="18"/>
        <v>0</v>
      </c>
      <c r="AV194">
        <f t="shared" si="19"/>
        <v>0</v>
      </c>
      <c r="AW194">
        <f t="shared" si="20"/>
        <v>0</v>
      </c>
      <c r="AX194">
        <f t="shared" si="21"/>
        <v>0</v>
      </c>
      <c r="AY194">
        <f t="shared" si="22"/>
        <v>0</v>
      </c>
      <c r="AZ194">
        <f t="shared" si="23"/>
        <v>0</v>
      </c>
    </row>
    <row r="195" spans="37:52" x14ac:dyDescent="0.35">
      <c r="AK195" s="16"/>
      <c r="AL195" s="16" t="s">
        <v>234</v>
      </c>
      <c r="AM195">
        <f t="shared" si="10"/>
        <v>7</v>
      </c>
      <c r="AN195">
        <f t="shared" si="11"/>
        <v>7</v>
      </c>
      <c r="AO195">
        <f t="shared" si="12"/>
        <v>7</v>
      </c>
      <c r="AP195">
        <f t="shared" si="13"/>
        <v>7</v>
      </c>
      <c r="AQ195">
        <f t="shared" si="14"/>
        <v>7</v>
      </c>
      <c r="AR195">
        <f t="shared" si="15"/>
        <v>7</v>
      </c>
      <c r="AS195">
        <f t="shared" si="16"/>
        <v>7</v>
      </c>
      <c r="AT195">
        <f t="shared" si="17"/>
        <v>7</v>
      </c>
      <c r="AU195">
        <f t="shared" si="18"/>
        <v>0</v>
      </c>
      <c r="AV195">
        <f t="shared" si="19"/>
        <v>0</v>
      </c>
      <c r="AW195">
        <f t="shared" si="20"/>
        <v>0</v>
      </c>
      <c r="AX195">
        <f t="shared" si="21"/>
        <v>0</v>
      </c>
      <c r="AY195">
        <f t="shared" si="22"/>
        <v>0</v>
      </c>
      <c r="AZ195">
        <f t="shared" si="23"/>
        <v>0</v>
      </c>
    </row>
    <row r="196" spans="37:52" x14ac:dyDescent="0.35">
      <c r="AK196" s="16"/>
      <c r="AL196" s="16" t="s">
        <v>236</v>
      </c>
      <c r="AM196">
        <f t="shared" si="10"/>
        <v>0</v>
      </c>
      <c r="AN196">
        <f t="shared" si="11"/>
        <v>7</v>
      </c>
      <c r="AO196">
        <f t="shared" si="12"/>
        <v>7</v>
      </c>
      <c r="AP196">
        <f t="shared" si="13"/>
        <v>7</v>
      </c>
      <c r="AQ196">
        <f t="shared" si="14"/>
        <v>3</v>
      </c>
      <c r="AR196">
        <f t="shared" si="15"/>
        <v>7</v>
      </c>
      <c r="AS196">
        <f t="shared" si="16"/>
        <v>7</v>
      </c>
      <c r="AT196">
        <f t="shared" si="17"/>
        <v>7</v>
      </c>
      <c r="AU196">
        <f t="shared" si="18"/>
        <v>0</v>
      </c>
      <c r="AV196">
        <f t="shared" si="19"/>
        <v>0</v>
      </c>
      <c r="AW196">
        <f t="shared" si="20"/>
        <v>0</v>
      </c>
      <c r="AX196">
        <f t="shared" si="21"/>
        <v>0</v>
      </c>
      <c r="AY196">
        <f t="shared" si="22"/>
        <v>0</v>
      </c>
      <c r="AZ196">
        <f t="shared" si="23"/>
        <v>0</v>
      </c>
    </row>
    <row r="197" spans="37:52" x14ac:dyDescent="0.35">
      <c r="AK197" s="16"/>
      <c r="AL197" s="16" t="s">
        <v>237</v>
      </c>
      <c r="AM197">
        <f t="shared" si="10"/>
        <v>7</v>
      </c>
      <c r="AN197">
        <f t="shared" si="11"/>
        <v>0</v>
      </c>
      <c r="AO197">
        <f t="shared" si="12"/>
        <v>0</v>
      </c>
      <c r="AP197">
        <f t="shared" si="13"/>
        <v>0</v>
      </c>
      <c r="AQ197">
        <f t="shared" si="14"/>
        <v>0</v>
      </c>
      <c r="AR197">
        <f t="shared" si="15"/>
        <v>0</v>
      </c>
      <c r="AS197">
        <f t="shared" si="16"/>
        <v>0</v>
      </c>
      <c r="AT197">
        <f t="shared" si="17"/>
        <v>0</v>
      </c>
      <c r="AU197">
        <f t="shared" si="18"/>
        <v>0</v>
      </c>
      <c r="AV197">
        <f t="shared" si="19"/>
        <v>0</v>
      </c>
      <c r="AW197">
        <f t="shared" si="20"/>
        <v>0</v>
      </c>
      <c r="AX197">
        <f t="shared" si="21"/>
        <v>0</v>
      </c>
      <c r="AY197">
        <f t="shared" si="22"/>
        <v>0</v>
      </c>
      <c r="AZ197">
        <f t="shared" si="23"/>
        <v>0</v>
      </c>
    </row>
    <row r="198" spans="37:52" x14ac:dyDescent="0.35">
      <c r="AK198" s="16"/>
      <c r="AL198" s="16" t="s">
        <v>238</v>
      </c>
      <c r="AM198">
        <f t="shared" si="10"/>
        <v>7</v>
      </c>
      <c r="AN198">
        <f t="shared" si="11"/>
        <v>7</v>
      </c>
      <c r="AO198">
        <f t="shared" si="12"/>
        <v>7</v>
      </c>
      <c r="AP198">
        <f t="shared" si="13"/>
        <v>7</v>
      </c>
      <c r="AQ198">
        <f t="shared" si="14"/>
        <v>5</v>
      </c>
      <c r="AR198">
        <f t="shared" si="15"/>
        <v>7</v>
      </c>
      <c r="AS198">
        <f t="shared" si="16"/>
        <v>7</v>
      </c>
      <c r="AT198">
        <f t="shared" si="17"/>
        <v>7</v>
      </c>
      <c r="AU198">
        <f t="shared" si="18"/>
        <v>0</v>
      </c>
      <c r="AV198">
        <f t="shared" si="19"/>
        <v>0</v>
      </c>
      <c r="AW198">
        <f t="shared" si="20"/>
        <v>0</v>
      </c>
      <c r="AX198">
        <f t="shared" si="21"/>
        <v>0</v>
      </c>
      <c r="AY198">
        <f t="shared" si="22"/>
        <v>0</v>
      </c>
      <c r="AZ198">
        <f t="shared" si="23"/>
        <v>0</v>
      </c>
    </row>
    <row r="199" spans="37:52" x14ac:dyDescent="0.35">
      <c r="AK199" s="16"/>
      <c r="AL199" s="16" t="s">
        <v>239</v>
      </c>
      <c r="AM199">
        <f t="shared" si="10"/>
        <v>7</v>
      </c>
      <c r="AN199">
        <f t="shared" si="11"/>
        <v>7</v>
      </c>
      <c r="AO199">
        <f t="shared" si="12"/>
        <v>7</v>
      </c>
      <c r="AP199">
        <f t="shared" si="13"/>
        <v>7</v>
      </c>
      <c r="AQ199">
        <f t="shared" si="14"/>
        <v>7</v>
      </c>
      <c r="AR199">
        <f t="shared" si="15"/>
        <v>7</v>
      </c>
      <c r="AS199">
        <f t="shared" si="16"/>
        <v>7</v>
      </c>
      <c r="AT199">
        <f t="shared" si="17"/>
        <v>7</v>
      </c>
      <c r="AU199">
        <f t="shared" si="18"/>
        <v>0</v>
      </c>
      <c r="AV199">
        <f t="shared" si="19"/>
        <v>0</v>
      </c>
      <c r="AW199">
        <f t="shared" si="20"/>
        <v>0</v>
      </c>
      <c r="AX199">
        <f t="shared" si="21"/>
        <v>0</v>
      </c>
      <c r="AY199">
        <f t="shared" si="22"/>
        <v>0</v>
      </c>
      <c r="AZ199">
        <f t="shared" si="23"/>
        <v>0</v>
      </c>
    </row>
    <row r="200" spans="37:52" x14ac:dyDescent="0.35">
      <c r="AK200" s="16"/>
      <c r="AL200" s="16" t="s">
        <v>240</v>
      </c>
      <c r="AM200">
        <f t="shared" si="10"/>
        <v>7</v>
      </c>
      <c r="AN200">
        <f t="shared" si="11"/>
        <v>7</v>
      </c>
      <c r="AO200">
        <f t="shared" si="12"/>
        <v>7</v>
      </c>
      <c r="AP200">
        <f t="shared" si="13"/>
        <v>7</v>
      </c>
      <c r="AQ200">
        <f t="shared" si="14"/>
        <v>7</v>
      </c>
      <c r="AR200">
        <f t="shared" si="15"/>
        <v>7</v>
      </c>
      <c r="AS200">
        <f t="shared" si="16"/>
        <v>7</v>
      </c>
      <c r="AT200">
        <f t="shared" si="17"/>
        <v>7</v>
      </c>
      <c r="AU200">
        <f t="shared" si="18"/>
        <v>0</v>
      </c>
      <c r="AV200">
        <f t="shared" si="19"/>
        <v>0</v>
      </c>
      <c r="AW200">
        <f t="shared" si="20"/>
        <v>0</v>
      </c>
      <c r="AX200">
        <f t="shared" si="21"/>
        <v>0</v>
      </c>
      <c r="AY200">
        <f t="shared" si="22"/>
        <v>0</v>
      </c>
      <c r="AZ200">
        <f t="shared" si="23"/>
        <v>0</v>
      </c>
    </row>
    <row r="201" spans="37:52" x14ac:dyDescent="0.35">
      <c r="AK201" s="16"/>
      <c r="AL201" s="16" t="s">
        <v>241</v>
      </c>
      <c r="AM201">
        <f t="shared" si="10"/>
        <v>4</v>
      </c>
      <c r="AN201">
        <f t="shared" si="11"/>
        <v>4</v>
      </c>
      <c r="AO201">
        <f t="shared" si="12"/>
        <v>7</v>
      </c>
      <c r="AP201">
        <f t="shared" si="13"/>
        <v>4</v>
      </c>
      <c r="AQ201">
        <f t="shared" si="14"/>
        <v>0</v>
      </c>
      <c r="AR201">
        <f t="shared" si="15"/>
        <v>0</v>
      </c>
      <c r="AS201">
        <f t="shared" si="16"/>
        <v>2</v>
      </c>
      <c r="AT201">
        <f t="shared" si="17"/>
        <v>3</v>
      </c>
      <c r="AU201">
        <f t="shared" si="18"/>
        <v>0</v>
      </c>
      <c r="AV201">
        <f t="shared" si="19"/>
        <v>0</v>
      </c>
      <c r="AW201">
        <f t="shared" si="20"/>
        <v>0</v>
      </c>
      <c r="AX201">
        <f t="shared" si="21"/>
        <v>0</v>
      </c>
      <c r="AY201">
        <f t="shared" si="22"/>
        <v>0</v>
      </c>
      <c r="AZ201">
        <f t="shared" si="23"/>
        <v>0</v>
      </c>
    </row>
    <row r="202" spans="37:52" x14ac:dyDescent="0.35">
      <c r="AK202" s="16"/>
      <c r="AL202" s="16" t="s">
        <v>242</v>
      </c>
      <c r="AM202">
        <f t="shared" si="10"/>
        <v>7</v>
      </c>
      <c r="AN202">
        <f t="shared" si="11"/>
        <v>7</v>
      </c>
      <c r="AO202">
        <f t="shared" si="12"/>
        <v>7</v>
      </c>
      <c r="AP202">
        <f t="shared" si="13"/>
        <v>7</v>
      </c>
      <c r="AQ202">
        <f t="shared" si="14"/>
        <v>7</v>
      </c>
      <c r="AR202">
        <f t="shared" si="15"/>
        <v>7</v>
      </c>
      <c r="AS202">
        <f t="shared" si="16"/>
        <v>7</v>
      </c>
      <c r="AT202">
        <f t="shared" si="17"/>
        <v>7</v>
      </c>
      <c r="AU202">
        <f t="shared" si="18"/>
        <v>0</v>
      </c>
      <c r="AV202">
        <f t="shared" si="19"/>
        <v>0</v>
      </c>
      <c r="AW202">
        <f t="shared" si="20"/>
        <v>0</v>
      </c>
      <c r="AX202">
        <f t="shared" si="21"/>
        <v>0</v>
      </c>
      <c r="AY202">
        <f t="shared" si="22"/>
        <v>0</v>
      </c>
      <c r="AZ202">
        <f t="shared" si="23"/>
        <v>0</v>
      </c>
    </row>
    <row r="203" spans="37:52" x14ac:dyDescent="0.35">
      <c r="AK203" s="16"/>
      <c r="AL203" s="16" t="s">
        <v>243</v>
      </c>
      <c r="AM203">
        <f t="shared" si="10"/>
        <v>0</v>
      </c>
      <c r="AN203">
        <f t="shared" si="11"/>
        <v>0</v>
      </c>
      <c r="AO203">
        <f t="shared" si="12"/>
        <v>2</v>
      </c>
      <c r="AP203">
        <f t="shared" si="13"/>
        <v>1</v>
      </c>
      <c r="AQ203">
        <f t="shared" si="14"/>
        <v>0</v>
      </c>
      <c r="AR203">
        <f t="shared" si="15"/>
        <v>0</v>
      </c>
      <c r="AS203">
        <f t="shared" si="16"/>
        <v>0</v>
      </c>
      <c r="AT203">
        <f t="shared" si="17"/>
        <v>1</v>
      </c>
      <c r="AU203">
        <f t="shared" si="18"/>
        <v>0</v>
      </c>
      <c r="AV203">
        <f t="shared" si="19"/>
        <v>0</v>
      </c>
      <c r="AW203">
        <f t="shared" si="20"/>
        <v>0</v>
      </c>
      <c r="AX203">
        <f t="shared" si="21"/>
        <v>0</v>
      </c>
      <c r="AY203">
        <f t="shared" si="22"/>
        <v>0</v>
      </c>
      <c r="AZ203">
        <f t="shared" si="23"/>
        <v>0</v>
      </c>
    </row>
    <row r="204" spans="37:52" x14ac:dyDescent="0.35">
      <c r="AK204" s="16"/>
      <c r="AL204" s="16" t="s">
        <v>244</v>
      </c>
      <c r="AM204">
        <f t="shared" si="10"/>
        <v>7</v>
      </c>
      <c r="AN204">
        <f t="shared" si="11"/>
        <v>7</v>
      </c>
      <c r="AO204">
        <f t="shared" si="12"/>
        <v>7</v>
      </c>
      <c r="AP204">
        <f t="shared" si="13"/>
        <v>7</v>
      </c>
      <c r="AQ204">
        <f t="shared" si="14"/>
        <v>7</v>
      </c>
      <c r="AR204">
        <f t="shared" si="15"/>
        <v>7</v>
      </c>
      <c r="AS204">
        <f t="shared" si="16"/>
        <v>7</v>
      </c>
      <c r="AT204">
        <f t="shared" si="17"/>
        <v>7</v>
      </c>
      <c r="AU204">
        <f t="shared" si="18"/>
        <v>0</v>
      </c>
      <c r="AV204">
        <f t="shared" si="19"/>
        <v>0</v>
      </c>
      <c r="AW204">
        <f t="shared" si="20"/>
        <v>0</v>
      </c>
      <c r="AX204">
        <f t="shared" si="21"/>
        <v>0</v>
      </c>
      <c r="AY204">
        <f t="shared" si="22"/>
        <v>0</v>
      </c>
      <c r="AZ204">
        <f t="shared" si="23"/>
        <v>0</v>
      </c>
    </row>
    <row r="205" spans="37:52" x14ac:dyDescent="0.35">
      <c r="AK205" s="16"/>
      <c r="AL205" s="16" t="s">
        <v>245</v>
      </c>
      <c r="AM205">
        <f t="shared" si="10"/>
        <v>6</v>
      </c>
      <c r="AN205">
        <f t="shared" si="11"/>
        <v>7</v>
      </c>
      <c r="AO205">
        <f t="shared" si="12"/>
        <v>6</v>
      </c>
      <c r="AP205">
        <f t="shared" si="13"/>
        <v>5</v>
      </c>
      <c r="AQ205">
        <f t="shared" si="14"/>
        <v>4</v>
      </c>
      <c r="AR205">
        <f t="shared" si="15"/>
        <v>7</v>
      </c>
      <c r="AS205">
        <f t="shared" si="16"/>
        <v>7</v>
      </c>
      <c r="AT205">
        <f t="shared" si="17"/>
        <v>7</v>
      </c>
      <c r="AU205">
        <f t="shared" si="18"/>
        <v>0</v>
      </c>
      <c r="AV205">
        <f t="shared" si="19"/>
        <v>0</v>
      </c>
      <c r="AW205">
        <f t="shared" si="20"/>
        <v>0</v>
      </c>
      <c r="AX205">
        <f t="shared" si="21"/>
        <v>0</v>
      </c>
      <c r="AY205">
        <f t="shared" si="22"/>
        <v>0</v>
      </c>
      <c r="AZ205">
        <f t="shared" si="23"/>
        <v>0</v>
      </c>
    </row>
    <row r="206" spans="37:52" x14ac:dyDescent="0.35">
      <c r="AK206" s="16"/>
      <c r="AL206" s="16" t="s">
        <v>246</v>
      </c>
      <c r="AM206">
        <f t="shared" si="10"/>
        <v>7</v>
      </c>
      <c r="AN206">
        <f t="shared" si="11"/>
        <v>7</v>
      </c>
      <c r="AO206">
        <f t="shared" si="12"/>
        <v>7</v>
      </c>
      <c r="AP206">
        <f t="shared" si="13"/>
        <v>7</v>
      </c>
      <c r="AQ206">
        <f t="shared" si="14"/>
        <v>5</v>
      </c>
      <c r="AR206">
        <f t="shared" si="15"/>
        <v>7</v>
      </c>
      <c r="AS206">
        <f t="shared" si="16"/>
        <v>7</v>
      </c>
      <c r="AT206">
        <f t="shared" si="17"/>
        <v>7</v>
      </c>
      <c r="AU206">
        <f t="shared" si="18"/>
        <v>0</v>
      </c>
      <c r="AV206">
        <f t="shared" si="19"/>
        <v>0</v>
      </c>
      <c r="AW206">
        <f t="shared" si="20"/>
        <v>0</v>
      </c>
      <c r="AX206">
        <f t="shared" si="21"/>
        <v>0</v>
      </c>
      <c r="AY206">
        <f t="shared" si="22"/>
        <v>0</v>
      </c>
      <c r="AZ206">
        <f t="shared" si="23"/>
        <v>0</v>
      </c>
    </row>
    <row r="207" spans="37:52" x14ac:dyDescent="0.35">
      <c r="AK207" s="16"/>
      <c r="AL207" s="16" t="s">
        <v>247</v>
      </c>
      <c r="AM207">
        <f t="shared" si="10"/>
        <v>7</v>
      </c>
      <c r="AN207">
        <f t="shared" si="11"/>
        <v>7</v>
      </c>
      <c r="AO207">
        <f t="shared" si="12"/>
        <v>7</v>
      </c>
      <c r="AP207">
        <f t="shared" si="13"/>
        <v>7</v>
      </c>
      <c r="AQ207">
        <f t="shared" si="14"/>
        <v>7</v>
      </c>
      <c r="AR207">
        <f t="shared" si="15"/>
        <v>7</v>
      </c>
      <c r="AS207">
        <f t="shared" si="16"/>
        <v>7</v>
      </c>
      <c r="AT207">
        <f t="shared" si="17"/>
        <v>7</v>
      </c>
      <c r="AU207">
        <f t="shared" si="18"/>
        <v>0</v>
      </c>
      <c r="AV207">
        <f t="shared" si="19"/>
        <v>0</v>
      </c>
      <c r="AW207">
        <f t="shared" si="20"/>
        <v>0</v>
      </c>
      <c r="AX207">
        <f t="shared" si="21"/>
        <v>0</v>
      </c>
      <c r="AY207">
        <f t="shared" si="22"/>
        <v>0</v>
      </c>
      <c r="AZ207">
        <f t="shared" si="23"/>
        <v>0</v>
      </c>
    </row>
    <row r="208" spans="37:52" x14ac:dyDescent="0.35">
      <c r="AK208" s="16"/>
      <c r="AL208" s="16" t="s">
        <v>248</v>
      </c>
      <c r="AM208">
        <f t="shared" si="10"/>
        <v>7</v>
      </c>
      <c r="AN208">
        <f t="shared" si="11"/>
        <v>7</v>
      </c>
      <c r="AO208">
        <f t="shared" si="12"/>
        <v>7</v>
      </c>
      <c r="AP208">
        <f t="shared" si="13"/>
        <v>7</v>
      </c>
      <c r="AQ208">
        <f t="shared" si="14"/>
        <v>7</v>
      </c>
      <c r="AR208">
        <f t="shared" si="15"/>
        <v>7</v>
      </c>
      <c r="AS208">
        <f t="shared" si="16"/>
        <v>7</v>
      </c>
      <c r="AT208">
        <f t="shared" si="17"/>
        <v>7</v>
      </c>
      <c r="AU208">
        <f t="shared" si="18"/>
        <v>0</v>
      </c>
      <c r="AV208">
        <f t="shared" si="19"/>
        <v>0</v>
      </c>
      <c r="AW208">
        <f t="shared" si="20"/>
        <v>0</v>
      </c>
      <c r="AX208">
        <f t="shared" si="21"/>
        <v>0</v>
      </c>
      <c r="AY208">
        <f t="shared" si="22"/>
        <v>0</v>
      </c>
      <c r="AZ208">
        <f t="shared" si="23"/>
        <v>0</v>
      </c>
    </row>
    <row r="209" spans="37:52" x14ac:dyDescent="0.35">
      <c r="AK209" s="16"/>
      <c r="AL209" s="16" t="s">
        <v>249</v>
      </c>
      <c r="AM209">
        <f t="shared" si="10"/>
        <v>7</v>
      </c>
      <c r="AN209">
        <f t="shared" si="11"/>
        <v>7</v>
      </c>
      <c r="AO209">
        <f t="shared" si="12"/>
        <v>7</v>
      </c>
      <c r="AP209">
        <f t="shared" si="13"/>
        <v>7</v>
      </c>
      <c r="AQ209">
        <f t="shared" si="14"/>
        <v>7</v>
      </c>
      <c r="AR209">
        <f t="shared" si="15"/>
        <v>7</v>
      </c>
      <c r="AS209">
        <f t="shared" si="16"/>
        <v>7</v>
      </c>
      <c r="AT209">
        <f t="shared" si="17"/>
        <v>7</v>
      </c>
      <c r="AU209">
        <f t="shared" si="18"/>
        <v>0</v>
      </c>
      <c r="AV209">
        <f t="shared" si="19"/>
        <v>0</v>
      </c>
      <c r="AW209">
        <f t="shared" si="20"/>
        <v>0</v>
      </c>
      <c r="AX209">
        <f t="shared" si="21"/>
        <v>0</v>
      </c>
      <c r="AY209">
        <f t="shared" si="22"/>
        <v>0</v>
      </c>
      <c r="AZ209">
        <f t="shared" si="23"/>
        <v>0</v>
      </c>
    </row>
    <row r="210" spans="37:52" x14ac:dyDescent="0.35">
      <c r="AK210" s="16"/>
      <c r="AL210" s="16" t="s">
        <v>250</v>
      </c>
      <c r="AM210">
        <f t="shared" si="10"/>
        <v>7</v>
      </c>
      <c r="AN210">
        <f t="shared" si="11"/>
        <v>7</v>
      </c>
      <c r="AO210">
        <f t="shared" si="12"/>
        <v>7</v>
      </c>
      <c r="AP210">
        <f t="shared" si="13"/>
        <v>6</v>
      </c>
      <c r="AQ210">
        <f t="shared" si="14"/>
        <v>3</v>
      </c>
      <c r="AR210">
        <f t="shared" si="15"/>
        <v>7</v>
      </c>
      <c r="AS210">
        <f t="shared" si="16"/>
        <v>7</v>
      </c>
      <c r="AT210">
        <f t="shared" si="17"/>
        <v>7</v>
      </c>
      <c r="AU210">
        <f t="shared" si="18"/>
        <v>0</v>
      </c>
      <c r="AV210">
        <f t="shared" si="19"/>
        <v>0</v>
      </c>
      <c r="AW210">
        <f t="shared" si="20"/>
        <v>0</v>
      </c>
      <c r="AX210">
        <f t="shared" si="21"/>
        <v>0</v>
      </c>
      <c r="AY210">
        <f t="shared" si="22"/>
        <v>0</v>
      </c>
      <c r="AZ210">
        <f t="shared" si="23"/>
        <v>0</v>
      </c>
    </row>
    <row r="211" spans="37:52" x14ac:dyDescent="0.35">
      <c r="AK211" s="16"/>
      <c r="AL211" s="16" t="s">
        <v>251</v>
      </c>
      <c r="AM211">
        <f t="shared" si="10"/>
        <v>7</v>
      </c>
      <c r="AN211">
        <f t="shared" si="11"/>
        <v>7</v>
      </c>
      <c r="AO211">
        <f t="shared" si="12"/>
        <v>7</v>
      </c>
      <c r="AP211">
        <f t="shared" si="13"/>
        <v>7</v>
      </c>
      <c r="AQ211">
        <f t="shared" si="14"/>
        <v>7</v>
      </c>
      <c r="AR211">
        <f t="shared" si="15"/>
        <v>7</v>
      </c>
      <c r="AS211">
        <f t="shared" si="16"/>
        <v>7</v>
      </c>
      <c r="AT211">
        <f t="shared" si="17"/>
        <v>7</v>
      </c>
      <c r="AU211">
        <f t="shared" si="18"/>
        <v>0</v>
      </c>
      <c r="AV211">
        <f t="shared" si="19"/>
        <v>0</v>
      </c>
      <c r="AW211">
        <f t="shared" si="20"/>
        <v>0</v>
      </c>
      <c r="AX211">
        <f t="shared" si="21"/>
        <v>0</v>
      </c>
      <c r="AY211">
        <f t="shared" si="22"/>
        <v>0</v>
      </c>
      <c r="AZ211">
        <f t="shared" si="23"/>
        <v>0</v>
      </c>
    </row>
    <row r="212" spans="37:52" x14ac:dyDescent="0.35">
      <c r="AK212" s="16"/>
      <c r="AL212" s="16" t="s">
        <v>252</v>
      </c>
      <c r="AM212">
        <f t="shared" si="10"/>
        <v>7</v>
      </c>
      <c r="AN212">
        <f t="shared" si="11"/>
        <v>7</v>
      </c>
      <c r="AO212">
        <f t="shared" si="12"/>
        <v>7</v>
      </c>
      <c r="AP212">
        <f t="shared" si="13"/>
        <v>6</v>
      </c>
      <c r="AQ212">
        <f t="shared" si="14"/>
        <v>4</v>
      </c>
      <c r="AR212">
        <f t="shared" si="15"/>
        <v>7</v>
      </c>
      <c r="AS212">
        <f t="shared" si="16"/>
        <v>7</v>
      </c>
      <c r="AT212">
        <f t="shared" si="17"/>
        <v>7</v>
      </c>
      <c r="AU212">
        <f t="shared" si="18"/>
        <v>0</v>
      </c>
      <c r="AV212">
        <f t="shared" si="19"/>
        <v>0</v>
      </c>
      <c r="AW212">
        <f t="shared" si="20"/>
        <v>0</v>
      </c>
      <c r="AX212">
        <f t="shared" si="21"/>
        <v>0</v>
      </c>
      <c r="AY212">
        <f t="shared" si="22"/>
        <v>0</v>
      </c>
      <c r="AZ212">
        <f t="shared" si="23"/>
        <v>0</v>
      </c>
    </row>
    <row r="213" spans="37:52" x14ac:dyDescent="0.35">
      <c r="AK213" s="16"/>
      <c r="AL213" s="16" t="s">
        <v>253</v>
      </c>
      <c r="AM213">
        <f t="shared" si="10"/>
        <v>0</v>
      </c>
      <c r="AN213">
        <f t="shared" si="11"/>
        <v>0</v>
      </c>
      <c r="AO213">
        <f t="shared" si="12"/>
        <v>0</v>
      </c>
      <c r="AP213">
        <f t="shared" si="13"/>
        <v>0</v>
      </c>
      <c r="AQ213">
        <f t="shared" si="14"/>
        <v>0</v>
      </c>
      <c r="AR213">
        <f t="shared" si="15"/>
        <v>0</v>
      </c>
      <c r="AS213">
        <f t="shared" si="16"/>
        <v>0</v>
      </c>
      <c r="AT213">
        <f t="shared" si="17"/>
        <v>1</v>
      </c>
      <c r="AU213">
        <f t="shared" si="18"/>
        <v>0</v>
      </c>
      <c r="AV213">
        <f t="shared" si="19"/>
        <v>0</v>
      </c>
      <c r="AW213">
        <f t="shared" si="20"/>
        <v>0</v>
      </c>
      <c r="AX213">
        <f t="shared" si="21"/>
        <v>0</v>
      </c>
      <c r="AY213">
        <f t="shared" si="22"/>
        <v>0</v>
      </c>
      <c r="AZ213">
        <f t="shared" si="23"/>
        <v>0</v>
      </c>
    </row>
    <row r="214" spans="37:52" x14ac:dyDescent="0.35">
      <c r="AK214" s="16"/>
      <c r="AL214" s="16" t="s">
        <v>254</v>
      </c>
      <c r="AM214">
        <f t="shared" si="10"/>
        <v>7</v>
      </c>
      <c r="AN214">
        <f t="shared" si="11"/>
        <v>7</v>
      </c>
      <c r="AO214">
        <f t="shared" si="12"/>
        <v>7</v>
      </c>
      <c r="AP214">
        <f t="shared" si="13"/>
        <v>7</v>
      </c>
      <c r="AQ214">
        <f t="shared" si="14"/>
        <v>7</v>
      </c>
      <c r="AR214">
        <f t="shared" si="15"/>
        <v>7</v>
      </c>
      <c r="AS214">
        <f t="shared" si="16"/>
        <v>7</v>
      </c>
      <c r="AT214">
        <f t="shared" si="17"/>
        <v>7</v>
      </c>
      <c r="AU214">
        <f t="shared" si="18"/>
        <v>0</v>
      </c>
      <c r="AV214">
        <f t="shared" si="19"/>
        <v>0</v>
      </c>
      <c r="AW214">
        <f t="shared" si="20"/>
        <v>0</v>
      </c>
      <c r="AX214">
        <f t="shared" si="21"/>
        <v>0</v>
      </c>
      <c r="AY214">
        <f t="shared" si="22"/>
        <v>0</v>
      </c>
      <c r="AZ214">
        <f t="shared" si="23"/>
        <v>0</v>
      </c>
    </row>
    <row r="215" spans="37:52" x14ac:dyDescent="0.35">
      <c r="AK215" s="16"/>
      <c r="AL215" s="16" t="s">
        <v>255</v>
      </c>
      <c r="AM215">
        <f t="shared" si="10"/>
        <v>7</v>
      </c>
      <c r="AN215">
        <f t="shared" si="11"/>
        <v>7</v>
      </c>
      <c r="AO215">
        <f t="shared" si="12"/>
        <v>7</v>
      </c>
      <c r="AP215">
        <f t="shared" si="13"/>
        <v>7</v>
      </c>
      <c r="AQ215">
        <f t="shared" si="14"/>
        <v>7</v>
      </c>
      <c r="AR215">
        <f t="shared" si="15"/>
        <v>7</v>
      </c>
      <c r="AS215">
        <f t="shared" si="16"/>
        <v>7</v>
      </c>
      <c r="AT215">
        <f t="shared" si="17"/>
        <v>7</v>
      </c>
      <c r="AU215">
        <f t="shared" si="18"/>
        <v>0</v>
      </c>
      <c r="AV215">
        <f t="shared" si="19"/>
        <v>0</v>
      </c>
      <c r="AW215">
        <f t="shared" si="20"/>
        <v>0</v>
      </c>
      <c r="AX215">
        <f t="shared" si="21"/>
        <v>0</v>
      </c>
      <c r="AY215">
        <f t="shared" si="22"/>
        <v>0</v>
      </c>
      <c r="AZ215">
        <f t="shared" si="23"/>
        <v>0</v>
      </c>
    </row>
    <row r="216" spans="37:52" x14ac:dyDescent="0.35">
      <c r="AK216" s="16"/>
      <c r="AL216" s="16" t="s">
        <v>256</v>
      </c>
      <c r="AM216">
        <f t="shared" ref="AM216:AM279" si="24">COUNTIF($AM73:$AS73,"&gt;=85%")</f>
        <v>7</v>
      </c>
      <c r="AN216">
        <f t="shared" ref="AN216:AN279" si="25">COUNTIF($AU73:$BA73,"&gt;=85%")</f>
        <v>7</v>
      </c>
      <c r="AO216">
        <f t="shared" ref="AO216:AO279" si="26">COUNTIF($BC73:$BI73,"&gt;=85%")</f>
        <v>7</v>
      </c>
      <c r="AP216">
        <f t="shared" ref="AP216:AP279" si="27">COUNTIF($BK73:$BQ73,"&gt;=85%")</f>
        <v>7</v>
      </c>
      <c r="AQ216">
        <f t="shared" ref="AQ216:AQ279" si="28">COUNTIF($BS73:$BY73,"&gt;=85%")</f>
        <v>6</v>
      </c>
      <c r="AR216">
        <f t="shared" ref="AR216:AR279" si="29">COUNTIF($CA73:$CG73,"&gt;=85%")</f>
        <v>7</v>
      </c>
      <c r="AS216">
        <f t="shared" ref="AS216:AS279" si="30">COUNTIF($CI73:$CO73,"&gt;=85%")</f>
        <v>7</v>
      </c>
      <c r="AT216">
        <f t="shared" ref="AT216:AT279" si="31">COUNTIF($CQ73:$CW73,"&gt;=85%")</f>
        <v>7</v>
      </c>
      <c r="AU216">
        <f t="shared" ref="AU216:AU279" si="32">COUNTIF($CY73:$DE73,"&gt;=92%")</f>
        <v>0</v>
      </c>
      <c r="AV216">
        <f t="shared" ref="AV216:AV279" si="33">COUNTIF($DG73:$DM73,"&gt;=85%")</f>
        <v>0</v>
      </c>
      <c r="AW216">
        <f t="shared" ref="AW216:AW279" si="34">COUNTIF($DO73:$DU73,"&gt;=85%")</f>
        <v>0</v>
      </c>
      <c r="AX216">
        <f t="shared" ref="AX216:AX279" si="35">COUNTIF($DW73:$EC73,"&gt;=85%")</f>
        <v>0</v>
      </c>
      <c r="AY216">
        <f t="shared" ref="AY216:AY279" si="36">COUNTIF($EE73:$EK73,"&gt;=85%")</f>
        <v>0</v>
      </c>
      <c r="AZ216">
        <f t="shared" si="23"/>
        <v>0</v>
      </c>
    </row>
    <row r="217" spans="37:52" x14ac:dyDescent="0.35">
      <c r="AK217" s="16"/>
      <c r="AL217" s="16" t="s">
        <v>257</v>
      </c>
      <c r="AM217">
        <f t="shared" si="24"/>
        <v>7</v>
      </c>
      <c r="AN217">
        <f t="shared" si="25"/>
        <v>7</v>
      </c>
      <c r="AO217">
        <f t="shared" si="26"/>
        <v>7</v>
      </c>
      <c r="AP217">
        <f t="shared" si="27"/>
        <v>7</v>
      </c>
      <c r="AQ217">
        <f t="shared" si="28"/>
        <v>7</v>
      </c>
      <c r="AR217">
        <f t="shared" si="29"/>
        <v>0</v>
      </c>
      <c r="AS217">
        <f t="shared" si="30"/>
        <v>0</v>
      </c>
      <c r="AT217">
        <f t="shared" si="31"/>
        <v>0</v>
      </c>
      <c r="AU217">
        <f t="shared" si="32"/>
        <v>0</v>
      </c>
      <c r="AV217">
        <f t="shared" si="33"/>
        <v>0</v>
      </c>
      <c r="AW217">
        <f t="shared" si="34"/>
        <v>0</v>
      </c>
      <c r="AX217">
        <f t="shared" si="35"/>
        <v>0</v>
      </c>
      <c r="AY217">
        <f t="shared" si="36"/>
        <v>0</v>
      </c>
      <c r="AZ217">
        <f t="shared" ref="AZ217:AZ280" si="37">COUNTIF($EM74:$ES74,"&gt;=85%")</f>
        <v>0</v>
      </c>
    </row>
    <row r="218" spans="37:52" x14ac:dyDescent="0.35">
      <c r="AK218" s="16"/>
      <c r="AL218" s="16" t="s">
        <v>258</v>
      </c>
      <c r="AM218">
        <f t="shared" si="24"/>
        <v>7</v>
      </c>
      <c r="AN218">
        <f t="shared" si="25"/>
        <v>7</v>
      </c>
      <c r="AO218">
        <f t="shared" si="26"/>
        <v>7</v>
      </c>
      <c r="AP218">
        <f t="shared" si="27"/>
        <v>7</v>
      </c>
      <c r="AQ218">
        <f t="shared" si="28"/>
        <v>5</v>
      </c>
      <c r="AR218">
        <f t="shared" si="29"/>
        <v>7</v>
      </c>
      <c r="AS218">
        <f t="shared" si="30"/>
        <v>7</v>
      </c>
      <c r="AT218">
        <f t="shared" si="31"/>
        <v>7</v>
      </c>
      <c r="AU218">
        <f t="shared" si="32"/>
        <v>0</v>
      </c>
      <c r="AV218">
        <f t="shared" si="33"/>
        <v>0</v>
      </c>
      <c r="AW218">
        <f t="shared" si="34"/>
        <v>0</v>
      </c>
      <c r="AX218">
        <f t="shared" si="35"/>
        <v>0</v>
      </c>
      <c r="AY218">
        <f t="shared" si="36"/>
        <v>0</v>
      </c>
      <c r="AZ218">
        <f t="shared" si="37"/>
        <v>0</v>
      </c>
    </row>
    <row r="219" spans="37:52" x14ac:dyDescent="0.35">
      <c r="AK219" s="16"/>
      <c r="AL219" s="16" t="s">
        <v>259</v>
      </c>
      <c r="AM219">
        <f t="shared" si="24"/>
        <v>7</v>
      </c>
      <c r="AN219">
        <f t="shared" si="25"/>
        <v>7</v>
      </c>
      <c r="AO219">
        <f t="shared" si="26"/>
        <v>7</v>
      </c>
      <c r="AP219">
        <f t="shared" si="27"/>
        <v>7</v>
      </c>
      <c r="AQ219">
        <f t="shared" si="28"/>
        <v>7</v>
      </c>
      <c r="AR219">
        <f t="shared" si="29"/>
        <v>7</v>
      </c>
      <c r="AS219">
        <f t="shared" si="30"/>
        <v>7</v>
      </c>
      <c r="AT219">
        <f t="shared" si="31"/>
        <v>7</v>
      </c>
      <c r="AU219">
        <f t="shared" si="32"/>
        <v>0</v>
      </c>
      <c r="AV219">
        <f t="shared" si="33"/>
        <v>0</v>
      </c>
      <c r="AW219">
        <f t="shared" si="34"/>
        <v>0</v>
      </c>
      <c r="AX219">
        <f t="shared" si="35"/>
        <v>0</v>
      </c>
      <c r="AY219">
        <f t="shared" si="36"/>
        <v>0</v>
      </c>
      <c r="AZ219">
        <f t="shared" si="37"/>
        <v>0</v>
      </c>
    </row>
    <row r="220" spans="37:52" x14ac:dyDescent="0.35">
      <c r="AK220" s="16"/>
      <c r="AL220" s="16" t="s">
        <v>260</v>
      </c>
      <c r="AM220">
        <f t="shared" si="24"/>
        <v>7</v>
      </c>
      <c r="AN220">
        <f t="shared" si="25"/>
        <v>7</v>
      </c>
      <c r="AO220">
        <f t="shared" si="26"/>
        <v>7</v>
      </c>
      <c r="AP220">
        <f t="shared" si="27"/>
        <v>7</v>
      </c>
      <c r="AQ220">
        <f t="shared" si="28"/>
        <v>7</v>
      </c>
      <c r="AR220">
        <f t="shared" si="29"/>
        <v>7</v>
      </c>
      <c r="AS220">
        <f t="shared" si="30"/>
        <v>7</v>
      </c>
      <c r="AT220">
        <f t="shared" si="31"/>
        <v>7</v>
      </c>
      <c r="AU220">
        <f t="shared" si="32"/>
        <v>0</v>
      </c>
      <c r="AV220">
        <f t="shared" si="33"/>
        <v>0</v>
      </c>
      <c r="AW220">
        <f t="shared" si="34"/>
        <v>0</v>
      </c>
      <c r="AX220">
        <f t="shared" si="35"/>
        <v>0</v>
      </c>
      <c r="AY220">
        <f t="shared" si="36"/>
        <v>0</v>
      </c>
      <c r="AZ220">
        <f t="shared" si="37"/>
        <v>0</v>
      </c>
    </row>
    <row r="221" spans="37:52" x14ac:dyDescent="0.35">
      <c r="AK221" s="16"/>
      <c r="AL221" s="16" t="s">
        <v>261</v>
      </c>
      <c r="AM221">
        <f t="shared" si="24"/>
        <v>7</v>
      </c>
      <c r="AN221">
        <f t="shared" si="25"/>
        <v>7</v>
      </c>
      <c r="AO221">
        <f t="shared" si="26"/>
        <v>7</v>
      </c>
      <c r="AP221">
        <f t="shared" si="27"/>
        <v>7</v>
      </c>
      <c r="AQ221">
        <f t="shared" si="28"/>
        <v>5</v>
      </c>
      <c r="AR221">
        <f t="shared" si="29"/>
        <v>7</v>
      </c>
      <c r="AS221">
        <f t="shared" si="30"/>
        <v>7</v>
      </c>
      <c r="AT221">
        <f t="shared" si="31"/>
        <v>7</v>
      </c>
      <c r="AU221">
        <f t="shared" si="32"/>
        <v>0</v>
      </c>
      <c r="AV221">
        <f t="shared" si="33"/>
        <v>0</v>
      </c>
      <c r="AW221">
        <f t="shared" si="34"/>
        <v>0</v>
      </c>
      <c r="AX221">
        <f t="shared" si="35"/>
        <v>0</v>
      </c>
      <c r="AY221">
        <f t="shared" si="36"/>
        <v>0</v>
      </c>
      <c r="AZ221">
        <f t="shared" si="37"/>
        <v>0</v>
      </c>
    </row>
    <row r="222" spans="37:52" x14ac:dyDescent="0.35">
      <c r="AK222" s="16"/>
      <c r="AL222" s="16" t="s">
        <v>262</v>
      </c>
      <c r="AM222">
        <f t="shared" si="24"/>
        <v>7</v>
      </c>
      <c r="AN222">
        <f t="shared" si="25"/>
        <v>7</v>
      </c>
      <c r="AO222">
        <f t="shared" si="26"/>
        <v>7</v>
      </c>
      <c r="AP222">
        <f t="shared" si="27"/>
        <v>7</v>
      </c>
      <c r="AQ222">
        <f t="shared" si="28"/>
        <v>7</v>
      </c>
      <c r="AR222">
        <f t="shared" si="29"/>
        <v>7</v>
      </c>
      <c r="AS222">
        <f t="shared" si="30"/>
        <v>7</v>
      </c>
      <c r="AT222">
        <f t="shared" si="31"/>
        <v>7</v>
      </c>
      <c r="AU222">
        <f t="shared" si="32"/>
        <v>0</v>
      </c>
      <c r="AV222">
        <f t="shared" si="33"/>
        <v>0</v>
      </c>
      <c r="AW222">
        <f t="shared" si="34"/>
        <v>0</v>
      </c>
      <c r="AX222">
        <f t="shared" si="35"/>
        <v>0</v>
      </c>
      <c r="AY222">
        <f t="shared" si="36"/>
        <v>0</v>
      </c>
      <c r="AZ222">
        <f t="shared" si="37"/>
        <v>0</v>
      </c>
    </row>
    <row r="223" spans="37:52" x14ac:dyDescent="0.35">
      <c r="AK223" s="16"/>
      <c r="AL223" s="16" t="s">
        <v>263</v>
      </c>
      <c r="AM223">
        <f t="shared" si="24"/>
        <v>7</v>
      </c>
      <c r="AN223">
        <f t="shared" si="25"/>
        <v>7</v>
      </c>
      <c r="AO223">
        <f t="shared" si="26"/>
        <v>7</v>
      </c>
      <c r="AP223">
        <f t="shared" si="27"/>
        <v>7</v>
      </c>
      <c r="AQ223">
        <f t="shared" si="28"/>
        <v>7</v>
      </c>
      <c r="AR223">
        <f t="shared" si="29"/>
        <v>7</v>
      </c>
      <c r="AS223">
        <f t="shared" si="30"/>
        <v>7</v>
      </c>
      <c r="AT223">
        <f t="shared" si="31"/>
        <v>7</v>
      </c>
      <c r="AU223">
        <f t="shared" si="32"/>
        <v>0</v>
      </c>
      <c r="AV223">
        <f t="shared" si="33"/>
        <v>0</v>
      </c>
      <c r="AW223">
        <f t="shared" si="34"/>
        <v>0</v>
      </c>
      <c r="AX223">
        <f t="shared" si="35"/>
        <v>0</v>
      </c>
      <c r="AY223">
        <f t="shared" si="36"/>
        <v>0</v>
      </c>
      <c r="AZ223">
        <f t="shared" si="37"/>
        <v>0</v>
      </c>
    </row>
    <row r="224" spans="37:52" x14ac:dyDescent="0.35">
      <c r="AK224" s="16"/>
      <c r="AL224" s="16" t="s">
        <v>264</v>
      </c>
      <c r="AM224">
        <f t="shared" si="24"/>
        <v>7</v>
      </c>
      <c r="AN224">
        <f t="shared" si="25"/>
        <v>7</v>
      </c>
      <c r="AO224">
        <f t="shared" si="26"/>
        <v>7</v>
      </c>
      <c r="AP224">
        <f t="shared" si="27"/>
        <v>7</v>
      </c>
      <c r="AQ224">
        <f t="shared" si="28"/>
        <v>5</v>
      </c>
      <c r="AR224">
        <f t="shared" si="29"/>
        <v>7</v>
      </c>
      <c r="AS224">
        <f t="shared" si="30"/>
        <v>7</v>
      </c>
      <c r="AT224">
        <f t="shared" si="31"/>
        <v>7</v>
      </c>
      <c r="AU224">
        <f t="shared" si="32"/>
        <v>0</v>
      </c>
      <c r="AV224">
        <f t="shared" si="33"/>
        <v>0</v>
      </c>
      <c r="AW224">
        <f t="shared" si="34"/>
        <v>0</v>
      </c>
      <c r="AX224">
        <f t="shared" si="35"/>
        <v>0</v>
      </c>
      <c r="AY224">
        <f t="shared" si="36"/>
        <v>0</v>
      </c>
      <c r="AZ224">
        <f t="shared" si="37"/>
        <v>0</v>
      </c>
    </row>
    <row r="225" spans="37:52" x14ac:dyDescent="0.35">
      <c r="AK225" s="16"/>
      <c r="AL225" s="16" t="s">
        <v>265</v>
      </c>
      <c r="AM225">
        <f t="shared" si="24"/>
        <v>7</v>
      </c>
      <c r="AN225">
        <f t="shared" si="25"/>
        <v>7</v>
      </c>
      <c r="AO225">
        <f t="shared" si="26"/>
        <v>7</v>
      </c>
      <c r="AP225">
        <f t="shared" si="27"/>
        <v>7</v>
      </c>
      <c r="AQ225">
        <f t="shared" si="28"/>
        <v>6</v>
      </c>
      <c r="AR225">
        <f t="shared" si="29"/>
        <v>7</v>
      </c>
      <c r="AS225">
        <f t="shared" si="30"/>
        <v>7</v>
      </c>
      <c r="AT225">
        <f t="shared" si="31"/>
        <v>7</v>
      </c>
      <c r="AU225">
        <f t="shared" si="32"/>
        <v>0</v>
      </c>
      <c r="AV225">
        <f t="shared" si="33"/>
        <v>0</v>
      </c>
      <c r="AW225">
        <f t="shared" si="34"/>
        <v>0</v>
      </c>
      <c r="AX225">
        <f t="shared" si="35"/>
        <v>0</v>
      </c>
      <c r="AY225">
        <f t="shared" si="36"/>
        <v>0</v>
      </c>
      <c r="AZ225">
        <f t="shared" si="37"/>
        <v>0</v>
      </c>
    </row>
    <row r="226" spans="37:52" x14ac:dyDescent="0.35">
      <c r="AK226" s="16"/>
      <c r="AL226" s="16" t="s">
        <v>266</v>
      </c>
      <c r="AM226">
        <f t="shared" si="24"/>
        <v>7</v>
      </c>
      <c r="AN226">
        <f t="shared" si="25"/>
        <v>7</v>
      </c>
      <c r="AO226">
        <f t="shared" si="26"/>
        <v>7</v>
      </c>
      <c r="AP226">
        <f t="shared" si="27"/>
        <v>7</v>
      </c>
      <c r="AQ226">
        <f t="shared" si="28"/>
        <v>7</v>
      </c>
      <c r="AR226">
        <f t="shared" si="29"/>
        <v>7</v>
      </c>
      <c r="AS226">
        <f t="shared" si="30"/>
        <v>7</v>
      </c>
      <c r="AT226">
        <f t="shared" si="31"/>
        <v>7</v>
      </c>
      <c r="AU226">
        <f t="shared" si="32"/>
        <v>0</v>
      </c>
      <c r="AV226">
        <f t="shared" si="33"/>
        <v>0</v>
      </c>
      <c r="AW226">
        <f t="shared" si="34"/>
        <v>0</v>
      </c>
      <c r="AX226">
        <f t="shared" si="35"/>
        <v>0</v>
      </c>
      <c r="AY226">
        <f t="shared" si="36"/>
        <v>0</v>
      </c>
      <c r="AZ226">
        <f t="shared" si="37"/>
        <v>0</v>
      </c>
    </row>
    <row r="227" spans="37:52" x14ac:dyDescent="0.35">
      <c r="AK227" s="16"/>
      <c r="AL227" s="16" t="s">
        <v>267</v>
      </c>
      <c r="AM227">
        <f t="shared" si="24"/>
        <v>0</v>
      </c>
      <c r="AN227">
        <f t="shared" si="25"/>
        <v>0</v>
      </c>
      <c r="AO227">
        <f t="shared" si="26"/>
        <v>0</v>
      </c>
      <c r="AP227">
        <f t="shared" si="27"/>
        <v>0</v>
      </c>
      <c r="AQ227">
        <f t="shared" si="28"/>
        <v>0</v>
      </c>
      <c r="AR227">
        <f t="shared" si="29"/>
        <v>0</v>
      </c>
      <c r="AS227">
        <f t="shared" si="30"/>
        <v>0</v>
      </c>
      <c r="AT227">
        <f t="shared" si="31"/>
        <v>0</v>
      </c>
      <c r="AU227">
        <f t="shared" si="32"/>
        <v>0</v>
      </c>
      <c r="AV227">
        <f t="shared" si="33"/>
        <v>0</v>
      </c>
      <c r="AW227">
        <f t="shared" si="34"/>
        <v>0</v>
      </c>
      <c r="AX227">
        <f t="shared" si="35"/>
        <v>0</v>
      </c>
      <c r="AY227">
        <f t="shared" si="36"/>
        <v>0</v>
      </c>
      <c r="AZ227">
        <f t="shared" si="37"/>
        <v>0</v>
      </c>
    </row>
    <row r="228" spans="37:52" x14ac:dyDescent="0.35">
      <c r="AK228" s="16"/>
      <c r="AL228" s="16" t="s">
        <v>268</v>
      </c>
      <c r="AM228">
        <f t="shared" si="24"/>
        <v>7</v>
      </c>
      <c r="AN228">
        <f t="shared" si="25"/>
        <v>7</v>
      </c>
      <c r="AO228">
        <f t="shared" si="26"/>
        <v>7</v>
      </c>
      <c r="AP228">
        <f t="shared" si="27"/>
        <v>7</v>
      </c>
      <c r="AQ228">
        <f t="shared" si="28"/>
        <v>7</v>
      </c>
      <c r="AR228">
        <f t="shared" si="29"/>
        <v>7</v>
      </c>
      <c r="AS228">
        <f t="shared" si="30"/>
        <v>7</v>
      </c>
      <c r="AT228">
        <f t="shared" si="31"/>
        <v>7</v>
      </c>
      <c r="AU228">
        <f t="shared" si="32"/>
        <v>0</v>
      </c>
      <c r="AV228">
        <f t="shared" si="33"/>
        <v>0</v>
      </c>
      <c r="AW228">
        <f t="shared" si="34"/>
        <v>0</v>
      </c>
      <c r="AX228">
        <f t="shared" si="35"/>
        <v>0</v>
      </c>
      <c r="AY228">
        <f t="shared" si="36"/>
        <v>0</v>
      </c>
      <c r="AZ228">
        <f t="shared" si="37"/>
        <v>0</v>
      </c>
    </row>
    <row r="229" spans="37:52" x14ac:dyDescent="0.35">
      <c r="AK229" s="16"/>
      <c r="AL229" s="16" t="s">
        <v>269</v>
      </c>
      <c r="AM229">
        <f t="shared" si="24"/>
        <v>7</v>
      </c>
      <c r="AN229">
        <f t="shared" si="25"/>
        <v>7</v>
      </c>
      <c r="AO229">
        <f t="shared" si="26"/>
        <v>7</v>
      </c>
      <c r="AP229">
        <f t="shared" si="27"/>
        <v>7</v>
      </c>
      <c r="AQ229">
        <f t="shared" si="28"/>
        <v>7</v>
      </c>
      <c r="AR229">
        <f t="shared" si="29"/>
        <v>7</v>
      </c>
      <c r="AS229">
        <f t="shared" si="30"/>
        <v>7</v>
      </c>
      <c r="AT229">
        <f t="shared" si="31"/>
        <v>7</v>
      </c>
      <c r="AU229">
        <f t="shared" si="32"/>
        <v>0</v>
      </c>
      <c r="AV229">
        <f t="shared" si="33"/>
        <v>0</v>
      </c>
      <c r="AW229">
        <f t="shared" si="34"/>
        <v>0</v>
      </c>
      <c r="AX229">
        <f t="shared" si="35"/>
        <v>0</v>
      </c>
      <c r="AY229">
        <f t="shared" si="36"/>
        <v>0</v>
      </c>
      <c r="AZ229">
        <f t="shared" si="37"/>
        <v>0</v>
      </c>
    </row>
    <row r="230" spans="37:52" x14ac:dyDescent="0.35">
      <c r="AK230" s="16"/>
      <c r="AL230" s="16" t="s">
        <v>270</v>
      </c>
      <c r="AM230">
        <f t="shared" si="24"/>
        <v>7</v>
      </c>
      <c r="AN230">
        <f t="shared" si="25"/>
        <v>7</v>
      </c>
      <c r="AO230">
        <f t="shared" si="26"/>
        <v>7</v>
      </c>
      <c r="AP230">
        <f t="shared" si="27"/>
        <v>7</v>
      </c>
      <c r="AQ230">
        <f t="shared" si="28"/>
        <v>5</v>
      </c>
      <c r="AR230">
        <f t="shared" si="29"/>
        <v>7</v>
      </c>
      <c r="AS230">
        <f t="shared" si="30"/>
        <v>6</v>
      </c>
      <c r="AT230">
        <f t="shared" si="31"/>
        <v>7</v>
      </c>
      <c r="AU230">
        <f t="shared" si="32"/>
        <v>0</v>
      </c>
      <c r="AV230">
        <f t="shared" si="33"/>
        <v>0</v>
      </c>
      <c r="AW230">
        <f t="shared" si="34"/>
        <v>0</v>
      </c>
      <c r="AX230">
        <f t="shared" si="35"/>
        <v>0</v>
      </c>
      <c r="AY230">
        <f t="shared" si="36"/>
        <v>0</v>
      </c>
      <c r="AZ230">
        <f t="shared" si="37"/>
        <v>0</v>
      </c>
    </row>
    <row r="231" spans="37:52" x14ac:dyDescent="0.35">
      <c r="AK231" s="16"/>
      <c r="AL231" s="16" t="s">
        <v>271</v>
      </c>
      <c r="AM231">
        <f t="shared" si="24"/>
        <v>7</v>
      </c>
      <c r="AN231">
        <f t="shared" si="25"/>
        <v>7</v>
      </c>
      <c r="AO231">
        <f t="shared" si="26"/>
        <v>7</v>
      </c>
      <c r="AP231">
        <f t="shared" si="27"/>
        <v>7</v>
      </c>
      <c r="AQ231">
        <f t="shared" si="28"/>
        <v>7</v>
      </c>
      <c r="AR231">
        <f t="shared" si="29"/>
        <v>7</v>
      </c>
      <c r="AS231">
        <f t="shared" si="30"/>
        <v>7</v>
      </c>
      <c r="AT231">
        <f t="shared" si="31"/>
        <v>7</v>
      </c>
      <c r="AU231">
        <f t="shared" si="32"/>
        <v>0</v>
      </c>
      <c r="AV231">
        <f t="shared" si="33"/>
        <v>0</v>
      </c>
      <c r="AW231">
        <f t="shared" si="34"/>
        <v>0</v>
      </c>
      <c r="AX231">
        <f t="shared" si="35"/>
        <v>0</v>
      </c>
      <c r="AY231">
        <f t="shared" si="36"/>
        <v>0</v>
      </c>
      <c r="AZ231">
        <f t="shared" si="37"/>
        <v>0</v>
      </c>
    </row>
    <row r="232" spans="37:52" x14ac:dyDescent="0.35">
      <c r="AK232" s="16"/>
      <c r="AL232" s="16" t="s">
        <v>272</v>
      </c>
      <c r="AM232">
        <f t="shared" si="24"/>
        <v>5</v>
      </c>
      <c r="AN232">
        <f t="shared" si="25"/>
        <v>6</v>
      </c>
      <c r="AO232">
        <f t="shared" si="26"/>
        <v>4</v>
      </c>
      <c r="AP232">
        <f t="shared" si="27"/>
        <v>4</v>
      </c>
      <c r="AQ232">
        <f t="shared" si="28"/>
        <v>0</v>
      </c>
      <c r="AR232">
        <f t="shared" si="29"/>
        <v>0</v>
      </c>
      <c r="AS232">
        <f t="shared" si="30"/>
        <v>1</v>
      </c>
      <c r="AT232">
        <f t="shared" si="31"/>
        <v>5</v>
      </c>
      <c r="AU232">
        <f t="shared" si="32"/>
        <v>0</v>
      </c>
      <c r="AV232">
        <f t="shared" si="33"/>
        <v>0</v>
      </c>
      <c r="AW232">
        <f t="shared" si="34"/>
        <v>0</v>
      </c>
      <c r="AX232">
        <f t="shared" si="35"/>
        <v>0</v>
      </c>
      <c r="AY232">
        <f t="shared" si="36"/>
        <v>0</v>
      </c>
      <c r="AZ232">
        <f t="shared" si="37"/>
        <v>0</v>
      </c>
    </row>
    <row r="233" spans="37:52" x14ac:dyDescent="0.35">
      <c r="AK233" s="16"/>
      <c r="AL233" s="16" t="s">
        <v>273</v>
      </c>
      <c r="AM233">
        <f t="shared" si="24"/>
        <v>7</v>
      </c>
      <c r="AN233">
        <f t="shared" si="25"/>
        <v>7</v>
      </c>
      <c r="AO233">
        <f t="shared" si="26"/>
        <v>7</v>
      </c>
      <c r="AP233">
        <f t="shared" si="27"/>
        <v>7</v>
      </c>
      <c r="AQ233">
        <f t="shared" si="28"/>
        <v>1</v>
      </c>
      <c r="AR233">
        <f t="shared" si="29"/>
        <v>5</v>
      </c>
      <c r="AS233">
        <f t="shared" si="30"/>
        <v>7</v>
      </c>
      <c r="AT233">
        <f t="shared" si="31"/>
        <v>7</v>
      </c>
      <c r="AU233">
        <f t="shared" si="32"/>
        <v>0</v>
      </c>
      <c r="AV233">
        <f t="shared" si="33"/>
        <v>0</v>
      </c>
      <c r="AW233">
        <f t="shared" si="34"/>
        <v>0</v>
      </c>
      <c r="AX233">
        <f t="shared" si="35"/>
        <v>0</v>
      </c>
      <c r="AY233">
        <f t="shared" si="36"/>
        <v>0</v>
      </c>
      <c r="AZ233">
        <f t="shared" si="37"/>
        <v>0</v>
      </c>
    </row>
    <row r="234" spans="37:52" x14ac:dyDescent="0.35">
      <c r="AK234" s="16"/>
      <c r="AL234" s="16" t="s">
        <v>274</v>
      </c>
      <c r="AM234">
        <f t="shared" si="24"/>
        <v>7</v>
      </c>
      <c r="AN234">
        <f t="shared" si="25"/>
        <v>7</v>
      </c>
      <c r="AO234">
        <f t="shared" si="26"/>
        <v>7</v>
      </c>
      <c r="AP234">
        <f t="shared" si="27"/>
        <v>7</v>
      </c>
      <c r="AQ234">
        <f t="shared" si="28"/>
        <v>5</v>
      </c>
      <c r="AR234">
        <f t="shared" si="29"/>
        <v>7</v>
      </c>
      <c r="AS234">
        <f t="shared" si="30"/>
        <v>7</v>
      </c>
      <c r="AT234">
        <f t="shared" si="31"/>
        <v>7</v>
      </c>
      <c r="AU234">
        <f t="shared" si="32"/>
        <v>0</v>
      </c>
      <c r="AV234">
        <f t="shared" si="33"/>
        <v>0</v>
      </c>
      <c r="AW234">
        <f t="shared" si="34"/>
        <v>0</v>
      </c>
      <c r="AX234">
        <f t="shared" si="35"/>
        <v>0</v>
      </c>
      <c r="AY234">
        <f t="shared" si="36"/>
        <v>0</v>
      </c>
      <c r="AZ234">
        <f t="shared" si="37"/>
        <v>0</v>
      </c>
    </row>
    <row r="235" spans="37:52" x14ac:dyDescent="0.35">
      <c r="AK235" s="16"/>
      <c r="AL235" s="16" t="s">
        <v>275</v>
      </c>
      <c r="AM235">
        <f t="shared" si="24"/>
        <v>7</v>
      </c>
      <c r="AN235">
        <f t="shared" si="25"/>
        <v>7</v>
      </c>
      <c r="AO235">
        <f t="shared" si="26"/>
        <v>7</v>
      </c>
      <c r="AP235">
        <f t="shared" si="27"/>
        <v>7</v>
      </c>
      <c r="AQ235">
        <f t="shared" si="28"/>
        <v>5</v>
      </c>
      <c r="AR235">
        <f t="shared" si="29"/>
        <v>7</v>
      </c>
      <c r="AS235">
        <f t="shared" si="30"/>
        <v>7</v>
      </c>
      <c r="AT235">
        <f t="shared" si="31"/>
        <v>7</v>
      </c>
      <c r="AU235">
        <f t="shared" si="32"/>
        <v>0</v>
      </c>
      <c r="AV235">
        <f t="shared" si="33"/>
        <v>0</v>
      </c>
      <c r="AW235">
        <f t="shared" si="34"/>
        <v>0</v>
      </c>
      <c r="AX235">
        <f t="shared" si="35"/>
        <v>0</v>
      </c>
      <c r="AY235">
        <f t="shared" si="36"/>
        <v>0</v>
      </c>
      <c r="AZ235">
        <f t="shared" si="37"/>
        <v>0</v>
      </c>
    </row>
    <row r="236" spans="37:52" x14ac:dyDescent="0.35">
      <c r="AK236" s="16"/>
      <c r="AL236" s="16" t="s">
        <v>276</v>
      </c>
      <c r="AM236">
        <f t="shared" si="24"/>
        <v>7</v>
      </c>
      <c r="AN236">
        <f t="shared" si="25"/>
        <v>7</v>
      </c>
      <c r="AO236">
        <f t="shared" si="26"/>
        <v>7</v>
      </c>
      <c r="AP236">
        <f t="shared" si="27"/>
        <v>7</v>
      </c>
      <c r="AQ236">
        <f t="shared" si="28"/>
        <v>5</v>
      </c>
      <c r="AR236">
        <f t="shared" si="29"/>
        <v>7</v>
      </c>
      <c r="AS236">
        <f t="shared" si="30"/>
        <v>7</v>
      </c>
      <c r="AT236">
        <f t="shared" si="31"/>
        <v>7</v>
      </c>
      <c r="AU236">
        <f t="shared" si="32"/>
        <v>0</v>
      </c>
      <c r="AV236">
        <f t="shared" si="33"/>
        <v>0</v>
      </c>
      <c r="AW236">
        <f t="shared" si="34"/>
        <v>0</v>
      </c>
      <c r="AX236">
        <f t="shared" si="35"/>
        <v>0</v>
      </c>
      <c r="AY236">
        <f t="shared" si="36"/>
        <v>0</v>
      </c>
      <c r="AZ236">
        <f t="shared" si="37"/>
        <v>0</v>
      </c>
    </row>
    <row r="237" spans="37:52" x14ac:dyDescent="0.35">
      <c r="AK237" s="16"/>
      <c r="AL237" s="16" t="s">
        <v>277</v>
      </c>
      <c r="AM237">
        <f t="shared" si="24"/>
        <v>7</v>
      </c>
      <c r="AN237">
        <f t="shared" si="25"/>
        <v>7</v>
      </c>
      <c r="AO237">
        <f t="shared" si="26"/>
        <v>7</v>
      </c>
      <c r="AP237">
        <f t="shared" si="27"/>
        <v>7</v>
      </c>
      <c r="AQ237">
        <f t="shared" si="28"/>
        <v>5</v>
      </c>
      <c r="AR237">
        <f t="shared" si="29"/>
        <v>7</v>
      </c>
      <c r="AS237">
        <f t="shared" si="30"/>
        <v>7</v>
      </c>
      <c r="AT237">
        <f t="shared" si="31"/>
        <v>7</v>
      </c>
      <c r="AU237">
        <f t="shared" si="32"/>
        <v>0</v>
      </c>
      <c r="AV237">
        <f t="shared" si="33"/>
        <v>0</v>
      </c>
      <c r="AW237">
        <f t="shared" si="34"/>
        <v>0</v>
      </c>
      <c r="AX237">
        <f t="shared" si="35"/>
        <v>0</v>
      </c>
      <c r="AY237">
        <f t="shared" si="36"/>
        <v>0</v>
      </c>
      <c r="AZ237">
        <f t="shared" si="37"/>
        <v>0</v>
      </c>
    </row>
    <row r="238" spans="37:52" x14ac:dyDescent="0.35">
      <c r="AK238" s="16"/>
      <c r="AL238" s="16" t="s">
        <v>278</v>
      </c>
      <c r="AM238">
        <f t="shared" si="24"/>
        <v>0</v>
      </c>
      <c r="AN238">
        <f t="shared" si="25"/>
        <v>0</v>
      </c>
      <c r="AO238">
        <f t="shared" si="26"/>
        <v>0</v>
      </c>
      <c r="AP238">
        <f t="shared" si="27"/>
        <v>0</v>
      </c>
      <c r="AQ238">
        <f t="shared" si="28"/>
        <v>0</v>
      </c>
      <c r="AR238">
        <f t="shared" si="29"/>
        <v>0</v>
      </c>
      <c r="AS238">
        <f t="shared" si="30"/>
        <v>0</v>
      </c>
      <c r="AT238">
        <f t="shared" si="31"/>
        <v>0</v>
      </c>
      <c r="AU238">
        <f t="shared" si="32"/>
        <v>0</v>
      </c>
      <c r="AV238">
        <f t="shared" si="33"/>
        <v>0</v>
      </c>
      <c r="AW238">
        <f t="shared" si="34"/>
        <v>0</v>
      </c>
      <c r="AX238">
        <f t="shared" si="35"/>
        <v>0</v>
      </c>
      <c r="AY238">
        <f t="shared" si="36"/>
        <v>0</v>
      </c>
      <c r="AZ238">
        <f t="shared" si="37"/>
        <v>0</v>
      </c>
    </row>
    <row r="239" spans="37:52" x14ac:dyDescent="0.35">
      <c r="AK239" s="16"/>
      <c r="AL239" s="16" t="s">
        <v>279</v>
      </c>
      <c r="AM239">
        <f t="shared" si="24"/>
        <v>7</v>
      </c>
      <c r="AN239">
        <f t="shared" si="25"/>
        <v>7</v>
      </c>
      <c r="AO239">
        <f t="shared" si="26"/>
        <v>7</v>
      </c>
      <c r="AP239">
        <f t="shared" si="27"/>
        <v>7</v>
      </c>
      <c r="AQ239">
        <f t="shared" si="28"/>
        <v>5</v>
      </c>
      <c r="AR239">
        <f t="shared" si="29"/>
        <v>7</v>
      </c>
      <c r="AS239">
        <f t="shared" si="30"/>
        <v>7</v>
      </c>
      <c r="AT239">
        <f t="shared" si="31"/>
        <v>7</v>
      </c>
      <c r="AU239">
        <f t="shared" si="32"/>
        <v>0</v>
      </c>
      <c r="AV239">
        <f t="shared" si="33"/>
        <v>0</v>
      </c>
      <c r="AW239">
        <f t="shared" si="34"/>
        <v>0</v>
      </c>
      <c r="AX239">
        <f t="shared" si="35"/>
        <v>0</v>
      </c>
      <c r="AY239">
        <f t="shared" si="36"/>
        <v>0</v>
      </c>
      <c r="AZ239">
        <f t="shared" si="37"/>
        <v>0</v>
      </c>
    </row>
    <row r="240" spans="37:52" x14ac:dyDescent="0.35">
      <c r="AK240" s="16"/>
      <c r="AL240" s="16" t="s">
        <v>280</v>
      </c>
      <c r="AM240">
        <f t="shared" si="24"/>
        <v>7</v>
      </c>
      <c r="AN240">
        <f t="shared" si="25"/>
        <v>7</v>
      </c>
      <c r="AO240">
        <f t="shared" si="26"/>
        <v>7</v>
      </c>
      <c r="AP240">
        <f t="shared" si="27"/>
        <v>7</v>
      </c>
      <c r="AQ240">
        <f t="shared" si="28"/>
        <v>7</v>
      </c>
      <c r="AR240">
        <f t="shared" si="29"/>
        <v>7</v>
      </c>
      <c r="AS240">
        <f t="shared" si="30"/>
        <v>7</v>
      </c>
      <c r="AT240">
        <f t="shared" si="31"/>
        <v>7</v>
      </c>
      <c r="AU240">
        <f t="shared" si="32"/>
        <v>0</v>
      </c>
      <c r="AV240">
        <f t="shared" si="33"/>
        <v>0</v>
      </c>
      <c r="AW240">
        <f t="shared" si="34"/>
        <v>0</v>
      </c>
      <c r="AX240">
        <f t="shared" si="35"/>
        <v>0</v>
      </c>
      <c r="AY240">
        <f t="shared" si="36"/>
        <v>0</v>
      </c>
      <c r="AZ240">
        <f t="shared" si="37"/>
        <v>0</v>
      </c>
    </row>
    <row r="241" spans="37:52" x14ac:dyDescent="0.35">
      <c r="AK241" s="16"/>
      <c r="AL241" s="16" t="s">
        <v>281</v>
      </c>
      <c r="AM241">
        <f t="shared" si="24"/>
        <v>7</v>
      </c>
      <c r="AN241">
        <f t="shared" si="25"/>
        <v>7</v>
      </c>
      <c r="AO241">
        <f t="shared" si="26"/>
        <v>7</v>
      </c>
      <c r="AP241">
        <f t="shared" si="27"/>
        <v>7</v>
      </c>
      <c r="AQ241">
        <f t="shared" si="28"/>
        <v>7</v>
      </c>
      <c r="AR241">
        <f t="shared" si="29"/>
        <v>7</v>
      </c>
      <c r="AS241">
        <f t="shared" si="30"/>
        <v>7</v>
      </c>
      <c r="AT241">
        <f t="shared" si="31"/>
        <v>7</v>
      </c>
      <c r="AU241">
        <f t="shared" si="32"/>
        <v>0</v>
      </c>
      <c r="AV241">
        <f t="shared" si="33"/>
        <v>0</v>
      </c>
      <c r="AW241">
        <f t="shared" si="34"/>
        <v>0</v>
      </c>
      <c r="AX241">
        <f t="shared" si="35"/>
        <v>0</v>
      </c>
      <c r="AY241">
        <f t="shared" si="36"/>
        <v>0</v>
      </c>
      <c r="AZ241">
        <f t="shared" si="37"/>
        <v>0</v>
      </c>
    </row>
    <row r="242" spans="37:52" x14ac:dyDescent="0.35">
      <c r="AK242" s="16"/>
      <c r="AL242" s="16" t="s">
        <v>282</v>
      </c>
      <c r="AM242">
        <f t="shared" si="24"/>
        <v>7</v>
      </c>
      <c r="AN242">
        <f t="shared" si="25"/>
        <v>7</v>
      </c>
      <c r="AO242">
        <f t="shared" si="26"/>
        <v>7</v>
      </c>
      <c r="AP242">
        <f t="shared" si="27"/>
        <v>7</v>
      </c>
      <c r="AQ242">
        <f t="shared" si="28"/>
        <v>3</v>
      </c>
      <c r="AR242">
        <f t="shared" si="29"/>
        <v>7</v>
      </c>
      <c r="AS242">
        <f t="shared" si="30"/>
        <v>7</v>
      </c>
      <c r="AT242">
        <f t="shared" si="31"/>
        <v>7</v>
      </c>
      <c r="AU242">
        <f t="shared" si="32"/>
        <v>0</v>
      </c>
      <c r="AV242">
        <f t="shared" si="33"/>
        <v>0</v>
      </c>
      <c r="AW242">
        <f t="shared" si="34"/>
        <v>0</v>
      </c>
      <c r="AX242">
        <f t="shared" si="35"/>
        <v>0</v>
      </c>
      <c r="AY242">
        <f t="shared" si="36"/>
        <v>0</v>
      </c>
      <c r="AZ242">
        <f t="shared" si="37"/>
        <v>0</v>
      </c>
    </row>
    <row r="243" spans="37:52" x14ac:dyDescent="0.35">
      <c r="AK243" s="16"/>
      <c r="AL243" s="16" t="s">
        <v>283</v>
      </c>
      <c r="AM243">
        <f t="shared" si="24"/>
        <v>7</v>
      </c>
      <c r="AN243">
        <f t="shared" si="25"/>
        <v>7</v>
      </c>
      <c r="AO243">
        <f t="shared" si="26"/>
        <v>7</v>
      </c>
      <c r="AP243">
        <f t="shared" si="27"/>
        <v>7</v>
      </c>
      <c r="AQ243">
        <f t="shared" si="28"/>
        <v>5</v>
      </c>
      <c r="AR243">
        <f t="shared" si="29"/>
        <v>7</v>
      </c>
      <c r="AS243">
        <f t="shared" si="30"/>
        <v>7</v>
      </c>
      <c r="AT243">
        <f t="shared" si="31"/>
        <v>7</v>
      </c>
      <c r="AU243">
        <f t="shared" si="32"/>
        <v>0</v>
      </c>
      <c r="AV243">
        <f t="shared" si="33"/>
        <v>0</v>
      </c>
      <c r="AW243">
        <f t="shared" si="34"/>
        <v>0</v>
      </c>
      <c r="AX243">
        <f t="shared" si="35"/>
        <v>0</v>
      </c>
      <c r="AY243">
        <f t="shared" si="36"/>
        <v>0</v>
      </c>
      <c r="AZ243">
        <f t="shared" si="37"/>
        <v>0</v>
      </c>
    </row>
    <row r="244" spans="37:52" x14ac:dyDescent="0.35">
      <c r="AK244" s="16"/>
      <c r="AL244" s="16" t="s">
        <v>284</v>
      </c>
      <c r="AM244">
        <f t="shared" si="24"/>
        <v>7</v>
      </c>
      <c r="AN244">
        <f t="shared" si="25"/>
        <v>7</v>
      </c>
      <c r="AO244">
        <f t="shared" si="26"/>
        <v>7</v>
      </c>
      <c r="AP244">
        <f t="shared" si="27"/>
        <v>7</v>
      </c>
      <c r="AQ244">
        <f t="shared" si="28"/>
        <v>3</v>
      </c>
      <c r="AR244">
        <f t="shared" si="29"/>
        <v>4</v>
      </c>
      <c r="AS244">
        <f t="shared" si="30"/>
        <v>4</v>
      </c>
      <c r="AT244">
        <f t="shared" si="31"/>
        <v>5</v>
      </c>
      <c r="AU244">
        <f t="shared" si="32"/>
        <v>0</v>
      </c>
      <c r="AV244">
        <f t="shared" si="33"/>
        <v>0</v>
      </c>
      <c r="AW244">
        <f t="shared" si="34"/>
        <v>0</v>
      </c>
      <c r="AX244">
        <f t="shared" si="35"/>
        <v>0</v>
      </c>
      <c r="AY244">
        <f t="shared" si="36"/>
        <v>0</v>
      </c>
      <c r="AZ244">
        <f t="shared" si="37"/>
        <v>0</v>
      </c>
    </row>
    <row r="245" spans="37:52" x14ac:dyDescent="0.35">
      <c r="AK245" s="16"/>
      <c r="AL245" s="16" t="s">
        <v>285</v>
      </c>
      <c r="AM245">
        <f t="shared" si="24"/>
        <v>7</v>
      </c>
      <c r="AN245">
        <f t="shared" si="25"/>
        <v>7</v>
      </c>
      <c r="AO245">
        <f t="shared" si="26"/>
        <v>7</v>
      </c>
      <c r="AP245">
        <f t="shared" si="27"/>
        <v>6</v>
      </c>
      <c r="AQ245">
        <f t="shared" si="28"/>
        <v>2</v>
      </c>
      <c r="AR245">
        <f t="shared" si="29"/>
        <v>7</v>
      </c>
      <c r="AS245">
        <f t="shared" si="30"/>
        <v>7</v>
      </c>
      <c r="AT245">
        <f t="shared" si="31"/>
        <v>7</v>
      </c>
      <c r="AU245">
        <f t="shared" si="32"/>
        <v>0</v>
      </c>
      <c r="AV245">
        <f t="shared" si="33"/>
        <v>0</v>
      </c>
      <c r="AW245">
        <f t="shared" si="34"/>
        <v>0</v>
      </c>
      <c r="AX245">
        <f t="shared" si="35"/>
        <v>0</v>
      </c>
      <c r="AY245">
        <f t="shared" si="36"/>
        <v>0</v>
      </c>
      <c r="AZ245">
        <f t="shared" si="37"/>
        <v>0</v>
      </c>
    </row>
    <row r="246" spans="37:52" x14ac:dyDescent="0.35">
      <c r="AK246" s="16"/>
      <c r="AL246" s="16" t="s">
        <v>286</v>
      </c>
      <c r="AM246">
        <f t="shared" si="24"/>
        <v>7</v>
      </c>
      <c r="AN246">
        <f t="shared" si="25"/>
        <v>7</v>
      </c>
      <c r="AO246">
        <f t="shared" si="26"/>
        <v>7</v>
      </c>
      <c r="AP246">
        <f t="shared" si="27"/>
        <v>7</v>
      </c>
      <c r="AQ246">
        <f t="shared" si="28"/>
        <v>5</v>
      </c>
      <c r="AR246">
        <f t="shared" si="29"/>
        <v>7</v>
      </c>
      <c r="AS246">
        <f t="shared" si="30"/>
        <v>7</v>
      </c>
      <c r="AT246">
        <f t="shared" si="31"/>
        <v>7</v>
      </c>
      <c r="AU246">
        <f t="shared" si="32"/>
        <v>0</v>
      </c>
      <c r="AV246">
        <f t="shared" si="33"/>
        <v>0</v>
      </c>
      <c r="AW246">
        <f t="shared" si="34"/>
        <v>0</v>
      </c>
      <c r="AX246">
        <f t="shared" si="35"/>
        <v>0</v>
      </c>
      <c r="AY246">
        <f t="shared" si="36"/>
        <v>0</v>
      </c>
      <c r="AZ246">
        <f t="shared" si="37"/>
        <v>0</v>
      </c>
    </row>
    <row r="247" spans="37:52" x14ac:dyDescent="0.35">
      <c r="AK247" s="16"/>
      <c r="AL247" s="16" t="s">
        <v>287</v>
      </c>
      <c r="AM247">
        <f t="shared" si="24"/>
        <v>7</v>
      </c>
      <c r="AN247">
        <f t="shared" si="25"/>
        <v>7</v>
      </c>
      <c r="AO247">
        <f t="shared" si="26"/>
        <v>7</v>
      </c>
      <c r="AP247">
        <f t="shared" si="27"/>
        <v>7</v>
      </c>
      <c r="AQ247">
        <f t="shared" si="28"/>
        <v>7</v>
      </c>
      <c r="AR247">
        <f t="shared" si="29"/>
        <v>7</v>
      </c>
      <c r="AS247">
        <f t="shared" si="30"/>
        <v>7</v>
      </c>
      <c r="AT247">
        <f t="shared" si="31"/>
        <v>7</v>
      </c>
      <c r="AU247">
        <f t="shared" si="32"/>
        <v>0</v>
      </c>
      <c r="AV247">
        <f t="shared" si="33"/>
        <v>0</v>
      </c>
      <c r="AW247">
        <f t="shared" si="34"/>
        <v>0</v>
      </c>
      <c r="AX247">
        <f t="shared" si="35"/>
        <v>0</v>
      </c>
      <c r="AY247">
        <f t="shared" si="36"/>
        <v>0</v>
      </c>
      <c r="AZ247">
        <f t="shared" si="37"/>
        <v>0</v>
      </c>
    </row>
    <row r="248" spans="37:52" x14ac:dyDescent="0.35">
      <c r="AK248" s="16"/>
      <c r="AL248" s="16" t="s">
        <v>288</v>
      </c>
      <c r="AM248">
        <f t="shared" si="24"/>
        <v>7</v>
      </c>
      <c r="AN248">
        <f t="shared" si="25"/>
        <v>7</v>
      </c>
      <c r="AO248">
        <f t="shared" si="26"/>
        <v>7</v>
      </c>
      <c r="AP248">
        <f t="shared" si="27"/>
        <v>7</v>
      </c>
      <c r="AQ248">
        <f t="shared" si="28"/>
        <v>7</v>
      </c>
      <c r="AR248">
        <f t="shared" si="29"/>
        <v>7</v>
      </c>
      <c r="AS248">
        <f t="shared" si="30"/>
        <v>7</v>
      </c>
      <c r="AT248">
        <f t="shared" si="31"/>
        <v>7</v>
      </c>
      <c r="AU248">
        <f t="shared" si="32"/>
        <v>0</v>
      </c>
      <c r="AV248">
        <f t="shared" si="33"/>
        <v>0</v>
      </c>
      <c r="AW248">
        <f t="shared" si="34"/>
        <v>0</v>
      </c>
      <c r="AX248">
        <f t="shared" si="35"/>
        <v>0</v>
      </c>
      <c r="AY248">
        <f t="shared" si="36"/>
        <v>0</v>
      </c>
      <c r="AZ248">
        <f t="shared" si="37"/>
        <v>0</v>
      </c>
    </row>
    <row r="249" spans="37:52" x14ac:dyDescent="0.35">
      <c r="AK249" s="16"/>
      <c r="AL249" s="16" t="s">
        <v>289</v>
      </c>
      <c r="AM249">
        <f t="shared" si="24"/>
        <v>6</v>
      </c>
      <c r="AN249">
        <f t="shared" si="25"/>
        <v>7</v>
      </c>
      <c r="AO249">
        <f t="shared" si="26"/>
        <v>7</v>
      </c>
      <c r="AP249">
        <f t="shared" si="27"/>
        <v>6</v>
      </c>
      <c r="AQ249">
        <f t="shared" si="28"/>
        <v>0</v>
      </c>
      <c r="AR249">
        <f t="shared" si="29"/>
        <v>3</v>
      </c>
      <c r="AS249">
        <f t="shared" si="30"/>
        <v>5</v>
      </c>
      <c r="AT249">
        <f t="shared" si="31"/>
        <v>6</v>
      </c>
      <c r="AU249">
        <f t="shared" si="32"/>
        <v>0</v>
      </c>
      <c r="AV249">
        <f t="shared" si="33"/>
        <v>0</v>
      </c>
      <c r="AW249">
        <f t="shared" si="34"/>
        <v>0</v>
      </c>
      <c r="AX249">
        <f t="shared" si="35"/>
        <v>0</v>
      </c>
      <c r="AY249">
        <f t="shared" si="36"/>
        <v>0</v>
      </c>
      <c r="AZ249">
        <f t="shared" si="37"/>
        <v>0</v>
      </c>
    </row>
    <row r="250" spans="37:52" x14ac:dyDescent="0.35">
      <c r="AK250" s="16"/>
      <c r="AL250" s="16" t="s">
        <v>290</v>
      </c>
      <c r="AM250">
        <f t="shared" si="24"/>
        <v>5</v>
      </c>
      <c r="AN250">
        <f t="shared" si="25"/>
        <v>6</v>
      </c>
      <c r="AO250">
        <f t="shared" si="26"/>
        <v>6</v>
      </c>
      <c r="AP250">
        <f t="shared" si="27"/>
        <v>6</v>
      </c>
      <c r="AQ250">
        <f t="shared" si="28"/>
        <v>0</v>
      </c>
      <c r="AR250">
        <f t="shared" si="29"/>
        <v>0</v>
      </c>
      <c r="AS250">
        <f t="shared" si="30"/>
        <v>6</v>
      </c>
      <c r="AT250">
        <f t="shared" si="31"/>
        <v>7</v>
      </c>
      <c r="AU250">
        <f t="shared" si="32"/>
        <v>0</v>
      </c>
      <c r="AV250">
        <f t="shared" si="33"/>
        <v>0</v>
      </c>
      <c r="AW250">
        <f t="shared" si="34"/>
        <v>0</v>
      </c>
      <c r="AX250">
        <f t="shared" si="35"/>
        <v>0</v>
      </c>
      <c r="AY250">
        <f t="shared" si="36"/>
        <v>0</v>
      </c>
      <c r="AZ250">
        <f t="shared" si="37"/>
        <v>0</v>
      </c>
    </row>
    <row r="251" spans="37:52" x14ac:dyDescent="0.35">
      <c r="AK251" s="16"/>
      <c r="AL251" s="16" t="s">
        <v>291</v>
      </c>
      <c r="AM251">
        <f t="shared" si="24"/>
        <v>6</v>
      </c>
      <c r="AN251">
        <f t="shared" si="25"/>
        <v>7</v>
      </c>
      <c r="AO251">
        <f t="shared" si="26"/>
        <v>7</v>
      </c>
      <c r="AP251">
        <f t="shared" si="27"/>
        <v>7</v>
      </c>
      <c r="AQ251">
        <f t="shared" si="28"/>
        <v>7</v>
      </c>
      <c r="AR251">
        <f t="shared" si="29"/>
        <v>7</v>
      </c>
      <c r="AS251">
        <f t="shared" si="30"/>
        <v>7</v>
      </c>
      <c r="AT251">
        <f t="shared" si="31"/>
        <v>7</v>
      </c>
      <c r="AU251">
        <f t="shared" si="32"/>
        <v>0</v>
      </c>
      <c r="AV251">
        <f t="shared" si="33"/>
        <v>0</v>
      </c>
      <c r="AW251">
        <f t="shared" si="34"/>
        <v>0</v>
      </c>
      <c r="AX251">
        <f t="shared" si="35"/>
        <v>0</v>
      </c>
      <c r="AY251">
        <f t="shared" si="36"/>
        <v>0</v>
      </c>
      <c r="AZ251">
        <f t="shared" si="37"/>
        <v>0</v>
      </c>
    </row>
    <row r="252" spans="37:52" x14ac:dyDescent="0.35">
      <c r="AK252" s="16"/>
      <c r="AL252" s="16" t="s">
        <v>292</v>
      </c>
      <c r="AM252">
        <f t="shared" si="24"/>
        <v>7</v>
      </c>
      <c r="AN252">
        <f t="shared" si="25"/>
        <v>7</v>
      </c>
      <c r="AO252">
        <f t="shared" si="26"/>
        <v>7</v>
      </c>
      <c r="AP252">
        <f t="shared" si="27"/>
        <v>7</v>
      </c>
      <c r="AQ252">
        <f t="shared" si="28"/>
        <v>7</v>
      </c>
      <c r="AR252">
        <f t="shared" si="29"/>
        <v>7</v>
      </c>
      <c r="AS252">
        <f t="shared" si="30"/>
        <v>7</v>
      </c>
      <c r="AT252">
        <f t="shared" si="31"/>
        <v>7</v>
      </c>
      <c r="AU252">
        <f t="shared" si="32"/>
        <v>0</v>
      </c>
      <c r="AV252">
        <f t="shared" si="33"/>
        <v>0</v>
      </c>
      <c r="AW252">
        <f t="shared" si="34"/>
        <v>0</v>
      </c>
      <c r="AX252">
        <f t="shared" si="35"/>
        <v>0</v>
      </c>
      <c r="AY252">
        <f t="shared" si="36"/>
        <v>0</v>
      </c>
      <c r="AZ252">
        <f t="shared" si="37"/>
        <v>0</v>
      </c>
    </row>
    <row r="253" spans="37:52" x14ac:dyDescent="0.35">
      <c r="AK253" s="16"/>
      <c r="AL253" s="16" t="s">
        <v>293</v>
      </c>
      <c r="AM253">
        <f t="shared" si="24"/>
        <v>7</v>
      </c>
      <c r="AN253">
        <f t="shared" si="25"/>
        <v>7</v>
      </c>
      <c r="AO253">
        <f t="shared" si="26"/>
        <v>7</v>
      </c>
      <c r="AP253">
        <f t="shared" si="27"/>
        <v>6</v>
      </c>
      <c r="AQ253">
        <f t="shared" si="28"/>
        <v>0</v>
      </c>
      <c r="AR253">
        <f t="shared" si="29"/>
        <v>1</v>
      </c>
      <c r="AS253">
        <f t="shared" si="30"/>
        <v>6</v>
      </c>
      <c r="AT253">
        <f t="shared" si="31"/>
        <v>7</v>
      </c>
      <c r="AU253">
        <f t="shared" si="32"/>
        <v>0</v>
      </c>
      <c r="AV253">
        <f t="shared" si="33"/>
        <v>0</v>
      </c>
      <c r="AW253">
        <f t="shared" si="34"/>
        <v>0</v>
      </c>
      <c r="AX253">
        <f t="shared" si="35"/>
        <v>0</v>
      </c>
      <c r="AY253">
        <f t="shared" si="36"/>
        <v>0</v>
      </c>
      <c r="AZ253">
        <f t="shared" si="37"/>
        <v>0</v>
      </c>
    </row>
    <row r="254" spans="37:52" x14ac:dyDescent="0.35">
      <c r="AK254" s="16"/>
      <c r="AL254" s="16" t="s">
        <v>294</v>
      </c>
      <c r="AM254">
        <f t="shared" si="24"/>
        <v>7</v>
      </c>
      <c r="AN254">
        <f t="shared" si="25"/>
        <v>7</v>
      </c>
      <c r="AO254">
        <f t="shared" si="26"/>
        <v>7</v>
      </c>
      <c r="AP254">
        <f t="shared" si="27"/>
        <v>7</v>
      </c>
      <c r="AQ254">
        <f t="shared" si="28"/>
        <v>7</v>
      </c>
      <c r="AR254">
        <f t="shared" si="29"/>
        <v>7</v>
      </c>
      <c r="AS254">
        <f t="shared" si="30"/>
        <v>7</v>
      </c>
      <c r="AT254">
        <f t="shared" si="31"/>
        <v>7</v>
      </c>
      <c r="AU254">
        <f t="shared" si="32"/>
        <v>0</v>
      </c>
      <c r="AV254">
        <f t="shared" si="33"/>
        <v>0</v>
      </c>
      <c r="AW254">
        <f t="shared" si="34"/>
        <v>0</v>
      </c>
      <c r="AX254">
        <f t="shared" si="35"/>
        <v>0</v>
      </c>
      <c r="AY254">
        <f t="shared" si="36"/>
        <v>0</v>
      </c>
      <c r="AZ254">
        <f t="shared" si="37"/>
        <v>0</v>
      </c>
    </row>
    <row r="255" spans="37:52" x14ac:dyDescent="0.35">
      <c r="AK255" s="16"/>
      <c r="AL255" s="16" t="s">
        <v>295</v>
      </c>
      <c r="AM255">
        <f t="shared" si="24"/>
        <v>7</v>
      </c>
      <c r="AN255">
        <f t="shared" si="25"/>
        <v>7</v>
      </c>
      <c r="AO255">
        <f t="shared" si="26"/>
        <v>7</v>
      </c>
      <c r="AP255">
        <f t="shared" si="27"/>
        <v>7</v>
      </c>
      <c r="AQ255">
        <f t="shared" si="28"/>
        <v>7</v>
      </c>
      <c r="AR255">
        <f t="shared" si="29"/>
        <v>7</v>
      </c>
      <c r="AS255">
        <f t="shared" si="30"/>
        <v>7</v>
      </c>
      <c r="AT255">
        <f t="shared" si="31"/>
        <v>7</v>
      </c>
      <c r="AU255">
        <f t="shared" si="32"/>
        <v>0</v>
      </c>
      <c r="AV255">
        <f t="shared" si="33"/>
        <v>0</v>
      </c>
      <c r="AW255">
        <f t="shared" si="34"/>
        <v>0</v>
      </c>
      <c r="AX255">
        <f t="shared" si="35"/>
        <v>0</v>
      </c>
      <c r="AY255">
        <f t="shared" si="36"/>
        <v>0</v>
      </c>
      <c r="AZ255">
        <f t="shared" si="37"/>
        <v>0</v>
      </c>
    </row>
    <row r="256" spans="37:52" x14ac:dyDescent="0.35">
      <c r="AK256" s="16"/>
      <c r="AL256" s="16" t="s">
        <v>296</v>
      </c>
      <c r="AM256">
        <f t="shared" si="24"/>
        <v>1</v>
      </c>
      <c r="AN256">
        <f t="shared" si="25"/>
        <v>1</v>
      </c>
      <c r="AO256">
        <f t="shared" si="26"/>
        <v>1</v>
      </c>
      <c r="AP256">
        <f t="shared" si="27"/>
        <v>0</v>
      </c>
      <c r="AQ256">
        <f t="shared" si="28"/>
        <v>2</v>
      </c>
      <c r="AR256">
        <f t="shared" si="29"/>
        <v>3</v>
      </c>
      <c r="AS256">
        <f t="shared" si="30"/>
        <v>0</v>
      </c>
      <c r="AT256">
        <f t="shared" si="31"/>
        <v>0</v>
      </c>
      <c r="AU256">
        <f t="shared" si="32"/>
        <v>0</v>
      </c>
      <c r="AV256">
        <f t="shared" si="33"/>
        <v>0</v>
      </c>
      <c r="AW256">
        <f t="shared" si="34"/>
        <v>0</v>
      </c>
      <c r="AX256">
        <f t="shared" si="35"/>
        <v>0</v>
      </c>
      <c r="AY256">
        <f t="shared" si="36"/>
        <v>0</v>
      </c>
      <c r="AZ256">
        <f t="shared" si="37"/>
        <v>0</v>
      </c>
    </row>
    <row r="257" spans="37:52" x14ac:dyDescent="0.35">
      <c r="AK257" s="16"/>
      <c r="AL257" s="16" t="s">
        <v>297</v>
      </c>
      <c r="AM257">
        <f t="shared" si="24"/>
        <v>7</v>
      </c>
      <c r="AN257">
        <f t="shared" si="25"/>
        <v>7</v>
      </c>
      <c r="AO257">
        <f t="shared" si="26"/>
        <v>7</v>
      </c>
      <c r="AP257">
        <f t="shared" si="27"/>
        <v>7</v>
      </c>
      <c r="AQ257">
        <f t="shared" si="28"/>
        <v>6</v>
      </c>
      <c r="AR257">
        <f t="shared" si="29"/>
        <v>7</v>
      </c>
      <c r="AS257">
        <f t="shared" si="30"/>
        <v>7</v>
      </c>
      <c r="AT257">
        <f t="shared" si="31"/>
        <v>7</v>
      </c>
      <c r="AU257">
        <f t="shared" si="32"/>
        <v>0</v>
      </c>
      <c r="AV257">
        <f t="shared" si="33"/>
        <v>0</v>
      </c>
      <c r="AW257">
        <f t="shared" si="34"/>
        <v>0</v>
      </c>
      <c r="AX257">
        <f t="shared" si="35"/>
        <v>0</v>
      </c>
      <c r="AY257">
        <f t="shared" si="36"/>
        <v>0</v>
      </c>
      <c r="AZ257">
        <f t="shared" si="37"/>
        <v>0</v>
      </c>
    </row>
    <row r="258" spans="37:52" x14ac:dyDescent="0.35">
      <c r="AK258" s="16"/>
      <c r="AL258" s="16" t="s">
        <v>298</v>
      </c>
      <c r="AM258">
        <f t="shared" si="24"/>
        <v>6</v>
      </c>
      <c r="AN258">
        <f t="shared" si="25"/>
        <v>6</v>
      </c>
      <c r="AO258">
        <f t="shared" si="26"/>
        <v>6</v>
      </c>
      <c r="AP258">
        <f t="shared" si="27"/>
        <v>5</v>
      </c>
      <c r="AQ258">
        <f t="shared" si="28"/>
        <v>0</v>
      </c>
      <c r="AR258">
        <f t="shared" si="29"/>
        <v>2</v>
      </c>
      <c r="AS258">
        <f t="shared" si="30"/>
        <v>6</v>
      </c>
      <c r="AT258">
        <f t="shared" si="31"/>
        <v>3</v>
      </c>
      <c r="AU258">
        <f t="shared" si="32"/>
        <v>0</v>
      </c>
      <c r="AV258">
        <f t="shared" si="33"/>
        <v>0</v>
      </c>
      <c r="AW258">
        <f t="shared" si="34"/>
        <v>0</v>
      </c>
      <c r="AX258">
        <f t="shared" si="35"/>
        <v>0</v>
      </c>
      <c r="AY258">
        <f t="shared" si="36"/>
        <v>0</v>
      </c>
      <c r="AZ258">
        <f t="shared" si="37"/>
        <v>0</v>
      </c>
    </row>
    <row r="259" spans="37:52" x14ac:dyDescent="0.35">
      <c r="AK259" s="16"/>
      <c r="AL259" s="16" t="s">
        <v>299</v>
      </c>
      <c r="AM259">
        <f t="shared" si="24"/>
        <v>3</v>
      </c>
      <c r="AN259">
        <f t="shared" si="25"/>
        <v>2</v>
      </c>
      <c r="AO259">
        <f t="shared" si="26"/>
        <v>4</v>
      </c>
      <c r="AP259">
        <f t="shared" si="27"/>
        <v>1</v>
      </c>
      <c r="AQ259">
        <f t="shared" si="28"/>
        <v>2</v>
      </c>
      <c r="AR259">
        <f t="shared" si="29"/>
        <v>0</v>
      </c>
      <c r="AS259">
        <f t="shared" si="30"/>
        <v>0</v>
      </c>
      <c r="AT259">
        <f t="shared" si="31"/>
        <v>0</v>
      </c>
      <c r="AU259">
        <f t="shared" si="32"/>
        <v>0</v>
      </c>
      <c r="AV259">
        <f t="shared" si="33"/>
        <v>0</v>
      </c>
      <c r="AW259">
        <f t="shared" si="34"/>
        <v>0</v>
      </c>
      <c r="AX259">
        <f t="shared" si="35"/>
        <v>0</v>
      </c>
      <c r="AY259">
        <f t="shared" si="36"/>
        <v>0</v>
      </c>
      <c r="AZ259">
        <f t="shared" si="37"/>
        <v>0</v>
      </c>
    </row>
    <row r="260" spans="37:52" x14ac:dyDescent="0.35">
      <c r="AK260" s="16"/>
      <c r="AL260" s="16" t="s">
        <v>300</v>
      </c>
      <c r="AM260">
        <f t="shared" si="24"/>
        <v>7</v>
      </c>
      <c r="AN260">
        <f t="shared" si="25"/>
        <v>7</v>
      </c>
      <c r="AO260">
        <f t="shared" si="26"/>
        <v>7</v>
      </c>
      <c r="AP260">
        <f t="shared" si="27"/>
        <v>7</v>
      </c>
      <c r="AQ260">
        <f t="shared" si="28"/>
        <v>6</v>
      </c>
      <c r="AR260">
        <f t="shared" si="29"/>
        <v>7</v>
      </c>
      <c r="AS260">
        <f t="shared" si="30"/>
        <v>7</v>
      </c>
      <c r="AT260">
        <f t="shared" si="31"/>
        <v>7</v>
      </c>
      <c r="AU260">
        <f t="shared" si="32"/>
        <v>0</v>
      </c>
      <c r="AV260">
        <f t="shared" si="33"/>
        <v>0</v>
      </c>
      <c r="AW260">
        <f t="shared" si="34"/>
        <v>0</v>
      </c>
      <c r="AX260">
        <f t="shared" si="35"/>
        <v>0</v>
      </c>
      <c r="AY260">
        <f t="shared" si="36"/>
        <v>0</v>
      </c>
      <c r="AZ260">
        <f t="shared" si="37"/>
        <v>0</v>
      </c>
    </row>
    <row r="261" spans="37:52" x14ac:dyDescent="0.35">
      <c r="AK261" s="16"/>
      <c r="AL261" s="16" t="s">
        <v>301</v>
      </c>
      <c r="AM261">
        <f t="shared" si="24"/>
        <v>7</v>
      </c>
      <c r="AN261">
        <f t="shared" si="25"/>
        <v>7</v>
      </c>
      <c r="AO261">
        <f t="shared" si="26"/>
        <v>7</v>
      </c>
      <c r="AP261">
        <f t="shared" si="27"/>
        <v>7</v>
      </c>
      <c r="AQ261">
        <f t="shared" si="28"/>
        <v>7</v>
      </c>
      <c r="AR261">
        <f t="shared" si="29"/>
        <v>7</v>
      </c>
      <c r="AS261">
        <f t="shared" si="30"/>
        <v>7</v>
      </c>
      <c r="AT261">
        <f t="shared" si="31"/>
        <v>7</v>
      </c>
      <c r="AU261">
        <f t="shared" si="32"/>
        <v>0</v>
      </c>
      <c r="AV261">
        <f t="shared" si="33"/>
        <v>0</v>
      </c>
      <c r="AW261">
        <f t="shared" si="34"/>
        <v>0</v>
      </c>
      <c r="AX261">
        <f t="shared" si="35"/>
        <v>0</v>
      </c>
      <c r="AY261">
        <f t="shared" si="36"/>
        <v>0</v>
      </c>
      <c r="AZ261">
        <f t="shared" si="37"/>
        <v>0</v>
      </c>
    </row>
    <row r="262" spans="37:52" x14ac:dyDescent="0.35">
      <c r="AK262" s="16"/>
      <c r="AL262" s="16" t="s">
        <v>302</v>
      </c>
      <c r="AM262">
        <f t="shared" si="24"/>
        <v>7</v>
      </c>
      <c r="AN262">
        <f t="shared" si="25"/>
        <v>7</v>
      </c>
      <c r="AO262">
        <f t="shared" si="26"/>
        <v>6</v>
      </c>
      <c r="AP262">
        <f t="shared" si="27"/>
        <v>6</v>
      </c>
      <c r="AQ262">
        <f t="shared" si="28"/>
        <v>0</v>
      </c>
      <c r="AR262">
        <f t="shared" si="29"/>
        <v>2</v>
      </c>
      <c r="AS262">
        <f t="shared" si="30"/>
        <v>7</v>
      </c>
      <c r="AT262">
        <f t="shared" si="31"/>
        <v>7</v>
      </c>
      <c r="AU262">
        <f t="shared" si="32"/>
        <v>0</v>
      </c>
      <c r="AV262">
        <f t="shared" si="33"/>
        <v>0</v>
      </c>
      <c r="AW262">
        <f t="shared" si="34"/>
        <v>0</v>
      </c>
      <c r="AX262">
        <f t="shared" si="35"/>
        <v>0</v>
      </c>
      <c r="AY262">
        <f t="shared" si="36"/>
        <v>0</v>
      </c>
      <c r="AZ262">
        <f t="shared" si="37"/>
        <v>0</v>
      </c>
    </row>
    <row r="263" spans="37:52" x14ac:dyDescent="0.35">
      <c r="AK263" s="16"/>
      <c r="AL263" s="16" t="s">
        <v>303</v>
      </c>
      <c r="AM263">
        <f t="shared" si="24"/>
        <v>7</v>
      </c>
      <c r="AN263">
        <f t="shared" si="25"/>
        <v>7</v>
      </c>
      <c r="AO263">
        <f t="shared" si="26"/>
        <v>7</v>
      </c>
      <c r="AP263">
        <f t="shared" si="27"/>
        <v>7</v>
      </c>
      <c r="AQ263">
        <f t="shared" si="28"/>
        <v>6</v>
      </c>
      <c r="AR263">
        <f t="shared" si="29"/>
        <v>7</v>
      </c>
      <c r="AS263">
        <f t="shared" si="30"/>
        <v>7</v>
      </c>
      <c r="AT263">
        <f t="shared" si="31"/>
        <v>7</v>
      </c>
      <c r="AU263">
        <f t="shared" si="32"/>
        <v>0</v>
      </c>
      <c r="AV263">
        <f t="shared" si="33"/>
        <v>0</v>
      </c>
      <c r="AW263">
        <f t="shared" si="34"/>
        <v>0</v>
      </c>
      <c r="AX263">
        <f t="shared" si="35"/>
        <v>0</v>
      </c>
      <c r="AY263">
        <f t="shared" si="36"/>
        <v>0</v>
      </c>
      <c r="AZ263">
        <f t="shared" si="37"/>
        <v>0</v>
      </c>
    </row>
    <row r="264" spans="37:52" x14ac:dyDescent="0.35">
      <c r="AK264" s="16"/>
      <c r="AL264" s="16" t="s">
        <v>304</v>
      </c>
      <c r="AM264">
        <f t="shared" si="24"/>
        <v>7</v>
      </c>
      <c r="AN264">
        <f t="shared" si="25"/>
        <v>7</v>
      </c>
      <c r="AO264">
        <f t="shared" si="26"/>
        <v>7</v>
      </c>
      <c r="AP264">
        <f t="shared" si="27"/>
        <v>7</v>
      </c>
      <c r="AQ264">
        <f t="shared" si="28"/>
        <v>5</v>
      </c>
      <c r="AR264">
        <f t="shared" si="29"/>
        <v>7</v>
      </c>
      <c r="AS264">
        <f t="shared" si="30"/>
        <v>7</v>
      </c>
      <c r="AT264">
        <f t="shared" si="31"/>
        <v>7</v>
      </c>
      <c r="AU264">
        <f t="shared" si="32"/>
        <v>0</v>
      </c>
      <c r="AV264">
        <f t="shared" si="33"/>
        <v>0</v>
      </c>
      <c r="AW264">
        <f t="shared" si="34"/>
        <v>0</v>
      </c>
      <c r="AX264">
        <f t="shared" si="35"/>
        <v>0</v>
      </c>
      <c r="AY264">
        <f t="shared" si="36"/>
        <v>0</v>
      </c>
      <c r="AZ264">
        <f t="shared" si="37"/>
        <v>0</v>
      </c>
    </row>
    <row r="265" spans="37:52" x14ac:dyDescent="0.35">
      <c r="AK265" s="16"/>
      <c r="AL265" s="16" t="s">
        <v>305</v>
      </c>
      <c r="AM265">
        <f t="shared" si="24"/>
        <v>5</v>
      </c>
      <c r="AN265">
        <f t="shared" si="25"/>
        <v>5</v>
      </c>
      <c r="AO265">
        <f t="shared" si="26"/>
        <v>5</v>
      </c>
      <c r="AP265">
        <f t="shared" si="27"/>
        <v>5</v>
      </c>
      <c r="AQ265">
        <f t="shared" si="28"/>
        <v>0</v>
      </c>
      <c r="AR265">
        <f t="shared" si="29"/>
        <v>0</v>
      </c>
      <c r="AS265">
        <f t="shared" si="30"/>
        <v>3</v>
      </c>
      <c r="AT265">
        <f t="shared" si="31"/>
        <v>7</v>
      </c>
      <c r="AU265">
        <f t="shared" si="32"/>
        <v>0</v>
      </c>
      <c r="AV265">
        <f t="shared" si="33"/>
        <v>0</v>
      </c>
      <c r="AW265">
        <f t="shared" si="34"/>
        <v>0</v>
      </c>
      <c r="AX265">
        <f t="shared" si="35"/>
        <v>0</v>
      </c>
      <c r="AY265">
        <f t="shared" si="36"/>
        <v>0</v>
      </c>
      <c r="AZ265">
        <f t="shared" si="37"/>
        <v>0</v>
      </c>
    </row>
    <row r="266" spans="37:52" x14ac:dyDescent="0.35">
      <c r="AK266" s="16"/>
      <c r="AL266" s="16" t="s">
        <v>306</v>
      </c>
      <c r="AM266">
        <f t="shared" si="24"/>
        <v>7</v>
      </c>
      <c r="AN266">
        <f t="shared" si="25"/>
        <v>7</v>
      </c>
      <c r="AO266">
        <f t="shared" si="26"/>
        <v>7</v>
      </c>
      <c r="AP266">
        <f t="shared" si="27"/>
        <v>7</v>
      </c>
      <c r="AQ266">
        <f t="shared" si="28"/>
        <v>2</v>
      </c>
      <c r="AR266">
        <f t="shared" si="29"/>
        <v>7</v>
      </c>
      <c r="AS266">
        <f t="shared" si="30"/>
        <v>7</v>
      </c>
      <c r="AT266">
        <f t="shared" si="31"/>
        <v>7</v>
      </c>
      <c r="AU266">
        <f t="shared" si="32"/>
        <v>0</v>
      </c>
      <c r="AV266">
        <f t="shared" si="33"/>
        <v>0</v>
      </c>
      <c r="AW266">
        <f t="shared" si="34"/>
        <v>0</v>
      </c>
      <c r="AX266">
        <f t="shared" si="35"/>
        <v>0</v>
      </c>
      <c r="AY266">
        <f t="shared" si="36"/>
        <v>0</v>
      </c>
      <c r="AZ266">
        <f t="shared" si="37"/>
        <v>0</v>
      </c>
    </row>
    <row r="267" spans="37:52" x14ac:dyDescent="0.35">
      <c r="AK267" s="16"/>
      <c r="AL267" s="16" t="s">
        <v>307</v>
      </c>
      <c r="AM267">
        <f t="shared" si="24"/>
        <v>7</v>
      </c>
      <c r="AN267">
        <f t="shared" si="25"/>
        <v>7</v>
      </c>
      <c r="AO267">
        <f t="shared" si="26"/>
        <v>7</v>
      </c>
      <c r="AP267">
        <f t="shared" si="27"/>
        <v>7</v>
      </c>
      <c r="AQ267">
        <f t="shared" si="28"/>
        <v>7</v>
      </c>
      <c r="AR267">
        <f t="shared" si="29"/>
        <v>7</v>
      </c>
      <c r="AS267">
        <f t="shared" si="30"/>
        <v>7</v>
      </c>
      <c r="AT267">
        <f t="shared" si="31"/>
        <v>7</v>
      </c>
      <c r="AU267">
        <f t="shared" si="32"/>
        <v>0</v>
      </c>
      <c r="AV267">
        <f t="shared" si="33"/>
        <v>0</v>
      </c>
      <c r="AW267">
        <f t="shared" si="34"/>
        <v>0</v>
      </c>
      <c r="AX267">
        <f t="shared" si="35"/>
        <v>0</v>
      </c>
      <c r="AY267">
        <f t="shared" si="36"/>
        <v>0</v>
      </c>
      <c r="AZ267">
        <f t="shared" si="37"/>
        <v>0</v>
      </c>
    </row>
    <row r="268" spans="37:52" x14ac:dyDescent="0.35">
      <c r="AK268" s="16"/>
      <c r="AL268" s="16" t="s">
        <v>308</v>
      </c>
      <c r="AM268">
        <f t="shared" si="24"/>
        <v>7</v>
      </c>
      <c r="AN268">
        <f t="shared" si="25"/>
        <v>7</v>
      </c>
      <c r="AO268">
        <f t="shared" si="26"/>
        <v>7</v>
      </c>
      <c r="AP268">
        <f t="shared" si="27"/>
        <v>7</v>
      </c>
      <c r="AQ268">
        <f t="shared" si="28"/>
        <v>6</v>
      </c>
      <c r="AR268">
        <f t="shared" si="29"/>
        <v>7</v>
      </c>
      <c r="AS268">
        <f t="shared" si="30"/>
        <v>7</v>
      </c>
      <c r="AT268">
        <f t="shared" si="31"/>
        <v>7</v>
      </c>
      <c r="AU268">
        <f t="shared" si="32"/>
        <v>0</v>
      </c>
      <c r="AV268">
        <f t="shared" si="33"/>
        <v>0</v>
      </c>
      <c r="AW268">
        <f t="shared" si="34"/>
        <v>0</v>
      </c>
      <c r="AX268">
        <f t="shared" si="35"/>
        <v>0</v>
      </c>
      <c r="AY268">
        <f t="shared" si="36"/>
        <v>0</v>
      </c>
      <c r="AZ268">
        <f t="shared" si="37"/>
        <v>0</v>
      </c>
    </row>
    <row r="269" spans="37:52" x14ac:dyDescent="0.35">
      <c r="AK269" s="16"/>
      <c r="AL269" s="16" t="s">
        <v>309</v>
      </c>
      <c r="AM269">
        <f t="shared" si="24"/>
        <v>7</v>
      </c>
      <c r="AN269">
        <f t="shared" si="25"/>
        <v>7</v>
      </c>
      <c r="AO269">
        <f t="shared" si="26"/>
        <v>7</v>
      </c>
      <c r="AP269">
        <f t="shared" si="27"/>
        <v>7</v>
      </c>
      <c r="AQ269">
        <f t="shared" si="28"/>
        <v>7</v>
      </c>
      <c r="AR269">
        <f t="shared" si="29"/>
        <v>7</v>
      </c>
      <c r="AS269">
        <f t="shared" si="30"/>
        <v>7</v>
      </c>
      <c r="AT269">
        <f t="shared" si="31"/>
        <v>7</v>
      </c>
      <c r="AU269">
        <f t="shared" si="32"/>
        <v>0</v>
      </c>
      <c r="AV269">
        <f t="shared" si="33"/>
        <v>0</v>
      </c>
      <c r="AW269">
        <f t="shared" si="34"/>
        <v>0</v>
      </c>
      <c r="AX269">
        <f t="shared" si="35"/>
        <v>0</v>
      </c>
      <c r="AY269">
        <f t="shared" si="36"/>
        <v>0</v>
      </c>
      <c r="AZ269">
        <f t="shared" si="37"/>
        <v>0</v>
      </c>
    </row>
    <row r="270" spans="37:52" x14ac:dyDescent="0.35">
      <c r="AK270" s="16"/>
      <c r="AL270" s="16" t="s">
        <v>310</v>
      </c>
      <c r="AM270">
        <f t="shared" si="24"/>
        <v>7</v>
      </c>
      <c r="AN270">
        <f t="shared" si="25"/>
        <v>7</v>
      </c>
      <c r="AO270">
        <f t="shared" si="26"/>
        <v>7</v>
      </c>
      <c r="AP270">
        <f t="shared" si="27"/>
        <v>7</v>
      </c>
      <c r="AQ270">
        <f t="shared" si="28"/>
        <v>7</v>
      </c>
      <c r="AR270">
        <f t="shared" si="29"/>
        <v>7</v>
      </c>
      <c r="AS270">
        <f t="shared" si="30"/>
        <v>7</v>
      </c>
      <c r="AT270">
        <f t="shared" si="31"/>
        <v>7</v>
      </c>
      <c r="AU270">
        <f t="shared" si="32"/>
        <v>0</v>
      </c>
      <c r="AV270">
        <f t="shared" si="33"/>
        <v>0</v>
      </c>
      <c r="AW270">
        <f t="shared" si="34"/>
        <v>0</v>
      </c>
      <c r="AX270">
        <f t="shared" si="35"/>
        <v>0</v>
      </c>
      <c r="AY270">
        <f t="shared" si="36"/>
        <v>0</v>
      </c>
      <c r="AZ270">
        <f t="shared" si="37"/>
        <v>0</v>
      </c>
    </row>
    <row r="271" spans="37:52" x14ac:dyDescent="0.35">
      <c r="AK271" s="16"/>
      <c r="AL271" s="16" t="s">
        <v>311</v>
      </c>
      <c r="AM271">
        <f t="shared" si="24"/>
        <v>7</v>
      </c>
      <c r="AN271">
        <f t="shared" si="25"/>
        <v>7</v>
      </c>
      <c r="AO271">
        <f t="shared" si="26"/>
        <v>7</v>
      </c>
      <c r="AP271">
        <f t="shared" si="27"/>
        <v>7</v>
      </c>
      <c r="AQ271">
        <f t="shared" si="28"/>
        <v>5</v>
      </c>
      <c r="AR271">
        <f t="shared" si="29"/>
        <v>7</v>
      </c>
      <c r="AS271">
        <f t="shared" si="30"/>
        <v>7</v>
      </c>
      <c r="AT271">
        <f t="shared" si="31"/>
        <v>7</v>
      </c>
      <c r="AU271">
        <f t="shared" si="32"/>
        <v>0</v>
      </c>
      <c r="AV271">
        <f t="shared" si="33"/>
        <v>0</v>
      </c>
      <c r="AW271">
        <f t="shared" si="34"/>
        <v>0</v>
      </c>
      <c r="AX271">
        <f t="shared" si="35"/>
        <v>0</v>
      </c>
      <c r="AY271">
        <f t="shared" si="36"/>
        <v>0</v>
      </c>
      <c r="AZ271">
        <f t="shared" si="37"/>
        <v>0</v>
      </c>
    </row>
    <row r="272" spans="37:52" x14ac:dyDescent="0.35">
      <c r="AK272" s="16"/>
      <c r="AL272" s="16" t="s">
        <v>312</v>
      </c>
      <c r="AM272">
        <f t="shared" si="24"/>
        <v>7</v>
      </c>
      <c r="AN272">
        <f t="shared" si="25"/>
        <v>7</v>
      </c>
      <c r="AO272">
        <f t="shared" si="26"/>
        <v>7</v>
      </c>
      <c r="AP272">
        <f t="shared" si="27"/>
        <v>7</v>
      </c>
      <c r="AQ272">
        <f t="shared" si="28"/>
        <v>4</v>
      </c>
      <c r="AR272">
        <f t="shared" si="29"/>
        <v>7</v>
      </c>
      <c r="AS272">
        <f t="shared" si="30"/>
        <v>7</v>
      </c>
      <c r="AT272">
        <f t="shared" si="31"/>
        <v>7</v>
      </c>
      <c r="AU272">
        <f t="shared" si="32"/>
        <v>0</v>
      </c>
      <c r="AV272">
        <f t="shared" si="33"/>
        <v>0</v>
      </c>
      <c r="AW272">
        <f t="shared" si="34"/>
        <v>0</v>
      </c>
      <c r="AX272">
        <f t="shared" si="35"/>
        <v>0</v>
      </c>
      <c r="AY272">
        <f t="shared" si="36"/>
        <v>0</v>
      </c>
      <c r="AZ272">
        <f t="shared" si="37"/>
        <v>0</v>
      </c>
    </row>
    <row r="273" spans="37:52" x14ac:dyDescent="0.35">
      <c r="AK273" s="16"/>
      <c r="AL273" s="16" t="s">
        <v>313</v>
      </c>
      <c r="AM273">
        <f t="shared" si="24"/>
        <v>7</v>
      </c>
      <c r="AN273">
        <f t="shared" si="25"/>
        <v>7</v>
      </c>
      <c r="AO273">
        <f t="shared" si="26"/>
        <v>7</v>
      </c>
      <c r="AP273">
        <f t="shared" si="27"/>
        <v>7</v>
      </c>
      <c r="AQ273">
        <f t="shared" si="28"/>
        <v>2</v>
      </c>
      <c r="AR273">
        <f t="shared" si="29"/>
        <v>7</v>
      </c>
      <c r="AS273">
        <f t="shared" si="30"/>
        <v>6</v>
      </c>
      <c r="AT273">
        <f t="shared" si="31"/>
        <v>6</v>
      </c>
      <c r="AU273">
        <f t="shared" si="32"/>
        <v>0</v>
      </c>
      <c r="AV273">
        <f t="shared" si="33"/>
        <v>0</v>
      </c>
      <c r="AW273">
        <f t="shared" si="34"/>
        <v>0</v>
      </c>
      <c r="AX273">
        <f t="shared" si="35"/>
        <v>0</v>
      </c>
      <c r="AY273">
        <f t="shared" si="36"/>
        <v>0</v>
      </c>
      <c r="AZ273">
        <f t="shared" si="37"/>
        <v>0</v>
      </c>
    </row>
    <row r="274" spans="37:52" x14ac:dyDescent="0.35">
      <c r="AK274" s="16"/>
      <c r="AL274" s="16" t="s">
        <v>314</v>
      </c>
      <c r="AM274">
        <f t="shared" si="24"/>
        <v>7</v>
      </c>
      <c r="AN274">
        <f t="shared" si="25"/>
        <v>7</v>
      </c>
      <c r="AO274">
        <f t="shared" si="26"/>
        <v>7</v>
      </c>
      <c r="AP274">
        <f t="shared" si="27"/>
        <v>7</v>
      </c>
      <c r="AQ274">
        <f t="shared" si="28"/>
        <v>5</v>
      </c>
      <c r="AR274">
        <f t="shared" si="29"/>
        <v>7</v>
      </c>
      <c r="AS274">
        <f t="shared" si="30"/>
        <v>7</v>
      </c>
      <c r="AT274">
        <f t="shared" si="31"/>
        <v>7</v>
      </c>
      <c r="AU274">
        <f t="shared" si="32"/>
        <v>0</v>
      </c>
      <c r="AV274">
        <f t="shared" si="33"/>
        <v>0</v>
      </c>
      <c r="AW274">
        <f t="shared" si="34"/>
        <v>0</v>
      </c>
      <c r="AX274">
        <f t="shared" si="35"/>
        <v>0</v>
      </c>
      <c r="AY274">
        <f t="shared" si="36"/>
        <v>0</v>
      </c>
      <c r="AZ274">
        <f t="shared" si="37"/>
        <v>0</v>
      </c>
    </row>
    <row r="275" spans="37:52" x14ac:dyDescent="0.35">
      <c r="AK275" s="16"/>
      <c r="AL275" s="16" t="s">
        <v>315</v>
      </c>
      <c r="AM275">
        <f t="shared" si="24"/>
        <v>7</v>
      </c>
      <c r="AN275">
        <f t="shared" si="25"/>
        <v>7</v>
      </c>
      <c r="AO275">
        <f t="shared" si="26"/>
        <v>7</v>
      </c>
      <c r="AP275">
        <f t="shared" si="27"/>
        <v>7</v>
      </c>
      <c r="AQ275">
        <f t="shared" si="28"/>
        <v>3</v>
      </c>
      <c r="AR275">
        <f t="shared" si="29"/>
        <v>7</v>
      </c>
      <c r="AS275">
        <f t="shared" si="30"/>
        <v>7</v>
      </c>
      <c r="AT275">
        <f t="shared" si="31"/>
        <v>7</v>
      </c>
      <c r="AU275">
        <f t="shared" si="32"/>
        <v>0</v>
      </c>
      <c r="AV275">
        <f t="shared" si="33"/>
        <v>0</v>
      </c>
      <c r="AW275">
        <f t="shared" si="34"/>
        <v>0</v>
      </c>
      <c r="AX275">
        <f t="shared" si="35"/>
        <v>0</v>
      </c>
      <c r="AY275">
        <f t="shared" si="36"/>
        <v>0</v>
      </c>
      <c r="AZ275">
        <f t="shared" si="37"/>
        <v>0</v>
      </c>
    </row>
    <row r="276" spans="37:52" x14ac:dyDescent="0.35">
      <c r="AK276" s="16"/>
      <c r="AL276" s="16" t="s">
        <v>316</v>
      </c>
      <c r="AM276">
        <f t="shared" si="24"/>
        <v>7</v>
      </c>
      <c r="AN276">
        <f t="shared" si="25"/>
        <v>7</v>
      </c>
      <c r="AO276">
        <f t="shared" si="26"/>
        <v>7</v>
      </c>
      <c r="AP276">
        <f t="shared" si="27"/>
        <v>7</v>
      </c>
      <c r="AQ276">
        <f t="shared" si="28"/>
        <v>7</v>
      </c>
      <c r="AR276">
        <f t="shared" si="29"/>
        <v>7</v>
      </c>
      <c r="AS276">
        <f t="shared" si="30"/>
        <v>7</v>
      </c>
      <c r="AT276">
        <f t="shared" si="31"/>
        <v>7</v>
      </c>
      <c r="AU276">
        <f t="shared" si="32"/>
        <v>0</v>
      </c>
      <c r="AV276">
        <f t="shared" si="33"/>
        <v>0</v>
      </c>
      <c r="AW276">
        <f t="shared" si="34"/>
        <v>0</v>
      </c>
      <c r="AX276">
        <f t="shared" si="35"/>
        <v>0</v>
      </c>
      <c r="AY276">
        <f t="shared" si="36"/>
        <v>0</v>
      </c>
      <c r="AZ276">
        <f t="shared" si="37"/>
        <v>0</v>
      </c>
    </row>
    <row r="277" spans="37:52" x14ac:dyDescent="0.35">
      <c r="AK277" s="16"/>
      <c r="AL277" s="16" t="s">
        <v>317</v>
      </c>
      <c r="AM277">
        <f t="shared" si="24"/>
        <v>7</v>
      </c>
      <c r="AN277">
        <f t="shared" si="25"/>
        <v>7</v>
      </c>
      <c r="AO277">
        <f t="shared" si="26"/>
        <v>7</v>
      </c>
      <c r="AP277">
        <f t="shared" si="27"/>
        <v>7</v>
      </c>
      <c r="AQ277">
        <f t="shared" si="28"/>
        <v>7</v>
      </c>
      <c r="AR277">
        <f t="shared" si="29"/>
        <v>7</v>
      </c>
      <c r="AS277">
        <f t="shared" si="30"/>
        <v>7</v>
      </c>
      <c r="AT277">
        <f t="shared" si="31"/>
        <v>7</v>
      </c>
      <c r="AU277">
        <f t="shared" si="32"/>
        <v>0</v>
      </c>
      <c r="AV277">
        <f t="shared" si="33"/>
        <v>0</v>
      </c>
      <c r="AW277">
        <f t="shared" si="34"/>
        <v>0</v>
      </c>
      <c r="AX277">
        <f t="shared" si="35"/>
        <v>0</v>
      </c>
      <c r="AY277">
        <f t="shared" si="36"/>
        <v>0</v>
      </c>
      <c r="AZ277">
        <f t="shared" si="37"/>
        <v>0</v>
      </c>
    </row>
    <row r="278" spans="37:52" x14ac:dyDescent="0.35">
      <c r="AK278" s="16"/>
      <c r="AL278" s="16" t="s">
        <v>318</v>
      </c>
      <c r="AM278">
        <f t="shared" si="24"/>
        <v>7</v>
      </c>
      <c r="AN278">
        <f t="shared" si="25"/>
        <v>7</v>
      </c>
      <c r="AO278">
        <f t="shared" si="26"/>
        <v>7</v>
      </c>
      <c r="AP278">
        <f t="shared" si="27"/>
        <v>7</v>
      </c>
      <c r="AQ278">
        <f t="shared" si="28"/>
        <v>5</v>
      </c>
      <c r="AR278">
        <f t="shared" si="29"/>
        <v>7</v>
      </c>
      <c r="AS278">
        <f t="shared" si="30"/>
        <v>7</v>
      </c>
      <c r="AT278">
        <f t="shared" si="31"/>
        <v>7</v>
      </c>
      <c r="AU278">
        <f t="shared" si="32"/>
        <v>0</v>
      </c>
      <c r="AV278">
        <f t="shared" si="33"/>
        <v>0</v>
      </c>
      <c r="AW278">
        <f t="shared" si="34"/>
        <v>0</v>
      </c>
      <c r="AX278">
        <f t="shared" si="35"/>
        <v>0</v>
      </c>
      <c r="AY278">
        <f t="shared" si="36"/>
        <v>0</v>
      </c>
      <c r="AZ278">
        <f t="shared" si="37"/>
        <v>0</v>
      </c>
    </row>
    <row r="279" spans="37:52" x14ac:dyDescent="0.35">
      <c r="AK279" s="16"/>
      <c r="AL279" s="16" t="s">
        <v>319</v>
      </c>
      <c r="AM279">
        <f t="shared" si="24"/>
        <v>7</v>
      </c>
      <c r="AN279">
        <f t="shared" si="25"/>
        <v>7</v>
      </c>
      <c r="AO279">
        <f t="shared" si="26"/>
        <v>7</v>
      </c>
      <c r="AP279">
        <f t="shared" si="27"/>
        <v>7</v>
      </c>
      <c r="AQ279">
        <f t="shared" si="28"/>
        <v>6</v>
      </c>
      <c r="AR279">
        <f t="shared" si="29"/>
        <v>7</v>
      </c>
      <c r="AS279">
        <f t="shared" si="30"/>
        <v>7</v>
      </c>
      <c r="AT279">
        <f t="shared" si="31"/>
        <v>7</v>
      </c>
      <c r="AU279">
        <f t="shared" si="32"/>
        <v>0</v>
      </c>
      <c r="AV279">
        <f t="shared" si="33"/>
        <v>0</v>
      </c>
      <c r="AW279">
        <f t="shared" si="34"/>
        <v>0</v>
      </c>
      <c r="AX279">
        <f t="shared" si="35"/>
        <v>0</v>
      </c>
      <c r="AY279">
        <f t="shared" si="36"/>
        <v>0</v>
      </c>
      <c r="AZ279">
        <f t="shared" si="37"/>
        <v>0</v>
      </c>
    </row>
    <row r="280" spans="37:52" x14ac:dyDescent="0.35">
      <c r="AK280" s="16"/>
      <c r="AL280" s="16" t="s">
        <v>320</v>
      </c>
      <c r="AM280">
        <f t="shared" ref="AM280:AM285" si="38">COUNTIF($AM137:$AS137,"&gt;=85%")</f>
        <v>7</v>
      </c>
      <c r="AN280">
        <f t="shared" ref="AN280:AN285" si="39">COUNTIF($AU137:$BA137,"&gt;=85%")</f>
        <v>7</v>
      </c>
      <c r="AO280">
        <f t="shared" ref="AO280:AO285" si="40">COUNTIF($BC137:$BI137,"&gt;=85%")</f>
        <v>7</v>
      </c>
      <c r="AP280">
        <f t="shared" ref="AP280:AP285" si="41">COUNTIF($BK137:$BQ137,"&gt;=85%")</f>
        <v>7</v>
      </c>
      <c r="AQ280">
        <f t="shared" ref="AQ280:AQ285" si="42">COUNTIF($BS137:$BY137,"&gt;=85%")</f>
        <v>7</v>
      </c>
      <c r="AR280">
        <f t="shared" ref="AR280:AR285" si="43">COUNTIF($CA137:$CG137,"&gt;=85%")</f>
        <v>7</v>
      </c>
      <c r="AS280">
        <f t="shared" ref="AS280:AS285" si="44">COUNTIF($CI137:$CO137,"&gt;=85%")</f>
        <v>7</v>
      </c>
      <c r="AT280">
        <f t="shared" ref="AT280:AT285" si="45">COUNTIF($CQ137:$CW137,"&gt;=85%")</f>
        <v>7</v>
      </c>
      <c r="AU280">
        <f t="shared" ref="AU280:AU285" si="46">COUNTIF($CY137:$DE137,"&gt;=92%")</f>
        <v>0</v>
      </c>
      <c r="AV280">
        <f t="shared" ref="AV280:AV285" si="47">COUNTIF($DG137:$DM137,"&gt;=85%")</f>
        <v>0</v>
      </c>
      <c r="AW280">
        <f t="shared" ref="AW280:AW285" si="48">COUNTIF($DO137:$DU137,"&gt;=85%")</f>
        <v>0</v>
      </c>
      <c r="AX280">
        <f t="shared" ref="AX280:AX285" si="49">COUNTIF($DW137:$EC137,"&gt;=85%")</f>
        <v>0</v>
      </c>
      <c r="AY280">
        <f t="shared" ref="AY280:AY285" si="50">COUNTIF($EE137:$EK137,"&gt;=85%")</f>
        <v>0</v>
      </c>
      <c r="AZ280">
        <f t="shared" si="37"/>
        <v>0</v>
      </c>
    </row>
    <row r="281" spans="37:52" x14ac:dyDescent="0.35">
      <c r="AK281" s="16"/>
      <c r="AL281" s="16" t="s">
        <v>321</v>
      </c>
      <c r="AM281">
        <f t="shared" si="38"/>
        <v>7</v>
      </c>
      <c r="AN281">
        <f t="shared" si="39"/>
        <v>7</v>
      </c>
      <c r="AO281">
        <f t="shared" si="40"/>
        <v>7</v>
      </c>
      <c r="AP281">
        <f t="shared" si="41"/>
        <v>7</v>
      </c>
      <c r="AQ281">
        <f t="shared" si="42"/>
        <v>7</v>
      </c>
      <c r="AR281">
        <f t="shared" si="43"/>
        <v>7</v>
      </c>
      <c r="AS281">
        <f t="shared" si="44"/>
        <v>7</v>
      </c>
      <c r="AT281">
        <f t="shared" si="45"/>
        <v>7</v>
      </c>
      <c r="AU281">
        <f t="shared" si="46"/>
        <v>0</v>
      </c>
      <c r="AV281">
        <f t="shared" si="47"/>
        <v>0</v>
      </c>
      <c r="AW281">
        <f t="shared" si="48"/>
        <v>0</v>
      </c>
      <c r="AX281">
        <f t="shared" si="49"/>
        <v>0</v>
      </c>
      <c r="AY281">
        <f t="shared" si="50"/>
        <v>0</v>
      </c>
      <c r="AZ281">
        <f t="shared" ref="AZ281:AZ285" si="51">COUNTIF($EM138:$ES138,"&gt;=85%")</f>
        <v>0</v>
      </c>
    </row>
    <row r="282" spans="37:52" x14ac:dyDescent="0.35">
      <c r="AK282" s="16"/>
      <c r="AL282" s="16" t="s">
        <v>322</v>
      </c>
      <c r="AM282">
        <f t="shared" si="38"/>
        <v>5</v>
      </c>
      <c r="AN282">
        <f t="shared" si="39"/>
        <v>4</v>
      </c>
      <c r="AO282">
        <f t="shared" si="40"/>
        <v>7</v>
      </c>
      <c r="AP282">
        <f t="shared" si="41"/>
        <v>7</v>
      </c>
      <c r="AQ282">
        <f t="shared" si="42"/>
        <v>6</v>
      </c>
      <c r="AR282">
        <f t="shared" si="43"/>
        <v>7</v>
      </c>
      <c r="AS282">
        <f t="shared" si="44"/>
        <v>7</v>
      </c>
      <c r="AT282">
        <f t="shared" si="45"/>
        <v>7</v>
      </c>
      <c r="AU282">
        <f t="shared" si="46"/>
        <v>0</v>
      </c>
      <c r="AV282">
        <f t="shared" si="47"/>
        <v>0</v>
      </c>
      <c r="AW282">
        <f t="shared" si="48"/>
        <v>0</v>
      </c>
      <c r="AX282">
        <f t="shared" si="49"/>
        <v>0</v>
      </c>
      <c r="AY282">
        <f t="shared" si="50"/>
        <v>0</v>
      </c>
      <c r="AZ282">
        <f t="shared" si="51"/>
        <v>0</v>
      </c>
    </row>
    <row r="283" spans="37:52" x14ac:dyDescent="0.35">
      <c r="AK283" s="16"/>
      <c r="AL283" s="16" t="s">
        <v>323</v>
      </c>
      <c r="AM283">
        <f t="shared" si="38"/>
        <v>7</v>
      </c>
      <c r="AN283">
        <f t="shared" si="39"/>
        <v>7</v>
      </c>
      <c r="AO283">
        <f t="shared" si="40"/>
        <v>7</v>
      </c>
      <c r="AP283">
        <f t="shared" si="41"/>
        <v>7</v>
      </c>
      <c r="AQ283">
        <f t="shared" si="42"/>
        <v>7</v>
      </c>
      <c r="AR283">
        <f t="shared" si="43"/>
        <v>7</v>
      </c>
      <c r="AS283">
        <f t="shared" si="44"/>
        <v>7</v>
      </c>
      <c r="AT283">
        <f t="shared" si="45"/>
        <v>7</v>
      </c>
      <c r="AU283">
        <f t="shared" si="46"/>
        <v>0</v>
      </c>
      <c r="AV283">
        <f t="shared" si="47"/>
        <v>0</v>
      </c>
      <c r="AW283">
        <f t="shared" si="48"/>
        <v>0</v>
      </c>
      <c r="AX283">
        <f t="shared" si="49"/>
        <v>0</v>
      </c>
      <c r="AY283">
        <f t="shared" si="50"/>
        <v>0</v>
      </c>
      <c r="AZ283">
        <f t="shared" si="51"/>
        <v>0</v>
      </c>
    </row>
    <row r="284" spans="37:52" x14ac:dyDescent="0.35">
      <c r="AK284" s="16"/>
      <c r="AL284" s="16" t="s">
        <v>324</v>
      </c>
      <c r="AM284">
        <f t="shared" si="38"/>
        <v>7</v>
      </c>
      <c r="AN284">
        <f t="shared" si="39"/>
        <v>7</v>
      </c>
      <c r="AO284">
        <f t="shared" si="40"/>
        <v>7</v>
      </c>
      <c r="AP284">
        <f t="shared" si="41"/>
        <v>7</v>
      </c>
      <c r="AQ284">
        <f t="shared" si="42"/>
        <v>7</v>
      </c>
      <c r="AR284">
        <f t="shared" si="43"/>
        <v>7</v>
      </c>
      <c r="AS284">
        <f t="shared" si="44"/>
        <v>7</v>
      </c>
      <c r="AT284">
        <f t="shared" si="45"/>
        <v>7</v>
      </c>
      <c r="AU284">
        <f t="shared" si="46"/>
        <v>0</v>
      </c>
      <c r="AV284">
        <f t="shared" si="47"/>
        <v>0</v>
      </c>
      <c r="AW284">
        <f t="shared" si="48"/>
        <v>0</v>
      </c>
      <c r="AX284">
        <f t="shared" si="49"/>
        <v>0</v>
      </c>
      <c r="AY284">
        <f t="shared" si="50"/>
        <v>0</v>
      </c>
      <c r="AZ284">
        <f t="shared" si="51"/>
        <v>0</v>
      </c>
    </row>
    <row r="285" spans="37:52" x14ac:dyDescent="0.35">
      <c r="AK285" s="16"/>
      <c r="AL285" s="16" t="s">
        <v>325</v>
      </c>
      <c r="AM285">
        <f t="shared" si="38"/>
        <v>7</v>
      </c>
      <c r="AN285">
        <f t="shared" si="39"/>
        <v>7</v>
      </c>
      <c r="AO285">
        <f t="shared" si="40"/>
        <v>7</v>
      </c>
      <c r="AP285">
        <f t="shared" si="41"/>
        <v>7</v>
      </c>
      <c r="AQ285">
        <f t="shared" si="42"/>
        <v>7</v>
      </c>
      <c r="AR285">
        <f t="shared" si="43"/>
        <v>7</v>
      </c>
      <c r="AS285">
        <f t="shared" si="44"/>
        <v>7</v>
      </c>
      <c r="AT285">
        <f t="shared" si="45"/>
        <v>7</v>
      </c>
      <c r="AU285">
        <f t="shared" si="46"/>
        <v>0</v>
      </c>
      <c r="AV285">
        <f t="shared" si="47"/>
        <v>0</v>
      </c>
      <c r="AW285">
        <f t="shared" si="48"/>
        <v>0</v>
      </c>
      <c r="AX285">
        <f t="shared" si="49"/>
        <v>0</v>
      </c>
      <c r="AY285">
        <f t="shared" si="50"/>
        <v>0</v>
      </c>
      <c r="AZ285">
        <f t="shared" si="51"/>
        <v>0</v>
      </c>
    </row>
    <row r="286" spans="37:52" x14ac:dyDescent="0.35">
      <c r="AL286" s="16"/>
    </row>
    <row r="287" spans="37:52" x14ac:dyDescent="0.35">
      <c r="AL287" s="16"/>
    </row>
    <row r="289" spans="38:52" x14ac:dyDescent="0.35">
      <c r="AQ289" s="23"/>
    </row>
    <row r="290" spans="38:52" x14ac:dyDescent="0.35">
      <c r="AL290" s="13" t="s">
        <v>327</v>
      </c>
      <c r="AM290" s="23" t="s">
        <v>1</v>
      </c>
      <c r="AN290" s="23" t="s">
        <v>2</v>
      </c>
      <c r="AO290" s="23" t="s">
        <v>3</v>
      </c>
      <c r="AP290" s="23" t="s">
        <v>4</v>
      </c>
      <c r="AQ290" s="23" t="s">
        <v>5</v>
      </c>
      <c r="AR290" s="23" t="s">
        <v>6</v>
      </c>
      <c r="AS290" s="23" t="s">
        <v>7</v>
      </c>
      <c r="AT290" s="23" t="s">
        <v>8</v>
      </c>
      <c r="AU290" s="23" t="s">
        <v>9</v>
      </c>
      <c r="AV290" s="23" t="s">
        <v>10</v>
      </c>
      <c r="AW290" s="23" t="s">
        <v>11</v>
      </c>
      <c r="AX290" s="23" t="s">
        <v>12</v>
      </c>
      <c r="AY290" s="23" t="s">
        <v>13</v>
      </c>
      <c r="AZ290" s="23" t="s">
        <v>14</v>
      </c>
    </row>
    <row r="291" spans="38:52" x14ac:dyDescent="0.35">
      <c r="AL291" s="13" t="s">
        <v>146</v>
      </c>
      <c r="AM291" s="23">
        <f>IF((COUNTIF(AM292:AM428,"&gt;0"))=0, "", (COUNTIF(AM292:AM428,"&gt;0")))</f>
        <v>98</v>
      </c>
      <c r="AN291" s="23">
        <f t="shared" ref="AN291:AZ291" si="52">IF((COUNTIF(AN292:AN428,"&gt;0"))=0, "", (COUNTIF(AN292:AN428,"&gt;0")))</f>
        <v>95</v>
      </c>
      <c r="AO291" s="23">
        <f t="shared" si="52"/>
        <v>86</v>
      </c>
      <c r="AP291" s="23">
        <f t="shared" si="52"/>
        <v>85</v>
      </c>
      <c r="AQ291" s="23">
        <f t="shared" si="52"/>
        <v>45</v>
      </c>
      <c r="AR291" s="23">
        <f t="shared" si="52"/>
        <v>70</v>
      </c>
      <c r="AS291" s="23">
        <f t="shared" si="52"/>
        <v>92</v>
      </c>
      <c r="AT291" s="23">
        <f t="shared" si="52"/>
        <v>87</v>
      </c>
      <c r="AU291" s="23" t="str">
        <f t="shared" si="52"/>
        <v/>
      </c>
      <c r="AV291" s="23" t="str">
        <f t="shared" si="52"/>
        <v/>
      </c>
      <c r="AW291" s="23" t="str">
        <f t="shared" si="52"/>
        <v/>
      </c>
      <c r="AX291" s="23" t="str">
        <f t="shared" si="52"/>
        <v/>
      </c>
      <c r="AY291" s="23" t="str">
        <f t="shared" si="52"/>
        <v/>
      </c>
      <c r="AZ291" s="23" t="str">
        <f t="shared" si="52"/>
        <v/>
      </c>
    </row>
    <row r="292" spans="38:52" x14ac:dyDescent="0.35">
      <c r="AL292" s="16" t="s">
        <v>190</v>
      </c>
      <c r="AM292">
        <f>COUNTIF($AM8:$AS8,"&gt;=95%")</f>
        <v>7</v>
      </c>
      <c r="AN292">
        <f>COUNTIF($AU8:$BA8,"&gt;=95%")</f>
        <v>7</v>
      </c>
      <c r="AO292">
        <f>COUNTIF($BC8:$BI8,"&gt;=95%")</f>
        <v>5</v>
      </c>
      <c r="AP292">
        <f>COUNTIF($BK8:$BQ8,"&gt;=95%")</f>
        <v>3</v>
      </c>
      <c r="AQ292">
        <f>COUNTIF($BS8:$BY8,"&gt;=95%")</f>
        <v>0</v>
      </c>
      <c r="AR292">
        <f>COUNTIF($CA8:$CG8,"&gt;=95%")</f>
        <v>2</v>
      </c>
      <c r="AS292">
        <f>COUNTIF($CI8:$CO8,"&gt;=95%")</f>
        <v>4</v>
      </c>
      <c r="AT292">
        <f>COUNTIF($CQ8:$CW8,"&gt;=95%")</f>
        <v>6</v>
      </c>
      <c r="AU292">
        <f>COUNTIF($CY8:$DE8,"&gt;=95%")</f>
        <v>0</v>
      </c>
      <c r="AV292">
        <f>COUNTIF($DG8:$DM8,"&gt;=95%")</f>
        <v>0</v>
      </c>
      <c r="AW292">
        <f>COUNTIF($DO8:$DU8,"&gt;=95%")</f>
        <v>0</v>
      </c>
      <c r="AX292">
        <f>COUNTIF($DW8:$EC8,"&gt;=95%")</f>
        <v>0</v>
      </c>
      <c r="AY292">
        <f>COUNTIF($EE8:$EK8,"&gt;=95%")</f>
        <v>0</v>
      </c>
      <c r="AZ292">
        <f>COUNTIF($EM8:$ES8,"&gt;=95%")</f>
        <v>0</v>
      </c>
    </row>
    <row r="293" spans="38:52" x14ac:dyDescent="0.35">
      <c r="AL293" s="16" t="s">
        <v>191</v>
      </c>
      <c r="AM293">
        <f t="shared" ref="AM293:AM356" si="53">COUNTIF($AM9:$AS9,"&gt;=95%")</f>
        <v>0</v>
      </c>
      <c r="AN293">
        <f>COUNTIF($AU9:$BA9,"&gt;=95%")</f>
        <v>0</v>
      </c>
      <c r="AO293">
        <f t="shared" ref="AO293:AO356" si="54">COUNTIF($BC9:$BI9,"&gt;=95%")</f>
        <v>0</v>
      </c>
      <c r="AP293">
        <f t="shared" ref="AP293:AP356" si="55">COUNTIF($BK9:$BQ9,"&gt;=95%")</f>
        <v>0</v>
      </c>
      <c r="AQ293">
        <f t="shared" ref="AQ293:AQ356" si="56">COUNTIF($BS9:$BY9,"&gt;=95%")</f>
        <v>0</v>
      </c>
      <c r="AR293">
        <f t="shared" ref="AR293:AR356" si="57">COUNTIF($CA9:$CG9,"&gt;=95%")</f>
        <v>0</v>
      </c>
      <c r="AS293">
        <f t="shared" ref="AS293:AS356" si="58">COUNTIF($CI9:$CO9,"&gt;=95%")</f>
        <v>0</v>
      </c>
      <c r="AT293">
        <f t="shared" ref="AT293:AT356" si="59">COUNTIF($CQ9:$CW9,"&gt;=95%")</f>
        <v>0</v>
      </c>
      <c r="AU293">
        <f t="shared" ref="AU293:AU356" si="60">COUNTIF($CY9:$DE9,"&gt;=95%")</f>
        <v>0</v>
      </c>
      <c r="AV293">
        <f t="shared" ref="AV293:AV356" si="61">COUNTIF($DG9:$DM9,"&gt;=95%")</f>
        <v>0</v>
      </c>
      <c r="AW293">
        <f t="shared" ref="AW293:AW356" si="62">COUNTIF($DO9:$DU9,"&gt;=95%")</f>
        <v>0</v>
      </c>
      <c r="AX293">
        <f t="shared" ref="AX293:AX356" si="63">COUNTIF($DW9:$EC9,"&gt;=95%")</f>
        <v>0</v>
      </c>
      <c r="AY293">
        <f t="shared" ref="AY293:AY356" si="64">COUNTIF($EE9:$EK9,"&gt;=95%")</f>
        <v>0</v>
      </c>
      <c r="AZ293">
        <f t="shared" ref="AZ293:AZ356" si="65">COUNTIF($EM9:$ES9,"&gt;=95%")</f>
        <v>0</v>
      </c>
    </row>
    <row r="294" spans="38:52" x14ac:dyDescent="0.35">
      <c r="AL294" s="16" t="s">
        <v>192</v>
      </c>
      <c r="AM294">
        <f t="shared" si="53"/>
        <v>3</v>
      </c>
      <c r="AN294">
        <f t="shared" ref="AN294:AN356" si="66">COUNTIF($AU10:$BA10,"&gt;=95%")</f>
        <v>2</v>
      </c>
      <c r="AO294">
        <f t="shared" si="54"/>
        <v>3</v>
      </c>
      <c r="AP294">
        <f t="shared" si="55"/>
        <v>2</v>
      </c>
      <c r="AQ294">
        <f t="shared" si="56"/>
        <v>2</v>
      </c>
      <c r="AR294">
        <f t="shared" si="57"/>
        <v>6</v>
      </c>
      <c r="AS294">
        <f t="shared" si="58"/>
        <v>2</v>
      </c>
      <c r="AT294">
        <f t="shared" si="59"/>
        <v>2</v>
      </c>
      <c r="AU294">
        <f t="shared" si="60"/>
        <v>0</v>
      </c>
      <c r="AV294">
        <f t="shared" si="61"/>
        <v>0</v>
      </c>
      <c r="AW294">
        <f t="shared" si="62"/>
        <v>0</v>
      </c>
      <c r="AX294">
        <f t="shared" si="63"/>
        <v>0</v>
      </c>
      <c r="AY294">
        <f t="shared" si="64"/>
        <v>0</v>
      </c>
      <c r="AZ294">
        <f t="shared" si="65"/>
        <v>0</v>
      </c>
    </row>
    <row r="295" spans="38:52" x14ac:dyDescent="0.35">
      <c r="AL295" s="16" t="s">
        <v>193</v>
      </c>
      <c r="AM295">
        <f t="shared" si="53"/>
        <v>1</v>
      </c>
      <c r="AN295">
        <f t="shared" si="66"/>
        <v>2</v>
      </c>
      <c r="AO295">
        <f t="shared" si="54"/>
        <v>2</v>
      </c>
      <c r="AP295">
        <f t="shared" si="55"/>
        <v>2</v>
      </c>
      <c r="AQ295">
        <f t="shared" si="56"/>
        <v>0</v>
      </c>
      <c r="AR295">
        <f t="shared" si="57"/>
        <v>0</v>
      </c>
      <c r="AS295">
        <f t="shared" si="58"/>
        <v>0</v>
      </c>
      <c r="AT295">
        <f t="shared" si="59"/>
        <v>1</v>
      </c>
      <c r="AU295">
        <f t="shared" si="60"/>
        <v>0</v>
      </c>
      <c r="AV295">
        <f t="shared" si="61"/>
        <v>0</v>
      </c>
      <c r="AW295">
        <f t="shared" si="62"/>
        <v>0</v>
      </c>
      <c r="AX295">
        <f t="shared" si="63"/>
        <v>0</v>
      </c>
      <c r="AY295">
        <f t="shared" si="64"/>
        <v>0</v>
      </c>
      <c r="AZ295">
        <f t="shared" si="65"/>
        <v>0</v>
      </c>
    </row>
    <row r="296" spans="38:52" x14ac:dyDescent="0.35">
      <c r="AL296" s="16" t="s">
        <v>194</v>
      </c>
      <c r="AM296">
        <f t="shared" si="53"/>
        <v>6</v>
      </c>
      <c r="AN296">
        <f t="shared" si="66"/>
        <v>5</v>
      </c>
      <c r="AO296">
        <f t="shared" si="54"/>
        <v>6</v>
      </c>
      <c r="AP296">
        <f t="shared" si="55"/>
        <v>5</v>
      </c>
      <c r="AQ296">
        <f t="shared" si="56"/>
        <v>5</v>
      </c>
      <c r="AR296">
        <f t="shared" si="57"/>
        <v>7</v>
      </c>
      <c r="AS296">
        <f t="shared" si="58"/>
        <v>6</v>
      </c>
      <c r="AT296">
        <f t="shared" si="59"/>
        <v>7</v>
      </c>
      <c r="AU296">
        <f t="shared" si="60"/>
        <v>0</v>
      </c>
      <c r="AV296">
        <f t="shared" si="61"/>
        <v>0</v>
      </c>
      <c r="AW296">
        <f t="shared" si="62"/>
        <v>0</v>
      </c>
      <c r="AX296">
        <f t="shared" si="63"/>
        <v>0</v>
      </c>
      <c r="AY296">
        <f t="shared" si="64"/>
        <v>0</v>
      </c>
      <c r="AZ296">
        <f t="shared" si="65"/>
        <v>0</v>
      </c>
    </row>
    <row r="297" spans="38:52" x14ac:dyDescent="0.35">
      <c r="AL297" s="16" t="s">
        <v>195</v>
      </c>
      <c r="AM297">
        <f t="shared" si="53"/>
        <v>1</v>
      </c>
      <c r="AN297">
        <f>COUNTIF($AU13:$BA13,"&gt;=95%")</f>
        <v>0</v>
      </c>
      <c r="AO297">
        <f t="shared" si="54"/>
        <v>0</v>
      </c>
      <c r="AP297">
        <f t="shared" si="55"/>
        <v>0</v>
      </c>
      <c r="AQ297">
        <f t="shared" si="56"/>
        <v>0</v>
      </c>
      <c r="AR297">
        <f t="shared" si="57"/>
        <v>0</v>
      </c>
      <c r="AS297">
        <f t="shared" si="58"/>
        <v>0</v>
      </c>
      <c r="AT297">
        <f t="shared" si="59"/>
        <v>0</v>
      </c>
      <c r="AU297">
        <f t="shared" si="60"/>
        <v>0</v>
      </c>
      <c r="AV297">
        <f t="shared" si="61"/>
        <v>0</v>
      </c>
      <c r="AW297">
        <f t="shared" si="62"/>
        <v>0</v>
      </c>
      <c r="AX297">
        <f t="shared" si="63"/>
        <v>0</v>
      </c>
      <c r="AY297">
        <f t="shared" si="64"/>
        <v>0</v>
      </c>
      <c r="AZ297">
        <f t="shared" si="65"/>
        <v>0</v>
      </c>
    </row>
    <row r="298" spans="38:52" x14ac:dyDescent="0.35">
      <c r="AL298" s="16" t="s">
        <v>196</v>
      </c>
      <c r="AM298">
        <f t="shared" si="53"/>
        <v>7</v>
      </c>
      <c r="AN298">
        <f t="shared" si="66"/>
        <v>6</v>
      </c>
      <c r="AO298">
        <f t="shared" si="54"/>
        <v>4</v>
      </c>
      <c r="AP298">
        <f t="shared" si="55"/>
        <v>6</v>
      </c>
      <c r="AQ298">
        <f t="shared" si="56"/>
        <v>1</v>
      </c>
      <c r="AR298">
        <f t="shared" si="57"/>
        <v>7</v>
      </c>
      <c r="AS298">
        <f t="shared" si="58"/>
        <v>3</v>
      </c>
      <c r="AT298">
        <f t="shared" si="59"/>
        <v>3</v>
      </c>
      <c r="AU298">
        <f t="shared" si="60"/>
        <v>0</v>
      </c>
      <c r="AV298">
        <f t="shared" si="61"/>
        <v>0</v>
      </c>
      <c r="AW298">
        <f t="shared" si="62"/>
        <v>0</v>
      </c>
      <c r="AX298">
        <f t="shared" si="63"/>
        <v>0</v>
      </c>
      <c r="AY298">
        <f t="shared" si="64"/>
        <v>0</v>
      </c>
      <c r="AZ298">
        <f t="shared" si="65"/>
        <v>0</v>
      </c>
    </row>
    <row r="299" spans="38:52" x14ac:dyDescent="0.35">
      <c r="AL299" s="16" t="s">
        <v>197</v>
      </c>
      <c r="AM299">
        <f t="shared" si="53"/>
        <v>0</v>
      </c>
      <c r="AN299">
        <f t="shared" si="66"/>
        <v>0</v>
      </c>
      <c r="AO299">
        <f t="shared" si="54"/>
        <v>0</v>
      </c>
      <c r="AP299">
        <f t="shared" si="55"/>
        <v>0</v>
      </c>
      <c r="AQ299">
        <f t="shared" si="56"/>
        <v>0</v>
      </c>
      <c r="AR299">
        <f t="shared" si="57"/>
        <v>0</v>
      </c>
      <c r="AS299">
        <f t="shared" si="58"/>
        <v>0</v>
      </c>
      <c r="AT299">
        <f t="shared" si="59"/>
        <v>0</v>
      </c>
      <c r="AU299">
        <f t="shared" si="60"/>
        <v>0</v>
      </c>
      <c r="AV299">
        <f t="shared" si="61"/>
        <v>0</v>
      </c>
      <c r="AW299">
        <f t="shared" si="62"/>
        <v>0</v>
      </c>
      <c r="AX299">
        <f t="shared" si="63"/>
        <v>0</v>
      </c>
      <c r="AY299">
        <f t="shared" si="64"/>
        <v>0</v>
      </c>
      <c r="AZ299">
        <f t="shared" si="65"/>
        <v>0</v>
      </c>
    </row>
    <row r="300" spans="38:52" x14ac:dyDescent="0.35">
      <c r="AL300" s="16" t="s">
        <v>198</v>
      </c>
      <c r="AM300">
        <f t="shared" si="53"/>
        <v>1</v>
      </c>
      <c r="AN300">
        <f t="shared" si="66"/>
        <v>3</v>
      </c>
      <c r="AO300">
        <f t="shared" si="54"/>
        <v>1</v>
      </c>
      <c r="AP300">
        <f t="shared" si="55"/>
        <v>0</v>
      </c>
      <c r="AQ300">
        <f t="shared" si="56"/>
        <v>0</v>
      </c>
      <c r="AR300">
        <f t="shared" si="57"/>
        <v>5</v>
      </c>
      <c r="AS300">
        <f t="shared" si="58"/>
        <v>6</v>
      </c>
      <c r="AT300">
        <f t="shared" si="59"/>
        <v>1</v>
      </c>
      <c r="AU300">
        <f t="shared" si="60"/>
        <v>0</v>
      </c>
      <c r="AV300">
        <f t="shared" si="61"/>
        <v>0</v>
      </c>
      <c r="AW300">
        <f t="shared" si="62"/>
        <v>0</v>
      </c>
      <c r="AX300">
        <f t="shared" si="63"/>
        <v>0</v>
      </c>
      <c r="AY300">
        <f t="shared" si="64"/>
        <v>0</v>
      </c>
      <c r="AZ300">
        <f t="shared" si="65"/>
        <v>0</v>
      </c>
    </row>
    <row r="301" spans="38:52" x14ac:dyDescent="0.35">
      <c r="AL301" s="16" t="s">
        <v>199</v>
      </c>
      <c r="AM301">
        <f t="shared" si="53"/>
        <v>3</v>
      </c>
      <c r="AN301">
        <f t="shared" si="66"/>
        <v>0</v>
      </c>
      <c r="AO301">
        <f t="shared" si="54"/>
        <v>1</v>
      </c>
      <c r="AP301">
        <f t="shared" si="55"/>
        <v>1</v>
      </c>
      <c r="AQ301">
        <f t="shared" si="56"/>
        <v>0</v>
      </c>
      <c r="AR301">
        <f t="shared" si="57"/>
        <v>0</v>
      </c>
      <c r="AS301">
        <f t="shared" si="58"/>
        <v>0</v>
      </c>
      <c r="AT301">
        <f t="shared" si="59"/>
        <v>0</v>
      </c>
      <c r="AU301">
        <f t="shared" si="60"/>
        <v>0</v>
      </c>
      <c r="AV301">
        <f t="shared" si="61"/>
        <v>0</v>
      </c>
      <c r="AW301">
        <f t="shared" si="62"/>
        <v>0</v>
      </c>
      <c r="AX301">
        <f t="shared" si="63"/>
        <v>0</v>
      </c>
      <c r="AY301">
        <f t="shared" si="64"/>
        <v>0</v>
      </c>
      <c r="AZ301">
        <f t="shared" si="65"/>
        <v>0</v>
      </c>
    </row>
    <row r="302" spans="38:52" x14ac:dyDescent="0.35">
      <c r="AL302" s="16" t="s">
        <v>200</v>
      </c>
      <c r="AM302">
        <f t="shared" si="53"/>
        <v>4</v>
      </c>
      <c r="AN302">
        <f t="shared" si="66"/>
        <v>0</v>
      </c>
      <c r="AO302">
        <f t="shared" si="54"/>
        <v>0</v>
      </c>
      <c r="AP302">
        <f t="shared" si="55"/>
        <v>0</v>
      </c>
      <c r="AQ302">
        <f t="shared" si="56"/>
        <v>0</v>
      </c>
      <c r="AR302">
        <f t="shared" si="57"/>
        <v>0</v>
      </c>
      <c r="AS302">
        <f t="shared" si="58"/>
        <v>1</v>
      </c>
      <c r="AT302">
        <f t="shared" si="59"/>
        <v>0</v>
      </c>
      <c r="AU302">
        <f t="shared" si="60"/>
        <v>0</v>
      </c>
      <c r="AV302">
        <f t="shared" si="61"/>
        <v>0</v>
      </c>
      <c r="AW302">
        <f t="shared" si="62"/>
        <v>0</v>
      </c>
      <c r="AX302">
        <f t="shared" si="63"/>
        <v>0</v>
      </c>
      <c r="AY302">
        <f t="shared" si="64"/>
        <v>0</v>
      </c>
      <c r="AZ302">
        <f t="shared" si="65"/>
        <v>0</v>
      </c>
    </row>
    <row r="303" spans="38:52" x14ac:dyDescent="0.35">
      <c r="AL303" s="16" t="s">
        <v>201</v>
      </c>
      <c r="AM303">
        <f t="shared" si="53"/>
        <v>0</v>
      </c>
      <c r="AN303">
        <f t="shared" si="66"/>
        <v>0</v>
      </c>
      <c r="AO303">
        <f t="shared" si="54"/>
        <v>0</v>
      </c>
      <c r="AP303">
        <f t="shared" si="55"/>
        <v>0</v>
      </c>
      <c r="AQ303">
        <f t="shared" si="56"/>
        <v>0</v>
      </c>
      <c r="AR303">
        <f t="shared" si="57"/>
        <v>0</v>
      </c>
      <c r="AS303">
        <f t="shared" si="58"/>
        <v>0</v>
      </c>
      <c r="AT303">
        <f t="shared" si="59"/>
        <v>0</v>
      </c>
      <c r="AU303">
        <f t="shared" si="60"/>
        <v>0</v>
      </c>
      <c r="AV303">
        <f t="shared" si="61"/>
        <v>0</v>
      </c>
      <c r="AW303">
        <f t="shared" si="62"/>
        <v>0</v>
      </c>
      <c r="AX303">
        <f t="shared" si="63"/>
        <v>0</v>
      </c>
      <c r="AY303">
        <f t="shared" si="64"/>
        <v>0</v>
      </c>
      <c r="AZ303">
        <f t="shared" si="65"/>
        <v>0</v>
      </c>
    </row>
    <row r="304" spans="38:52" x14ac:dyDescent="0.35">
      <c r="AL304" s="16" t="s">
        <v>202</v>
      </c>
      <c r="AM304">
        <f t="shared" si="53"/>
        <v>7</v>
      </c>
      <c r="AN304">
        <f t="shared" si="66"/>
        <v>6</v>
      </c>
      <c r="AO304">
        <f t="shared" si="54"/>
        <v>7</v>
      </c>
      <c r="AP304">
        <f t="shared" si="55"/>
        <v>5</v>
      </c>
      <c r="AQ304">
        <f t="shared" si="56"/>
        <v>4</v>
      </c>
      <c r="AR304">
        <f t="shared" si="57"/>
        <v>6</v>
      </c>
      <c r="AS304">
        <f t="shared" si="58"/>
        <v>6</v>
      </c>
      <c r="AT304">
        <f t="shared" si="59"/>
        <v>6</v>
      </c>
      <c r="AU304">
        <f t="shared" si="60"/>
        <v>0</v>
      </c>
      <c r="AV304">
        <f t="shared" si="61"/>
        <v>0</v>
      </c>
      <c r="AW304">
        <f t="shared" si="62"/>
        <v>0</v>
      </c>
      <c r="AX304">
        <f t="shared" si="63"/>
        <v>0</v>
      </c>
      <c r="AY304">
        <f t="shared" si="64"/>
        <v>0</v>
      </c>
      <c r="AZ304">
        <f t="shared" si="65"/>
        <v>0</v>
      </c>
    </row>
    <row r="305" spans="38:52" x14ac:dyDescent="0.35">
      <c r="AL305" s="16" t="s">
        <v>203</v>
      </c>
      <c r="AM305">
        <f t="shared" si="53"/>
        <v>0</v>
      </c>
      <c r="AN305">
        <f t="shared" si="66"/>
        <v>0</v>
      </c>
      <c r="AO305">
        <f t="shared" si="54"/>
        <v>0</v>
      </c>
      <c r="AP305">
        <f t="shared" si="55"/>
        <v>0</v>
      </c>
      <c r="AQ305">
        <f t="shared" si="56"/>
        <v>0</v>
      </c>
      <c r="AR305">
        <f t="shared" si="57"/>
        <v>0</v>
      </c>
      <c r="AS305">
        <f t="shared" si="58"/>
        <v>0</v>
      </c>
      <c r="AT305">
        <f t="shared" si="59"/>
        <v>0</v>
      </c>
      <c r="AU305">
        <f t="shared" si="60"/>
        <v>0</v>
      </c>
      <c r="AV305">
        <f t="shared" si="61"/>
        <v>0</v>
      </c>
      <c r="AW305">
        <f t="shared" si="62"/>
        <v>0</v>
      </c>
      <c r="AX305">
        <f t="shared" si="63"/>
        <v>0</v>
      </c>
      <c r="AY305">
        <f t="shared" si="64"/>
        <v>0</v>
      </c>
      <c r="AZ305">
        <f t="shared" si="65"/>
        <v>0</v>
      </c>
    </row>
    <row r="306" spans="38:52" x14ac:dyDescent="0.35">
      <c r="AL306" s="16" t="s">
        <v>204</v>
      </c>
      <c r="AM306">
        <f t="shared" si="53"/>
        <v>7</v>
      </c>
      <c r="AN306">
        <f t="shared" si="66"/>
        <v>7</v>
      </c>
      <c r="AO306">
        <f t="shared" si="54"/>
        <v>7</v>
      </c>
      <c r="AP306">
        <f t="shared" si="55"/>
        <v>7</v>
      </c>
      <c r="AQ306">
        <f t="shared" si="56"/>
        <v>1</v>
      </c>
      <c r="AR306">
        <f t="shared" si="57"/>
        <v>7</v>
      </c>
      <c r="AS306">
        <f t="shared" si="58"/>
        <v>2</v>
      </c>
      <c r="AT306">
        <f t="shared" si="59"/>
        <v>1</v>
      </c>
      <c r="AU306">
        <f t="shared" si="60"/>
        <v>0</v>
      </c>
      <c r="AV306">
        <f t="shared" si="61"/>
        <v>0</v>
      </c>
      <c r="AW306">
        <f t="shared" si="62"/>
        <v>0</v>
      </c>
      <c r="AX306">
        <f t="shared" si="63"/>
        <v>0</v>
      </c>
      <c r="AY306">
        <f t="shared" si="64"/>
        <v>0</v>
      </c>
      <c r="AZ306">
        <f t="shared" si="65"/>
        <v>0</v>
      </c>
    </row>
    <row r="307" spans="38:52" x14ac:dyDescent="0.35">
      <c r="AL307" s="16" t="s">
        <v>205</v>
      </c>
      <c r="AM307">
        <f t="shared" si="53"/>
        <v>5</v>
      </c>
      <c r="AN307">
        <f t="shared" si="66"/>
        <v>4</v>
      </c>
      <c r="AO307">
        <f t="shared" si="54"/>
        <v>1</v>
      </c>
      <c r="AP307">
        <f t="shared" si="55"/>
        <v>5</v>
      </c>
      <c r="AQ307">
        <f t="shared" si="56"/>
        <v>0</v>
      </c>
      <c r="AR307">
        <f t="shared" si="57"/>
        <v>3</v>
      </c>
      <c r="AS307">
        <f t="shared" si="58"/>
        <v>3</v>
      </c>
      <c r="AT307">
        <f t="shared" si="59"/>
        <v>3</v>
      </c>
      <c r="AU307">
        <f t="shared" si="60"/>
        <v>0</v>
      </c>
      <c r="AV307">
        <f t="shared" si="61"/>
        <v>0</v>
      </c>
      <c r="AW307">
        <f t="shared" si="62"/>
        <v>0</v>
      </c>
      <c r="AX307">
        <f t="shared" si="63"/>
        <v>0</v>
      </c>
      <c r="AY307">
        <f t="shared" si="64"/>
        <v>0</v>
      </c>
      <c r="AZ307">
        <f t="shared" si="65"/>
        <v>0</v>
      </c>
    </row>
    <row r="308" spans="38:52" x14ac:dyDescent="0.35">
      <c r="AL308" s="16" t="s">
        <v>206</v>
      </c>
      <c r="AM308">
        <f t="shared" si="53"/>
        <v>7</v>
      </c>
      <c r="AN308">
        <f t="shared" si="66"/>
        <v>7</v>
      </c>
      <c r="AO308">
        <f t="shared" si="54"/>
        <v>6</v>
      </c>
      <c r="AP308">
        <f t="shared" si="55"/>
        <v>5</v>
      </c>
      <c r="AQ308">
        <f t="shared" si="56"/>
        <v>2</v>
      </c>
      <c r="AR308">
        <f t="shared" si="57"/>
        <v>7</v>
      </c>
      <c r="AS308">
        <f t="shared" si="58"/>
        <v>7</v>
      </c>
      <c r="AT308">
        <f t="shared" si="59"/>
        <v>7</v>
      </c>
      <c r="AU308">
        <f t="shared" si="60"/>
        <v>0</v>
      </c>
      <c r="AV308">
        <f t="shared" si="61"/>
        <v>0</v>
      </c>
      <c r="AW308">
        <f t="shared" si="62"/>
        <v>0</v>
      </c>
      <c r="AX308">
        <f t="shared" si="63"/>
        <v>0</v>
      </c>
      <c r="AY308">
        <f t="shared" si="64"/>
        <v>0</v>
      </c>
      <c r="AZ308">
        <f t="shared" si="65"/>
        <v>0</v>
      </c>
    </row>
    <row r="309" spans="38:52" x14ac:dyDescent="0.35">
      <c r="AL309" s="16" t="s">
        <v>207</v>
      </c>
      <c r="AM309">
        <f t="shared" si="53"/>
        <v>0</v>
      </c>
      <c r="AN309">
        <f t="shared" si="66"/>
        <v>1</v>
      </c>
      <c r="AO309">
        <f t="shared" si="54"/>
        <v>0</v>
      </c>
      <c r="AP309">
        <f t="shared" si="55"/>
        <v>0</v>
      </c>
      <c r="AQ309">
        <f t="shared" si="56"/>
        <v>0</v>
      </c>
      <c r="AR309">
        <f t="shared" si="57"/>
        <v>0</v>
      </c>
      <c r="AS309">
        <f t="shared" si="58"/>
        <v>0</v>
      </c>
      <c r="AT309">
        <f t="shared" si="59"/>
        <v>1</v>
      </c>
      <c r="AU309">
        <f t="shared" si="60"/>
        <v>0</v>
      </c>
      <c r="AV309">
        <f t="shared" si="61"/>
        <v>0</v>
      </c>
      <c r="AW309">
        <f t="shared" si="62"/>
        <v>0</v>
      </c>
      <c r="AX309">
        <f t="shared" si="63"/>
        <v>0</v>
      </c>
      <c r="AY309">
        <f t="shared" si="64"/>
        <v>0</v>
      </c>
      <c r="AZ309">
        <f t="shared" si="65"/>
        <v>0</v>
      </c>
    </row>
    <row r="310" spans="38:52" x14ac:dyDescent="0.35">
      <c r="AL310" s="16" t="s">
        <v>208</v>
      </c>
      <c r="AM310">
        <f t="shared" si="53"/>
        <v>7</v>
      </c>
      <c r="AN310">
        <f t="shared" si="66"/>
        <v>7</v>
      </c>
      <c r="AO310">
        <f t="shared" si="54"/>
        <v>7</v>
      </c>
      <c r="AP310">
        <f t="shared" si="55"/>
        <v>7</v>
      </c>
      <c r="AQ310">
        <f t="shared" si="56"/>
        <v>6</v>
      </c>
      <c r="AR310">
        <f t="shared" si="57"/>
        <v>7</v>
      </c>
      <c r="AS310">
        <f t="shared" si="58"/>
        <v>7</v>
      </c>
      <c r="AT310">
        <f t="shared" si="59"/>
        <v>7</v>
      </c>
      <c r="AU310">
        <f t="shared" si="60"/>
        <v>0</v>
      </c>
      <c r="AV310">
        <f t="shared" si="61"/>
        <v>0</v>
      </c>
      <c r="AW310">
        <f t="shared" si="62"/>
        <v>0</v>
      </c>
      <c r="AX310">
        <f t="shared" si="63"/>
        <v>0</v>
      </c>
      <c r="AY310">
        <f t="shared" si="64"/>
        <v>0</v>
      </c>
      <c r="AZ310">
        <f t="shared" si="65"/>
        <v>0</v>
      </c>
    </row>
    <row r="311" spans="38:52" x14ac:dyDescent="0.35">
      <c r="AL311" s="16" t="s">
        <v>209</v>
      </c>
      <c r="AM311">
        <f t="shared" si="53"/>
        <v>1</v>
      </c>
      <c r="AN311">
        <f t="shared" si="66"/>
        <v>3</v>
      </c>
      <c r="AO311">
        <f t="shared" si="54"/>
        <v>0</v>
      </c>
      <c r="AP311">
        <f t="shared" si="55"/>
        <v>0</v>
      </c>
      <c r="AQ311">
        <f t="shared" si="56"/>
        <v>0</v>
      </c>
      <c r="AR311">
        <f t="shared" si="57"/>
        <v>0</v>
      </c>
      <c r="AS311">
        <f t="shared" si="58"/>
        <v>0</v>
      </c>
      <c r="AT311">
        <f t="shared" si="59"/>
        <v>0</v>
      </c>
      <c r="AU311">
        <f t="shared" si="60"/>
        <v>0</v>
      </c>
      <c r="AV311">
        <f t="shared" si="61"/>
        <v>0</v>
      </c>
      <c r="AW311">
        <f t="shared" si="62"/>
        <v>0</v>
      </c>
      <c r="AX311">
        <f t="shared" si="63"/>
        <v>0</v>
      </c>
      <c r="AY311">
        <f t="shared" si="64"/>
        <v>0</v>
      </c>
      <c r="AZ311">
        <f t="shared" si="65"/>
        <v>0</v>
      </c>
    </row>
    <row r="312" spans="38:52" x14ac:dyDescent="0.35">
      <c r="AL312" s="16" t="s">
        <v>210</v>
      </c>
      <c r="AM312">
        <f t="shared" si="53"/>
        <v>5</v>
      </c>
      <c r="AN312">
        <f t="shared" si="66"/>
        <v>7</v>
      </c>
      <c r="AO312">
        <f t="shared" si="54"/>
        <v>3</v>
      </c>
      <c r="AP312">
        <f t="shared" si="55"/>
        <v>5</v>
      </c>
      <c r="AQ312">
        <f t="shared" si="56"/>
        <v>0</v>
      </c>
      <c r="AR312">
        <f t="shared" si="57"/>
        <v>5</v>
      </c>
      <c r="AS312">
        <f t="shared" si="58"/>
        <v>7</v>
      </c>
      <c r="AT312">
        <f t="shared" si="59"/>
        <v>5</v>
      </c>
      <c r="AU312">
        <f t="shared" si="60"/>
        <v>0</v>
      </c>
      <c r="AV312">
        <f t="shared" si="61"/>
        <v>0</v>
      </c>
      <c r="AW312">
        <f t="shared" si="62"/>
        <v>0</v>
      </c>
      <c r="AX312">
        <f t="shared" si="63"/>
        <v>0</v>
      </c>
      <c r="AY312">
        <f t="shared" si="64"/>
        <v>0</v>
      </c>
      <c r="AZ312">
        <f t="shared" si="65"/>
        <v>0</v>
      </c>
    </row>
    <row r="313" spans="38:52" x14ac:dyDescent="0.35">
      <c r="AL313" s="16" t="s">
        <v>211</v>
      </c>
      <c r="AM313">
        <f t="shared" si="53"/>
        <v>7</v>
      </c>
      <c r="AN313">
        <f t="shared" si="66"/>
        <v>7</v>
      </c>
      <c r="AO313">
        <f t="shared" si="54"/>
        <v>7</v>
      </c>
      <c r="AP313">
        <f t="shared" si="55"/>
        <v>7</v>
      </c>
      <c r="AQ313">
        <f t="shared" si="56"/>
        <v>3</v>
      </c>
      <c r="AR313">
        <f t="shared" si="57"/>
        <v>7</v>
      </c>
      <c r="AS313">
        <f t="shared" si="58"/>
        <v>7</v>
      </c>
      <c r="AT313">
        <f t="shared" si="59"/>
        <v>7</v>
      </c>
      <c r="AU313">
        <f t="shared" si="60"/>
        <v>0</v>
      </c>
      <c r="AV313">
        <f t="shared" si="61"/>
        <v>0</v>
      </c>
      <c r="AW313">
        <f t="shared" si="62"/>
        <v>0</v>
      </c>
      <c r="AX313">
        <f t="shared" si="63"/>
        <v>0</v>
      </c>
      <c r="AY313">
        <f t="shared" si="64"/>
        <v>0</v>
      </c>
      <c r="AZ313">
        <f t="shared" si="65"/>
        <v>0</v>
      </c>
    </row>
    <row r="314" spans="38:52" x14ac:dyDescent="0.35">
      <c r="AL314" s="16" t="s">
        <v>212</v>
      </c>
      <c r="AM314">
        <f t="shared" si="53"/>
        <v>0</v>
      </c>
      <c r="AN314">
        <f t="shared" si="66"/>
        <v>0</v>
      </c>
      <c r="AO314">
        <f t="shared" si="54"/>
        <v>0</v>
      </c>
      <c r="AP314">
        <f t="shared" si="55"/>
        <v>0</v>
      </c>
      <c r="AQ314">
        <f t="shared" si="56"/>
        <v>0</v>
      </c>
      <c r="AR314">
        <f t="shared" si="57"/>
        <v>0</v>
      </c>
      <c r="AS314">
        <f t="shared" si="58"/>
        <v>0</v>
      </c>
      <c r="AT314">
        <f t="shared" si="59"/>
        <v>0</v>
      </c>
      <c r="AU314">
        <f t="shared" si="60"/>
        <v>0</v>
      </c>
      <c r="AV314">
        <f t="shared" si="61"/>
        <v>0</v>
      </c>
      <c r="AW314">
        <f t="shared" si="62"/>
        <v>0</v>
      </c>
      <c r="AX314">
        <f t="shared" si="63"/>
        <v>0</v>
      </c>
      <c r="AY314">
        <f t="shared" si="64"/>
        <v>0</v>
      </c>
      <c r="AZ314">
        <f t="shared" si="65"/>
        <v>0</v>
      </c>
    </row>
    <row r="315" spans="38:52" x14ac:dyDescent="0.35">
      <c r="AL315" s="16" t="s">
        <v>213</v>
      </c>
      <c r="AM315">
        <f t="shared" si="53"/>
        <v>1</v>
      </c>
      <c r="AN315">
        <f t="shared" si="66"/>
        <v>4</v>
      </c>
      <c r="AO315">
        <f t="shared" si="54"/>
        <v>6</v>
      </c>
      <c r="AP315">
        <f t="shared" si="55"/>
        <v>4</v>
      </c>
      <c r="AQ315">
        <f t="shared" si="56"/>
        <v>0</v>
      </c>
      <c r="AR315">
        <f t="shared" si="57"/>
        <v>1</v>
      </c>
      <c r="AS315">
        <f t="shared" si="58"/>
        <v>2</v>
      </c>
      <c r="AT315">
        <f t="shared" si="59"/>
        <v>1</v>
      </c>
      <c r="AU315">
        <f t="shared" si="60"/>
        <v>0</v>
      </c>
      <c r="AV315">
        <f t="shared" si="61"/>
        <v>0</v>
      </c>
      <c r="AW315">
        <f t="shared" si="62"/>
        <v>0</v>
      </c>
      <c r="AX315">
        <f t="shared" si="63"/>
        <v>0</v>
      </c>
      <c r="AY315">
        <f t="shared" si="64"/>
        <v>0</v>
      </c>
      <c r="AZ315">
        <f t="shared" si="65"/>
        <v>0</v>
      </c>
    </row>
    <row r="316" spans="38:52" x14ac:dyDescent="0.35">
      <c r="AL316" s="16" t="s">
        <v>214</v>
      </c>
      <c r="AM316">
        <f t="shared" si="53"/>
        <v>1</v>
      </c>
      <c r="AN316">
        <f t="shared" si="66"/>
        <v>0</v>
      </c>
      <c r="AO316">
        <f t="shared" si="54"/>
        <v>0</v>
      </c>
      <c r="AP316">
        <f t="shared" si="55"/>
        <v>0</v>
      </c>
      <c r="AQ316">
        <f t="shared" si="56"/>
        <v>0</v>
      </c>
      <c r="AR316">
        <f t="shared" si="57"/>
        <v>3</v>
      </c>
      <c r="AS316">
        <f t="shared" si="58"/>
        <v>2</v>
      </c>
      <c r="AT316">
        <f t="shared" si="59"/>
        <v>0</v>
      </c>
      <c r="AU316">
        <f t="shared" si="60"/>
        <v>0</v>
      </c>
      <c r="AV316">
        <f t="shared" si="61"/>
        <v>0</v>
      </c>
      <c r="AW316">
        <f t="shared" si="62"/>
        <v>0</v>
      </c>
      <c r="AX316">
        <f t="shared" si="63"/>
        <v>0</v>
      </c>
      <c r="AY316">
        <f t="shared" si="64"/>
        <v>0</v>
      </c>
      <c r="AZ316">
        <f t="shared" si="65"/>
        <v>0</v>
      </c>
    </row>
    <row r="317" spans="38:52" x14ac:dyDescent="0.35">
      <c r="AL317" s="16" t="s">
        <v>215</v>
      </c>
      <c r="AM317">
        <f t="shared" si="53"/>
        <v>7</v>
      </c>
      <c r="AN317">
        <f t="shared" si="66"/>
        <v>6</v>
      </c>
      <c r="AO317">
        <f t="shared" si="54"/>
        <v>6</v>
      </c>
      <c r="AP317">
        <f t="shared" si="55"/>
        <v>0</v>
      </c>
      <c r="AQ317">
        <f t="shared" si="56"/>
        <v>0</v>
      </c>
      <c r="AR317">
        <f t="shared" si="57"/>
        <v>0</v>
      </c>
      <c r="AS317">
        <f t="shared" si="58"/>
        <v>0</v>
      </c>
      <c r="AT317">
        <f t="shared" si="59"/>
        <v>3</v>
      </c>
      <c r="AU317">
        <f t="shared" si="60"/>
        <v>0</v>
      </c>
      <c r="AV317">
        <f t="shared" si="61"/>
        <v>0</v>
      </c>
      <c r="AW317">
        <f t="shared" si="62"/>
        <v>0</v>
      </c>
      <c r="AX317">
        <f t="shared" si="63"/>
        <v>0</v>
      </c>
      <c r="AY317">
        <f t="shared" si="64"/>
        <v>0</v>
      </c>
      <c r="AZ317">
        <f t="shared" si="65"/>
        <v>0</v>
      </c>
    </row>
    <row r="318" spans="38:52" x14ac:dyDescent="0.35">
      <c r="AL318" s="16" t="s">
        <v>216</v>
      </c>
      <c r="AM318">
        <f t="shared" si="53"/>
        <v>7</v>
      </c>
      <c r="AN318">
        <f t="shared" si="66"/>
        <v>7</v>
      </c>
      <c r="AO318">
        <f t="shared" si="54"/>
        <v>7</v>
      </c>
      <c r="AP318">
        <f t="shared" si="55"/>
        <v>6</v>
      </c>
      <c r="AQ318">
        <f t="shared" si="56"/>
        <v>4</v>
      </c>
      <c r="AR318">
        <f t="shared" si="57"/>
        <v>7</v>
      </c>
      <c r="AS318">
        <f t="shared" si="58"/>
        <v>7</v>
      </c>
      <c r="AT318">
        <f t="shared" si="59"/>
        <v>7</v>
      </c>
      <c r="AU318">
        <f t="shared" si="60"/>
        <v>0</v>
      </c>
      <c r="AV318">
        <f t="shared" si="61"/>
        <v>0</v>
      </c>
      <c r="AW318">
        <f t="shared" si="62"/>
        <v>0</v>
      </c>
      <c r="AX318">
        <f t="shared" si="63"/>
        <v>0</v>
      </c>
      <c r="AY318">
        <f t="shared" si="64"/>
        <v>0</v>
      </c>
      <c r="AZ318">
        <f t="shared" si="65"/>
        <v>0</v>
      </c>
    </row>
    <row r="319" spans="38:52" x14ac:dyDescent="0.35">
      <c r="AL319" s="16" t="s">
        <v>217</v>
      </c>
      <c r="AM319">
        <f t="shared" si="53"/>
        <v>7</v>
      </c>
      <c r="AN319">
        <f t="shared" si="66"/>
        <v>7</v>
      </c>
      <c r="AO319">
        <f t="shared" si="54"/>
        <v>7</v>
      </c>
      <c r="AP319">
        <f t="shared" si="55"/>
        <v>7</v>
      </c>
      <c r="AQ319">
        <f t="shared" si="56"/>
        <v>3</v>
      </c>
      <c r="AR319">
        <f t="shared" si="57"/>
        <v>6</v>
      </c>
      <c r="AS319">
        <f t="shared" si="58"/>
        <v>7</v>
      </c>
      <c r="AT319">
        <f t="shared" si="59"/>
        <v>7</v>
      </c>
      <c r="AU319">
        <f t="shared" si="60"/>
        <v>0</v>
      </c>
      <c r="AV319">
        <f t="shared" si="61"/>
        <v>0</v>
      </c>
      <c r="AW319">
        <f t="shared" si="62"/>
        <v>0</v>
      </c>
      <c r="AX319">
        <f t="shared" si="63"/>
        <v>0</v>
      </c>
      <c r="AY319">
        <f t="shared" si="64"/>
        <v>0</v>
      </c>
      <c r="AZ319">
        <f t="shared" si="65"/>
        <v>0</v>
      </c>
    </row>
    <row r="320" spans="38:52" x14ac:dyDescent="0.35">
      <c r="AL320" s="16" t="s">
        <v>218</v>
      </c>
      <c r="AM320">
        <f t="shared" si="53"/>
        <v>0</v>
      </c>
      <c r="AN320">
        <f t="shared" si="66"/>
        <v>0</v>
      </c>
      <c r="AO320">
        <f t="shared" si="54"/>
        <v>0</v>
      </c>
      <c r="AP320">
        <f t="shared" si="55"/>
        <v>0</v>
      </c>
      <c r="AQ320">
        <f t="shared" si="56"/>
        <v>0</v>
      </c>
      <c r="AR320">
        <f t="shared" si="57"/>
        <v>0</v>
      </c>
      <c r="AS320">
        <f t="shared" si="58"/>
        <v>0</v>
      </c>
      <c r="AT320">
        <f t="shared" si="59"/>
        <v>0</v>
      </c>
      <c r="AU320">
        <f t="shared" si="60"/>
        <v>0</v>
      </c>
      <c r="AV320">
        <f t="shared" si="61"/>
        <v>0</v>
      </c>
      <c r="AW320">
        <f t="shared" si="62"/>
        <v>0</v>
      </c>
      <c r="AX320">
        <f t="shared" si="63"/>
        <v>0</v>
      </c>
      <c r="AY320">
        <f t="shared" si="64"/>
        <v>0</v>
      </c>
      <c r="AZ320">
        <f t="shared" si="65"/>
        <v>0</v>
      </c>
    </row>
    <row r="321" spans="38:52" x14ac:dyDescent="0.35">
      <c r="AL321" s="16" t="s">
        <v>219</v>
      </c>
      <c r="AM321">
        <f t="shared" si="53"/>
        <v>0</v>
      </c>
      <c r="AN321">
        <f t="shared" si="66"/>
        <v>0</v>
      </c>
      <c r="AO321">
        <f t="shared" si="54"/>
        <v>0</v>
      </c>
      <c r="AP321">
        <f t="shared" si="55"/>
        <v>0</v>
      </c>
      <c r="AQ321">
        <f t="shared" si="56"/>
        <v>0</v>
      </c>
      <c r="AR321">
        <f t="shared" si="57"/>
        <v>0</v>
      </c>
      <c r="AS321">
        <f t="shared" si="58"/>
        <v>0</v>
      </c>
      <c r="AT321">
        <f t="shared" si="59"/>
        <v>0</v>
      </c>
      <c r="AU321">
        <f t="shared" si="60"/>
        <v>0</v>
      </c>
      <c r="AV321">
        <f t="shared" si="61"/>
        <v>0</v>
      </c>
      <c r="AW321">
        <f t="shared" si="62"/>
        <v>0</v>
      </c>
      <c r="AX321">
        <f t="shared" si="63"/>
        <v>0</v>
      </c>
      <c r="AY321">
        <f t="shared" si="64"/>
        <v>0</v>
      </c>
      <c r="AZ321">
        <f t="shared" si="65"/>
        <v>0</v>
      </c>
    </row>
    <row r="322" spans="38:52" x14ac:dyDescent="0.35">
      <c r="AL322" s="16" t="s">
        <v>220</v>
      </c>
      <c r="AM322">
        <f t="shared" si="53"/>
        <v>3</v>
      </c>
      <c r="AN322">
        <f t="shared" si="66"/>
        <v>7</v>
      </c>
      <c r="AO322">
        <f t="shared" si="54"/>
        <v>4</v>
      </c>
      <c r="AP322">
        <f t="shared" si="55"/>
        <v>5</v>
      </c>
      <c r="AQ322">
        <f t="shared" si="56"/>
        <v>4</v>
      </c>
      <c r="AR322">
        <f t="shared" si="57"/>
        <v>2</v>
      </c>
      <c r="AS322">
        <f t="shared" si="58"/>
        <v>6</v>
      </c>
      <c r="AT322">
        <f t="shared" si="59"/>
        <v>2</v>
      </c>
      <c r="AU322">
        <f t="shared" si="60"/>
        <v>0</v>
      </c>
      <c r="AV322">
        <f t="shared" si="61"/>
        <v>0</v>
      </c>
      <c r="AW322">
        <f t="shared" si="62"/>
        <v>0</v>
      </c>
      <c r="AX322">
        <f t="shared" si="63"/>
        <v>0</v>
      </c>
      <c r="AY322">
        <f t="shared" si="64"/>
        <v>0</v>
      </c>
      <c r="AZ322">
        <f t="shared" si="65"/>
        <v>0</v>
      </c>
    </row>
    <row r="323" spans="38:52" x14ac:dyDescent="0.35">
      <c r="AL323" s="16" t="s">
        <v>221</v>
      </c>
      <c r="AM323">
        <f t="shared" si="53"/>
        <v>7</v>
      </c>
      <c r="AN323">
        <f t="shared" si="66"/>
        <v>7</v>
      </c>
      <c r="AO323">
        <f t="shared" si="54"/>
        <v>7</v>
      </c>
      <c r="AP323">
        <f t="shared" si="55"/>
        <v>7</v>
      </c>
      <c r="AQ323">
        <f t="shared" si="56"/>
        <v>5</v>
      </c>
      <c r="AR323">
        <f t="shared" si="57"/>
        <v>7</v>
      </c>
      <c r="AS323">
        <f t="shared" si="58"/>
        <v>7</v>
      </c>
      <c r="AT323">
        <f t="shared" si="59"/>
        <v>7</v>
      </c>
      <c r="AU323">
        <f t="shared" si="60"/>
        <v>0</v>
      </c>
      <c r="AV323">
        <f t="shared" si="61"/>
        <v>0</v>
      </c>
      <c r="AW323">
        <f t="shared" si="62"/>
        <v>0</v>
      </c>
      <c r="AX323">
        <f t="shared" si="63"/>
        <v>0</v>
      </c>
      <c r="AY323">
        <f t="shared" si="64"/>
        <v>0</v>
      </c>
      <c r="AZ323">
        <f t="shared" si="65"/>
        <v>0</v>
      </c>
    </row>
    <row r="324" spans="38:52" x14ac:dyDescent="0.35">
      <c r="AL324" s="16" t="s">
        <v>222</v>
      </c>
      <c r="AM324">
        <f t="shared" si="53"/>
        <v>0</v>
      </c>
      <c r="AN324">
        <f t="shared" si="66"/>
        <v>0</v>
      </c>
      <c r="AO324">
        <f t="shared" si="54"/>
        <v>0</v>
      </c>
      <c r="AP324">
        <f t="shared" si="55"/>
        <v>0</v>
      </c>
      <c r="AQ324">
        <f t="shared" si="56"/>
        <v>0</v>
      </c>
      <c r="AR324">
        <f t="shared" si="57"/>
        <v>0</v>
      </c>
      <c r="AS324">
        <f t="shared" si="58"/>
        <v>0</v>
      </c>
      <c r="AT324">
        <f t="shared" si="59"/>
        <v>0</v>
      </c>
      <c r="AU324">
        <f t="shared" si="60"/>
        <v>0</v>
      </c>
      <c r="AV324">
        <f t="shared" si="61"/>
        <v>0</v>
      </c>
      <c r="AW324">
        <f t="shared" si="62"/>
        <v>0</v>
      </c>
      <c r="AX324">
        <f t="shared" si="63"/>
        <v>0</v>
      </c>
      <c r="AY324">
        <f t="shared" si="64"/>
        <v>0</v>
      </c>
      <c r="AZ324">
        <f t="shared" si="65"/>
        <v>0</v>
      </c>
    </row>
    <row r="325" spans="38:52" x14ac:dyDescent="0.35">
      <c r="AL325" s="16" t="s">
        <v>223</v>
      </c>
      <c r="AM325">
        <f t="shared" si="53"/>
        <v>0</v>
      </c>
      <c r="AN325">
        <f t="shared" si="66"/>
        <v>0</v>
      </c>
      <c r="AO325">
        <f t="shared" si="54"/>
        <v>0</v>
      </c>
      <c r="AP325">
        <f t="shared" si="55"/>
        <v>0</v>
      </c>
      <c r="AQ325">
        <f t="shared" si="56"/>
        <v>0</v>
      </c>
      <c r="AR325">
        <f t="shared" si="57"/>
        <v>0</v>
      </c>
      <c r="AS325">
        <f t="shared" si="58"/>
        <v>0</v>
      </c>
      <c r="AT325">
        <f t="shared" si="59"/>
        <v>0</v>
      </c>
      <c r="AU325">
        <f t="shared" si="60"/>
        <v>0</v>
      </c>
      <c r="AV325">
        <f t="shared" si="61"/>
        <v>0</v>
      </c>
      <c r="AW325">
        <f t="shared" si="62"/>
        <v>0</v>
      </c>
      <c r="AX325">
        <f t="shared" si="63"/>
        <v>0</v>
      </c>
      <c r="AY325">
        <f t="shared" si="64"/>
        <v>0</v>
      </c>
      <c r="AZ325">
        <f t="shared" si="65"/>
        <v>0</v>
      </c>
    </row>
    <row r="326" spans="38:52" x14ac:dyDescent="0.35">
      <c r="AL326" s="16" t="s">
        <v>224</v>
      </c>
      <c r="AM326">
        <f t="shared" si="53"/>
        <v>7</v>
      </c>
      <c r="AN326">
        <f t="shared" si="66"/>
        <v>7</v>
      </c>
      <c r="AO326">
        <f t="shared" si="54"/>
        <v>7</v>
      </c>
      <c r="AP326">
        <f t="shared" si="55"/>
        <v>7</v>
      </c>
      <c r="AQ326">
        <f t="shared" si="56"/>
        <v>3</v>
      </c>
      <c r="AR326">
        <f t="shared" si="57"/>
        <v>5</v>
      </c>
      <c r="AS326">
        <f t="shared" si="58"/>
        <v>7</v>
      </c>
      <c r="AT326">
        <f t="shared" si="59"/>
        <v>6</v>
      </c>
      <c r="AU326">
        <f t="shared" si="60"/>
        <v>0</v>
      </c>
      <c r="AV326">
        <f t="shared" si="61"/>
        <v>0</v>
      </c>
      <c r="AW326">
        <f t="shared" si="62"/>
        <v>0</v>
      </c>
      <c r="AX326">
        <f t="shared" si="63"/>
        <v>0</v>
      </c>
      <c r="AY326">
        <f t="shared" si="64"/>
        <v>0</v>
      </c>
      <c r="AZ326">
        <f t="shared" si="65"/>
        <v>0</v>
      </c>
    </row>
    <row r="327" spans="38:52" x14ac:dyDescent="0.35">
      <c r="AL327" s="16" t="s">
        <v>225</v>
      </c>
      <c r="AM327">
        <f t="shared" si="53"/>
        <v>1</v>
      </c>
      <c r="AN327">
        <f t="shared" si="66"/>
        <v>0</v>
      </c>
      <c r="AO327">
        <f t="shared" si="54"/>
        <v>0</v>
      </c>
      <c r="AP327">
        <f t="shared" si="55"/>
        <v>0</v>
      </c>
      <c r="AQ327">
        <f t="shared" si="56"/>
        <v>0</v>
      </c>
      <c r="AR327">
        <f t="shared" si="57"/>
        <v>0</v>
      </c>
      <c r="AS327">
        <f t="shared" si="58"/>
        <v>0</v>
      </c>
      <c r="AT327">
        <f t="shared" si="59"/>
        <v>1</v>
      </c>
      <c r="AU327">
        <f t="shared" si="60"/>
        <v>0</v>
      </c>
      <c r="AV327">
        <f t="shared" si="61"/>
        <v>0</v>
      </c>
      <c r="AW327">
        <f t="shared" si="62"/>
        <v>0</v>
      </c>
      <c r="AX327">
        <f t="shared" si="63"/>
        <v>0</v>
      </c>
      <c r="AY327">
        <f t="shared" si="64"/>
        <v>0</v>
      </c>
      <c r="AZ327">
        <f t="shared" si="65"/>
        <v>0</v>
      </c>
    </row>
    <row r="328" spans="38:52" x14ac:dyDescent="0.35">
      <c r="AL328" s="16" t="s">
        <v>226</v>
      </c>
      <c r="AM328">
        <f t="shared" si="53"/>
        <v>5</v>
      </c>
      <c r="AN328">
        <f t="shared" si="66"/>
        <v>3</v>
      </c>
      <c r="AO328">
        <f t="shared" si="54"/>
        <v>5</v>
      </c>
      <c r="AP328">
        <f t="shared" si="55"/>
        <v>0</v>
      </c>
      <c r="AQ328">
        <f t="shared" si="56"/>
        <v>0</v>
      </c>
      <c r="AR328">
        <f t="shared" si="57"/>
        <v>0</v>
      </c>
      <c r="AS328">
        <f t="shared" si="58"/>
        <v>1</v>
      </c>
      <c r="AT328">
        <f t="shared" si="59"/>
        <v>0</v>
      </c>
      <c r="AU328">
        <f t="shared" si="60"/>
        <v>0</v>
      </c>
      <c r="AV328">
        <f t="shared" si="61"/>
        <v>0</v>
      </c>
      <c r="AW328">
        <f t="shared" si="62"/>
        <v>0</v>
      </c>
      <c r="AX328">
        <f t="shared" si="63"/>
        <v>0</v>
      </c>
      <c r="AY328">
        <f t="shared" si="64"/>
        <v>0</v>
      </c>
      <c r="AZ328">
        <f t="shared" si="65"/>
        <v>0</v>
      </c>
    </row>
    <row r="329" spans="38:52" x14ac:dyDescent="0.35">
      <c r="AL329" s="16" t="s">
        <v>227</v>
      </c>
      <c r="AM329">
        <f t="shared" si="53"/>
        <v>0</v>
      </c>
      <c r="AN329">
        <f t="shared" si="66"/>
        <v>0</v>
      </c>
      <c r="AO329">
        <f t="shared" si="54"/>
        <v>0</v>
      </c>
      <c r="AP329">
        <f t="shared" si="55"/>
        <v>0</v>
      </c>
      <c r="AQ329">
        <f t="shared" si="56"/>
        <v>0</v>
      </c>
      <c r="AR329">
        <f t="shared" si="57"/>
        <v>0</v>
      </c>
      <c r="AS329">
        <f t="shared" si="58"/>
        <v>0</v>
      </c>
      <c r="AT329">
        <f t="shared" si="59"/>
        <v>0</v>
      </c>
      <c r="AU329">
        <f t="shared" si="60"/>
        <v>0</v>
      </c>
      <c r="AV329">
        <f t="shared" si="61"/>
        <v>0</v>
      </c>
      <c r="AW329">
        <f t="shared" si="62"/>
        <v>0</v>
      </c>
      <c r="AX329">
        <f t="shared" si="63"/>
        <v>0</v>
      </c>
      <c r="AY329">
        <f t="shared" si="64"/>
        <v>0</v>
      </c>
      <c r="AZ329">
        <f t="shared" si="65"/>
        <v>0</v>
      </c>
    </row>
    <row r="330" spans="38:52" x14ac:dyDescent="0.35">
      <c r="AL330" s="16" t="s">
        <v>228</v>
      </c>
      <c r="AM330">
        <f t="shared" si="53"/>
        <v>1</v>
      </c>
      <c r="AN330">
        <f t="shared" si="66"/>
        <v>2</v>
      </c>
      <c r="AO330">
        <f t="shared" si="54"/>
        <v>6</v>
      </c>
      <c r="AP330">
        <f t="shared" si="55"/>
        <v>5</v>
      </c>
      <c r="AQ330">
        <f t="shared" si="56"/>
        <v>0</v>
      </c>
      <c r="AR330">
        <f t="shared" si="57"/>
        <v>2</v>
      </c>
      <c r="AS330">
        <f t="shared" si="58"/>
        <v>2</v>
      </c>
      <c r="AT330">
        <f t="shared" si="59"/>
        <v>1</v>
      </c>
      <c r="AU330">
        <f t="shared" si="60"/>
        <v>0</v>
      </c>
      <c r="AV330">
        <f t="shared" si="61"/>
        <v>0</v>
      </c>
      <c r="AW330">
        <f t="shared" si="62"/>
        <v>0</v>
      </c>
      <c r="AX330">
        <f t="shared" si="63"/>
        <v>0</v>
      </c>
      <c r="AY330">
        <f t="shared" si="64"/>
        <v>0</v>
      </c>
      <c r="AZ330">
        <f t="shared" si="65"/>
        <v>0</v>
      </c>
    </row>
    <row r="331" spans="38:52" x14ac:dyDescent="0.35">
      <c r="AL331" s="16" t="s">
        <v>229</v>
      </c>
      <c r="AM331">
        <f t="shared" si="53"/>
        <v>2</v>
      </c>
      <c r="AN331">
        <f t="shared" si="66"/>
        <v>3</v>
      </c>
      <c r="AO331">
        <f t="shared" si="54"/>
        <v>1</v>
      </c>
      <c r="AP331">
        <f t="shared" si="55"/>
        <v>2</v>
      </c>
      <c r="AQ331">
        <f t="shared" si="56"/>
        <v>0</v>
      </c>
      <c r="AR331">
        <f t="shared" si="57"/>
        <v>0</v>
      </c>
      <c r="AS331">
        <f t="shared" si="58"/>
        <v>5</v>
      </c>
      <c r="AT331">
        <f t="shared" si="59"/>
        <v>4</v>
      </c>
      <c r="AU331">
        <f t="shared" si="60"/>
        <v>0</v>
      </c>
      <c r="AV331">
        <f t="shared" si="61"/>
        <v>0</v>
      </c>
      <c r="AW331">
        <f t="shared" si="62"/>
        <v>0</v>
      </c>
      <c r="AX331">
        <f t="shared" si="63"/>
        <v>0</v>
      </c>
      <c r="AY331">
        <f t="shared" si="64"/>
        <v>0</v>
      </c>
      <c r="AZ331">
        <f t="shared" si="65"/>
        <v>0</v>
      </c>
    </row>
    <row r="332" spans="38:52" x14ac:dyDescent="0.35">
      <c r="AL332" s="16" t="s">
        <v>230</v>
      </c>
      <c r="AM332">
        <f t="shared" si="53"/>
        <v>4</v>
      </c>
      <c r="AN332">
        <f t="shared" si="66"/>
        <v>6</v>
      </c>
      <c r="AO332">
        <f t="shared" si="54"/>
        <v>6</v>
      </c>
      <c r="AP332">
        <f t="shared" si="55"/>
        <v>4</v>
      </c>
      <c r="AQ332">
        <f t="shared" si="56"/>
        <v>0</v>
      </c>
      <c r="AR332">
        <f t="shared" si="57"/>
        <v>0</v>
      </c>
      <c r="AS332">
        <f t="shared" si="58"/>
        <v>5</v>
      </c>
      <c r="AT332">
        <f t="shared" si="59"/>
        <v>3</v>
      </c>
      <c r="AU332">
        <f t="shared" si="60"/>
        <v>0</v>
      </c>
      <c r="AV332">
        <f t="shared" si="61"/>
        <v>0</v>
      </c>
      <c r="AW332">
        <f t="shared" si="62"/>
        <v>0</v>
      </c>
      <c r="AX332">
        <f t="shared" si="63"/>
        <v>0</v>
      </c>
      <c r="AY332">
        <f t="shared" si="64"/>
        <v>0</v>
      </c>
      <c r="AZ332">
        <f t="shared" si="65"/>
        <v>0</v>
      </c>
    </row>
    <row r="333" spans="38:52" x14ac:dyDescent="0.35">
      <c r="AL333" s="16" t="s">
        <v>231</v>
      </c>
      <c r="AM333">
        <f t="shared" si="53"/>
        <v>7</v>
      </c>
      <c r="AN333">
        <f t="shared" si="66"/>
        <v>7</v>
      </c>
      <c r="AO333">
        <f t="shared" si="54"/>
        <v>7</v>
      </c>
      <c r="AP333">
        <f t="shared" si="55"/>
        <v>7</v>
      </c>
      <c r="AQ333">
        <f t="shared" si="56"/>
        <v>7</v>
      </c>
      <c r="AR333">
        <f t="shared" si="57"/>
        <v>7</v>
      </c>
      <c r="AS333">
        <f t="shared" si="58"/>
        <v>7</v>
      </c>
      <c r="AT333">
        <f t="shared" si="59"/>
        <v>7</v>
      </c>
      <c r="AU333">
        <f t="shared" si="60"/>
        <v>0</v>
      </c>
      <c r="AV333">
        <f t="shared" si="61"/>
        <v>0</v>
      </c>
      <c r="AW333">
        <f t="shared" si="62"/>
        <v>0</v>
      </c>
      <c r="AX333">
        <f t="shared" si="63"/>
        <v>0</v>
      </c>
      <c r="AY333">
        <f t="shared" si="64"/>
        <v>0</v>
      </c>
      <c r="AZ333">
        <f t="shared" si="65"/>
        <v>0</v>
      </c>
    </row>
    <row r="334" spans="38:52" x14ac:dyDescent="0.35">
      <c r="AL334" s="16" t="s">
        <v>232</v>
      </c>
      <c r="AM334">
        <f t="shared" si="53"/>
        <v>0</v>
      </c>
      <c r="AN334">
        <f t="shared" si="66"/>
        <v>0</v>
      </c>
      <c r="AO334">
        <f t="shared" si="54"/>
        <v>5</v>
      </c>
      <c r="AP334">
        <f t="shared" si="55"/>
        <v>5</v>
      </c>
      <c r="AQ334">
        <f t="shared" si="56"/>
        <v>1</v>
      </c>
      <c r="AR334">
        <f t="shared" si="57"/>
        <v>6</v>
      </c>
      <c r="AS334">
        <f t="shared" si="58"/>
        <v>7</v>
      </c>
      <c r="AT334">
        <f t="shared" si="59"/>
        <v>5</v>
      </c>
      <c r="AU334">
        <f t="shared" si="60"/>
        <v>0</v>
      </c>
      <c r="AV334">
        <f t="shared" si="61"/>
        <v>0</v>
      </c>
      <c r="AW334">
        <f t="shared" si="62"/>
        <v>0</v>
      </c>
      <c r="AX334">
        <f t="shared" si="63"/>
        <v>0</v>
      </c>
      <c r="AY334">
        <f t="shared" si="64"/>
        <v>0</v>
      </c>
      <c r="AZ334">
        <f t="shared" si="65"/>
        <v>0</v>
      </c>
    </row>
    <row r="335" spans="38:52" x14ac:dyDescent="0.35">
      <c r="AL335" s="16" t="s">
        <v>233</v>
      </c>
      <c r="AM335">
        <f t="shared" si="53"/>
        <v>7</v>
      </c>
      <c r="AN335">
        <f>COUNTIF($AU51:$BA51,"&gt;=95%")</f>
        <v>7</v>
      </c>
      <c r="AO335">
        <f t="shared" si="54"/>
        <v>7</v>
      </c>
      <c r="AP335">
        <f t="shared" si="55"/>
        <v>7</v>
      </c>
      <c r="AQ335">
        <f t="shared" si="56"/>
        <v>4</v>
      </c>
      <c r="AR335">
        <f t="shared" si="57"/>
        <v>7</v>
      </c>
      <c r="AS335">
        <f t="shared" si="58"/>
        <v>7</v>
      </c>
      <c r="AT335">
        <f t="shared" si="59"/>
        <v>5</v>
      </c>
      <c r="AU335">
        <f t="shared" si="60"/>
        <v>0</v>
      </c>
      <c r="AV335">
        <f t="shared" si="61"/>
        <v>0</v>
      </c>
      <c r="AW335">
        <f t="shared" si="62"/>
        <v>0</v>
      </c>
      <c r="AX335">
        <f t="shared" si="63"/>
        <v>0</v>
      </c>
      <c r="AY335">
        <f t="shared" si="64"/>
        <v>0</v>
      </c>
      <c r="AZ335">
        <f t="shared" si="65"/>
        <v>0</v>
      </c>
    </row>
    <row r="336" spans="38:52" x14ac:dyDescent="0.35">
      <c r="AL336" s="16" t="s">
        <v>234</v>
      </c>
      <c r="AM336">
        <f t="shared" si="53"/>
        <v>7</v>
      </c>
      <c r="AN336">
        <f t="shared" si="66"/>
        <v>7</v>
      </c>
      <c r="AO336">
        <f t="shared" si="54"/>
        <v>7</v>
      </c>
      <c r="AP336">
        <f t="shared" si="55"/>
        <v>7</v>
      </c>
      <c r="AQ336">
        <f t="shared" si="56"/>
        <v>2</v>
      </c>
      <c r="AR336">
        <f t="shared" si="57"/>
        <v>7</v>
      </c>
      <c r="AS336">
        <f t="shared" si="58"/>
        <v>7</v>
      </c>
      <c r="AT336">
        <f t="shared" si="59"/>
        <v>7</v>
      </c>
      <c r="AU336">
        <f t="shared" si="60"/>
        <v>0</v>
      </c>
      <c r="AV336">
        <f t="shared" si="61"/>
        <v>0</v>
      </c>
      <c r="AW336">
        <f t="shared" si="62"/>
        <v>0</v>
      </c>
      <c r="AX336">
        <f t="shared" si="63"/>
        <v>0</v>
      </c>
      <c r="AY336">
        <f t="shared" si="64"/>
        <v>0</v>
      </c>
      <c r="AZ336">
        <f t="shared" si="65"/>
        <v>0</v>
      </c>
    </row>
    <row r="337" spans="38:52" x14ac:dyDescent="0.35">
      <c r="AL337" s="16" t="s">
        <v>236</v>
      </c>
      <c r="AM337">
        <f t="shared" si="53"/>
        <v>0</v>
      </c>
      <c r="AN337">
        <f t="shared" si="66"/>
        <v>0</v>
      </c>
      <c r="AO337">
        <f t="shared" si="54"/>
        <v>0</v>
      </c>
      <c r="AP337">
        <f t="shared" si="55"/>
        <v>0</v>
      </c>
      <c r="AQ337">
        <f t="shared" si="56"/>
        <v>0</v>
      </c>
      <c r="AR337">
        <f t="shared" si="57"/>
        <v>0</v>
      </c>
      <c r="AS337">
        <f t="shared" si="58"/>
        <v>2</v>
      </c>
      <c r="AT337">
        <f t="shared" si="59"/>
        <v>2</v>
      </c>
      <c r="AU337">
        <f t="shared" si="60"/>
        <v>0</v>
      </c>
      <c r="AV337">
        <f t="shared" si="61"/>
        <v>0</v>
      </c>
      <c r="AW337">
        <f t="shared" si="62"/>
        <v>0</v>
      </c>
      <c r="AX337">
        <f t="shared" si="63"/>
        <v>0</v>
      </c>
      <c r="AY337">
        <f t="shared" si="64"/>
        <v>0</v>
      </c>
      <c r="AZ337">
        <f t="shared" si="65"/>
        <v>0</v>
      </c>
    </row>
    <row r="338" spans="38:52" x14ac:dyDescent="0.35">
      <c r="AL338" s="16" t="s">
        <v>237</v>
      </c>
      <c r="AM338">
        <f t="shared" si="53"/>
        <v>0</v>
      </c>
      <c r="AN338">
        <f t="shared" si="66"/>
        <v>0</v>
      </c>
      <c r="AO338">
        <f t="shared" si="54"/>
        <v>0</v>
      </c>
      <c r="AP338">
        <f t="shared" si="55"/>
        <v>0</v>
      </c>
      <c r="AQ338">
        <f t="shared" si="56"/>
        <v>0</v>
      </c>
      <c r="AR338">
        <f t="shared" si="57"/>
        <v>0</v>
      </c>
      <c r="AS338">
        <f t="shared" si="58"/>
        <v>0</v>
      </c>
      <c r="AT338">
        <f t="shared" si="59"/>
        <v>0</v>
      </c>
      <c r="AU338">
        <f t="shared" si="60"/>
        <v>0</v>
      </c>
      <c r="AV338">
        <f t="shared" si="61"/>
        <v>0</v>
      </c>
      <c r="AW338">
        <f t="shared" si="62"/>
        <v>0</v>
      </c>
      <c r="AX338">
        <f t="shared" si="63"/>
        <v>0</v>
      </c>
      <c r="AY338">
        <f t="shared" si="64"/>
        <v>0</v>
      </c>
      <c r="AZ338">
        <f t="shared" si="65"/>
        <v>0</v>
      </c>
    </row>
    <row r="339" spans="38:52" x14ac:dyDescent="0.35">
      <c r="AL339" s="16" t="s">
        <v>238</v>
      </c>
      <c r="AM339">
        <f t="shared" si="53"/>
        <v>7</v>
      </c>
      <c r="AN339">
        <f t="shared" si="66"/>
        <v>5</v>
      </c>
      <c r="AO339">
        <f t="shared" si="54"/>
        <v>6</v>
      </c>
      <c r="AP339">
        <f t="shared" si="55"/>
        <v>0</v>
      </c>
      <c r="AQ339">
        <f t="shared" si="56"/>
        <v>0</v>
      </c>
      <c r="AR339">
        <f t="shared" si="57"/>
        <v>3</v>
      </c>
      <c r="AS339">
        <f t="shared" si="58"/>
        <v>6</v>
      </c>
      <c r="AT339">
        <f t="shared" si="59"/>
        <v>7</v>
      </c>
      <c r="AU339">
        <f t="shared" si="60"/>
        <v>0</v>
      </c>
      <c r="AV339">
        <f t="shared" si="61"/>
        <v>0</v>
      </c>
      <c r="AW339">
        <f t="shared" si="62"/>
        <v>0</v>
      </c>
      <c r="AX339">
        <f t="shared" si="63"/>
        <v>0</v>
      </c>
      <c r="AY339">
        <f t="shared" si="64"/>
        <v>0</v>
      </c>
      <c r="AZ339">
        <f t="shared" si="65"/>
        <v>0</v>
      </c>
    </row>
    <row r="340" spans="38:52" x14ac:dyDescent="0.35">
      <c r="AL340" s="16" t="s">
        <v>239</v>
      </c>
      <c r="AM340">
        <f t="shared" si="53"/>
        <v>7</v>
      </c>
      <c r="AN340">
        <f t="shared" si="66"/>
        <v>7</v>
      </c>
      <c r="AO340">
        <f t="shared" si="54"/>
        <v>7</v>
      </c>
      <c r="AP340">
        <f t="shared" si="55"/>
        <v>6</v>
      </c>
      <c r="AQ340">
        <f t="shared" si="56"/>
        <v>0</v>
      </c>
      <c r="AR340">
        <f t="shared" si="57"/>
        <v>4</v>
      </c>
      <c r="AS340">
        <f t="shared" si="58"/>
        <v>7</v>
      </c>
      <c r="AT340">
        <f t="shared" si="59"/>
        <v>7</v>
      </c>
      <c r="AU340">
        <f t="shared" si="60"/>
        <v>0</v>
      </c>
      <c r="AV340">
        <f t="shared" si="61"/>
        <v>0</v>
      </c>
      <c r="AW340">
        <f t="shared" si="62"/>
        <v>0</v>
      </c>
      <c r="AX340">
        <f t="shared" si="63"/>
        <v>0</v>
      </c>
      <c r="AY340">
        <f t="shared" si="64"/>
        <v>0</v>
      </c>
      <c r="AZ340">
        <f t="shared" si="65"/>
        <v>0</v>
      </c>
    </row>
    <row r="341" spans="38:52" x14ac:dyDescent="0.35">
      <c r="AL341" s="16" t="s">
        <v>240</v>
      </c>
      <c r="AM341">
        <f t="shared" si="53"/>
        <v>7</v>
      </c>
      <c r="AN341">
        <f t="shared" si="66"/>
        <v>7</v>
      </c>
      <c r="AO341">
        <f t="shared" si="54"/>
        <v>7</v>
      </c>
      <c r="AP341">
        <f t="shared" si="55"/>
        <v>7</v>
      </c>
      <c r="AQ341">
        <f t="shared" si="56"/>
        <v>4</v>
      </c>
      <c r="AR341">
        <f t="shared" si="57"/>
        <v>7</v>
      </c>
      <c r="AS341">
        <f t="shared" si="58"/>
        <v>7</v>
      </c>
      <c r="AT341">
        <f t="shared" si="59"/>
        <v>7</v>
      </c>
      <c r="AU341">
        <f t="shared" si="60"/>
        <v>0</v>
      </c>
      <c r="AV341">
        <f t="shared" si="61"/>
        <v>0</v>
      </c>
      <c r="AW341">
        <f t="shared" si="62"/>
        <v>0</v>
      </c>
      <c r="AX341">
        <f t="shared" si="63"/>
        <v>0</v>
      </c>
      <c r="AY341">
        <f t="shared" si="64"/>
        <v>0</v>
      </c>
      <c r="AZ341">
        <f t="shared" si="65"/>
        <v>0</v>
      </c>
    </row>
    <row r="342" spans="38:52" x14ac:dyDescent="0.35">
      <c r="AL342" s="16" t="s">
        <v>241</v>
      </c>
      <c r="AM342">
        <f t="shared" si="53"/>
        <v>0</v>
      </c>
      <c r="AN342">
        <f t="shared" si="66"/>
        <v>1</v>
      </c>
      <c r="AO342">
        <f t="shared" si="54"/>
        <v>0</v>
      </c>
      <c r="AP342">
        <f t="shared" si="55"/>
        <v>0</v>
      </c>
      <c r="AQ342">
        <f t="shared" si="56"/>
        <v>0</v>
      </c>
      <c r="AR342">
        <f t="shared" si="57"/>
        <v>0</v>
      </c>
      <c r="AS342">
        <f t="shared" si="58"/>
        <v>0</v>
      </c>
      <c r="AT342">
        <f t="shared" si="59"/>
        <v>0</v>
      </c>
      <c r="AU342">
        <f t="shared" si="60"/>
        <v>0</v>
      </c>
      <c r="AV342">
        <f t="shared" si="61"/>
        <v>0</v>
      </c>
      <c r="AW342">
        <f t="shared" si="62"/>
        <v>0</v>
      </c>
      <c r="AX342">
        <f t="shared" si="63"/>
        <v>0</v>
      </c>
      <c r="AY342">
        <f t="shared" si="64"/>
        <v>0</v>
      </c>
      <c r="AZ342">
        <f t="shared" si="65"/>
        <v>0</v>
      </c>
    </row>
    <row r="343" spans="38:52" x14ac:dyDescent="0.35">
      <c r="AL343" s="16" t="s">
        <v>242</v>
      </c>
      <c r="AM343">
        <f t="shared" si="53"/>
        <v>7</v>
      </c>
      <c r="AN343">
        <f t="shared" si="66"/>
        <v>7</v>
      </c>
      <c r="AO343">
        <f t="shared" si="54"/>
        <v>7</v>
      </c>
      <c r="AP343">
        <f t="shared" si="55"/>
        <v>7</v>
      </c>
      <c r="AQ343">
        <f t="shared" si="56"/>
        <v>2</v>
      </c>
      <c r="AR343">
        <f t="shared" si="57"/>
        <v>7</v>
      </c>
      <c r="AS343">
        <f t="shared" si="58"/>
        <v>5</v>
      </c>
      <c r="AT343">
        <f t="shared" si="59"/>
        <v>7</v>
      </c>
      <c r="AU343">
        <f t="shared" si="60"/>
        <v>0</v>
      </c>
      <c r="AV343">
        <f t="shared" si="61"/>
        <v>0</v>
      </c>
      <c r="AW343">
        <f t="shared" si="62"/>
        <v>0</v>
      </c>
      <c r="AX343">
        <f t="shared" si="63"/>
        <v>0</v>
      </c>
      <c r="AY343">
        <f t="shared" si="64"/>
        <v>0</v>
      </c>
      <c r="AZ343">
        <f t="shared" si="65"/>
        <v>0</v>
      </c>
    </row>
    <row r="344" spans="38:52" x14ac:dyDescent="0.35">
      <c r="AL344" s="16" t="s">
        <v>243</v>
      </c>
      <c r="AM344">
        <f t="shared" si="53"/>
        <v>0</v>
      </c>
      <c r="AN344">
        <f t="shared" si="66"/>
        <v>0</v>
      </c>
      <c r="AO344">
        <f t="shared" si="54"/>
        <v>0</v>
      </c>
      <c r="AP344">
        <f t="shared" si="55"/>
        <v>0</v>
      </c>
      <c r="AQ344">
        <f t="shared" si="56"/>
        <v>0</v>
      </c>
      <c r="AR344">
        <f t="shared" si="57"/>
        <v>0</v>
      </c>
      <c r="AS344">
        <f t="shared" si="58"/>
        <v>0</v>
      </c>
      <c r="AT344">
        <f t="shared" si="59"/>
        <v>0</v>
      </c>
      <c r="AU344">
        <f t="shared" si="60"/>
        <v>0</v>
      </c>
      <c r="AV344">
        <f t="shared" si="61"/>
        <v>0</v>
      </c>
      <c r="AW344">
        <f t="shared" si="62"/>
        <v>0</v>
      </c>
      <c r="AX344">
        <f t="shared" si="63"/>
        <v>0</v>
      </c>
      <c r="AY344">
        <f t="shared" si="64"/>
        <v>0</v>
      </c>
      <c r="AZ344">
        <f t="shared" si="65"/>
        <v>0</v>
      </c>
    </row>
    <row r="345" spans="38:52" x14ac:dyDescent="0.35">
      <c r="AL345" s="16" t="s">
        <v>244</v>
      </c>
      <c r="AM345">
        <f t="shared" si="53"/>
        <v>3</v>
      </c>
      <c r="AN345">
        <f t="shared" si="66"/>
        <v>5</v>
      </c>
      <c r="AO345">
        <f t="shared" si="54"/>
        <v>6</v>
      </c>
      <c r="AP345">
        <f t="shared" si="55"/>
        <v>4</v>
      </c>
      <c r="AQ345">
        <f t="shared" si="56"/>
        <v>2</v>
      </c>
      <c r="AR345">
        <f t="shared" si="57"/>
        <v>3</v>
      </c>
      <c r="AS345">
        <f t="shared" si="58"/>
        <v>7</v>
      </c>
      <c r="AT345">
        <f t="shared" si="59"/>
        <v>6</v>
      </c>
      <c r="AU345">
        <f t="shared" si="60"/>
        <v>0</v>
      </c>
      <c r="AV345">
        <f t="shared" si="61"/>
        <v>0</v>
      </c>
      <c r="AW345">
        <f t="shared" si="62"/>
        <v>0</v>
      </c>
      <c r="AX345">
        <f t="shared" si="63"/>
        <v>0</v>
      </c>
      <c r="AY345">
        <f t="shared" si="64"/>
        <v>0</v>
      </c>
      <c r="AZ345">
        <f t="shared" si="65"/>
        <v>0</v>
      </c>
    </row>
    <row r="346" spans="38:52" x14ac:dyDescent="0.35">
      <c r="AL346" s="16" t="s">
        <v>245</v>
      </c>
      <c r="AM346">
        <f t="shared" si="53"/>
        <v>0</v>
      </c>
      <c r="AN346">
        <f t="shared" si="66"/>
        <v>0</v>
      </c>
      <c r="AO346">
        <f t="shared" si="54"/>
        <v>0</v>
      </c>
      <c r="AP346">
        <f t="shared" si="55"/>
        <v>0</v>
      </c>
      <c r="AQ346">
        <f t="shared" si="56"/>
        <v>0</v>
      </c>
      <c r="AR346">
        <f t="shared" si="57"/>
        <v>0</v>
      </c>
      <c r="AS346">
        <f t="shared" si="58"/>
        <v>0</v>
      </c>
      <c r="AT346">
        <f t="shared" si="59"/>
        <v>0</v>
      </c>
      <c r="AU346">
        <f t="shared" si="60"/>
        <v>0</v>
      </c>
      <c r="AV346">
        <f t="shared" si="61"/>
        <v>0</v>
      </c>
      <c r="AW346">
        <f t="shared" si="62"/>
        <v>0</v>
      </c>
      <c r="AX346">
        <f t="shared" si="63"/>
        <v>0</v>
      </c>
      <c r="AY346">
        <f t="shared" si="64"/>
        <v>0</v>
      </c>
      <c r="AZ346">
        <f t="shared" si="65"/>
        <v>0</v>
      </c>
    </row>
    <row r="347" spans="38:52" x14ac:dyDescent="0.35">
      <c r="AL347" s="16" t="s">
        <v>246</v>
      </c>
      <c r="AM347">
        <f t="shared" si="53"/>
        <v>5</v>
      </c>
      <c r="AN347">
        <f t="shared" si="66"/>
        <v>3</v>
      </c>
      <c r="AO347">
        <f t="shared" si="54"/>
        <v>0</v>
      </c>
      <c r="AP347">
        <f t="shared" si="55"/>
        <v>0</v>
      </c>
      <c r="AQ347">
        <f t="shared" si="56"/>
        <v>0</v>
      </c>
      <c r="AR347">
        <f t="shared" si="57"/>
        <v>0</v>
      </c>
      <c r="AS347">
        <f t="shared" si="58"/>
        <v>0</v>
      </c>
      <c r="AT347">
        <f t="shared" si="59"/>
        <v>0</v>
      </c>
      <c r="AU347">
        <f t="shared" si="60"/>
        <v>0</v>
      </c>
      <c r="AV347">
        <f t="shared" si="61"/>
        <v>0</v>
      </c>
      <c r="AW347">
        <f t="shared" si="62"/>
        <v>0</v>
      </c>
      <c r="AX347">
        <f t="shared" si="63"/>
        <v>0</v>
      </c>
      <c r="AY347">
        <f t="shared" si="64"/>
        <v>0</v>
      </c>
      <c r="AZ347">
        <f t="shared" si="65"/>
        <v>0</v>
      </c>
    </row>
    <row r="348" spans="38:52" x14ac:dyDescent="0.35">
      <c r="AL348" s="16" t="s">
        <v>247</v>
      </c>
      <c r="AM348">
        <f t="shared" si="53"/>
        <v>7</v>
      </c>
      <c r="AN348">
        <f t="shared" si="66"/>
        <v>7</v>
      </c>
      <c r="AO348">
        <f t="shared" si="54"/>
        <v>7</v>
      </c>
      <c r="AP348">
        <f t="shared" si="55"/>
        <v>4</v>
      </c>
      <c r="AQ348">
        <f t="shared" si="56"/>
        <v>4</v>
      </c>
      <c r="AR348">
        <f t="shared" si="57"/>
        <v>3</v>
      </c>
      <c r="AS348">
        <f t="shared" si="58"/>
        <v>7</v>
      </c>
      <c r="AT348">
        <f t="shared" si="59"/>
        <v>7</v>
      </c>
      <c r="AU348">
        <f t="shared" si="60"/>
        <v>0</v>
      </c>
      <c r="AV348">
        <f t="shared" si="61"/>
        <v>0</v>
      </c>
      <c r="AW348">
        <f t="shared" si="62"/>
        <v>0</v>
      </c>
      <c r="AX348">
        <f t="shared" si="63"/>
        <v>0</v>
      </c>
      <c r="AY348">
        <f t="shared" si="64"/>
        <v>0</v>
      </c>
      <c r="AZ348">
        <f t="shared" si="65"/>
        <v>0</v>
      </c>
    </row>
    <row r="349" spans="38:52" x14ac:dyDescent="0.35">
      <c r="AL349" s="16" t="s">
        <v>248</v>
      </c>
      <c r="AM349">
        <f t="shared" si="53"/>
        <v>7</v>
      </c>
      <c r="AN349">
        <f t="shared" si="66"/>
        <v>7</v>
      </c>
      <c r="AO349">
        <f t="shared" si="54"/>
        <v>7</v>
      </c>
      <c r="AP349">
        <f t="shared" si="55"/>
        <v>7</v>
      </c>
      <c r="AQ349">
        <f t="shared" si="56"/>
        <v>5</v>
      </c>
      <c r="AR349">
        <f t="shared" si="57"/>
        <v>7</v>
      </c>
      <c r="AS349">
        <f t="shared" si="58"/>
        <v>7</v>
      </c>
      <c r="AT349">
        <f t="shared" si="59"/>
        <v>7</v>
      </c>
      <c r="AU349">
        <f t="shared" si="60"/>
        <v>0</v>
      </c>
      <c r="AV349">
        <f t="shared" si="61"/>
        <v>0</v>
      </c>
      <c r="AW349">
        <f t="shared" si="62"/>
        <v>0</v>
      </c>
      <c r="AX349">
        <f t="shared" si="63"/>
        <v>0</v>
      </c>
      <c r="AY349">
        <f t="shared" si="64"/>
        <v>0</v>
      </c>
      <c r="AZ349">
        <f t="shared" si="65"/>
        <v>0</v>
      </c>
    </row>
    <row r="350" spans="38:52" x14ac:dyDescent="0.35">
      <c r="AL350" s="16" t="s">
        <v>249</v>
      </c>
      <c r="AM350">
        <f t="shared" si="53"/>
        <v>5</v>
      </c>
      <c r="AN350">
        <f t="shared" si="66"/>
        <v>7</v>
      </c>
      <c r="AO350">
        <f t="shared" si="54"/>
        <v>6</v>
      </c>
      <c r="AP350">
        <f t="shared" si="55"/>
        <v>6</v>
      </c>
      <c r="AQ350">
        <f t="shared" si="56"/>
        <v>1</v>
      </c>
      <c r="AR350">
        <f t="shared" si="57"/>
        <v>4</v>
      </c>
      <c r="AS350">
        <f t="shared" si="58"/>
        <v>3</v>
      </c>
      <c r="AT350">
        <f t="shared" si="59"/>
        <v>6</v>
      </c>
      <c r="AU350">
        <f t="shared" si="60"/>
        <v>0</v>
      </c>
      <c r="AV350">
        <f t="shared" si="61"/>
        <v>0</v>
      </c>
      <c r="AW350">
        <f t="shared" si="62"/>
        <v>0</v>
      </c>
      <c r="AX350">
        <f t="shared" si="63"/>
        <v>0</v>
      </c>
      <c r="AY350">
        <f t="shared" si="64"/>
        <v>0</v>
      </c>
      <c r="AZ350">
        <f t="shared" si="65"/>
        <v>0</v>
      </c>
    </row>
    <row r="351" spans="38:52" x14ac:dyDescent="0.35">
      <c r="AL351" s="16" t="s">
        <v>250</v>
      </c>
      <c r="AM351">
        <f t="shared" si="53"/>
        <v>4</v>
      </c>
      <c r="AN351">
        <f t="shared" si="66"/>
        <v>4</v>
      </c>
      <c r="AO351">
        <f t="shared" si="54"/>
        <v>3</v>
      </c>
      <c r="AP351">
        <f t="shared" si="55"/>
        <v>0</v>
      </c>
      <c r="AQ351">
        <f t="shared" si="56"/>
        <v>0</v>
      </c>
      <c r="AR351">
        <f t="shared" si="57"/>
        <v>1</v>
      </c>
      <c r="AS351">
        <f t="shared" si="58"/>
        <v>4</v>
      </c>
      <c r="AT351">
        <f t="shared" si="59"/>
        <v>3</v>
      </c>
      <c r="AU351">
        <f t="shared" si="60"/>
        <v>0</v>
      </c>
      <c r="AV351">
        <f t="shared" si="61"/>
        <v>0</v>
      </c>
      <c r="AW351">
        <f t="shared" si="62"/>
        <v>0</v>
      </c>
      <c r="AX351">
        <f t="shared" si="63"/>
        <v>0</v>
      </c>
      <c r="AY351">
        <f t="shared" si="64"/>
        <v>0</v>
      </c>
      <c r="AZ351">
        <f t="shared" si="65"/>
        <v>0</v>
      </c>
    </row>
    <row r="352" spans="38:52" x14ac:dyDescent="0.35">
      <c r="AL352" s="16" t="s">
        <v>251</v>
      </c>
      <c r="AM352">
        <f t="shared" si="53"/>
        <v>7</v>
      </c>
      <c r="AN352">
        <f t="shared" si="66"/>
        <v>3</v>
      </c>
      <c r="AO352">
        <f t="shared" si="54"/>
        <v>4</v>
      </c>
      <c r="AP352">
        <f t="shared" si="55"/>
        <v>1</v>
      </c>
      <c r="AQ352">
        <f t="shared" si="56"/>
        <v>0</v>
      </c>
      <c r="AR352">
        <f t="shared" si="57"/>
        <v>0</v>
      </c>
      <c r="AS352">
        <f t="shared" si="58"/>
        <v>4</v>
      </c>
      <c r="AT352">
        <f t="shared" si="59"/>
        <v>4</v>
      </c>
      <c r="AU352">
        <f t="shared" si="60"/>
        <v>0</v>
      </c>
      <c r="AV352">
        <f t="shared" si="61"/>
        <v>0</v>
      </c>
      <c r="AW352">
        <f t="shared" si="62"/>
        <v>0</v>
      </c>
      <c r="AX352">
        <f t="shared" si="63"/>
        <v>0</v>
      </c>
      <c r="AY352">
        <f t="shared" si="64"/>
        <v>0</v>
      </c>
      <c r="AZ352">
        <f t="shared" si="65"/>
        <v>0</v>
      </c>
    </row>
    <row r="353" spans="38:52" x14ac:dyDescent="0.35">
      <c r="AL353" s="16" t="s">
        <v>252</v>
      </c>
      <c r="AM353">
        <f t="shared" si="53"/>
        <v>0</v>
      </c>
      <c r="AN353">
        <f t="shared" si="66"/>
        <v>0</v>
      </c>
      <c r="AO353">
        <f t="shared" si="54"/>
        <v>0</v>
      </c>
      <c r="AP353">
        <f t="shared" si="55"/>
        <v>0</v>
      </c>
      <c r="AQ353">
        <f t="shared" si="56"/>
        <v>0</v>
      </c>
      <c r="AR353">
        <f t="shared" si="57"/>
        <v>0</v>
      </c>
      <c r="AS353">
        <f t="shared" si="58"/>
        <v>5</v>
      </c>
      <c r="AT353">
        <f t="shared" si="59"/>
        <v>1</v>
      </c>
      <c r="AU353">
        <f t="shared" si="60"/>
        <v>0</v>
      </c>
      <c r="AV353">
        <f t="shared" si="61"/>
        <v>0</v>
      </c>
      <c r="AW353">
        <f t="shared" si="62"/>
        <v>0</v>
      </c>
      <c r="AX353">
        <f t="shared" si="63"/>
        <v>0</v>
      </c>
      <c r="AY353">
        <f t="shared" si="64"/>
        <v>0</v>
      </c>
      <c r="AZ353">
        <f t="shared" si="65"/>
        <v>0</v>
      </c>
    </row>
    <row r="354" spans="38:52" x14ac:dyDescent="0.35">
      <c r="AL354" s="16" t="s">
        <v>253</v>
      </c>
      <c r="AM354">
        <f>COUNTIF($AM70:$AS70,"&gt;=95%")</f>
        <v>0</v>
      </c>
      <c r="AN354">
        <f>COUNTIF($AU70:$BA70,"&gt;=95%")</f>
        <v>0</v>
      </c>
      <c r="AO354">
        <f t="shared" si="54"/>
        <v>0</v>
      </c>
      <c r="AP354">
        <f t="shared" si="55"/>
        <v>0</v>
      </c>
      <c r="AQ354">
        <f t="shared" si="56"/>
        <v>0</v>
      </c>
      <c r="AR354">
        <f t="shared" si="57"/>
        <v>0</v>
      </c>
      <c r="AS354">
        <f t="shared" si="58"/>
        <v>0</v>
      </c>
      <c r="AT354">
        <f t="shared" si="59"/>
        <v>0</v>
      </c>
      <c r="AU354">
        <f t="shared" si="60"/>
        <v>0</v>
      </c>
      <c r="AV354">
        <f t="shared" si="61"/>
        <v>0</v>
      </c>
      <c r="AW354">
        <f t="shared" si="62"/>
        <v>0</v>
      </c>
      <c r="AX354">
        <f t="shared" si="63"/>
        <v>0</v>
      </c>
      <c r="AY354">
        <f t="shared" si="64"/>
        <v>0</v>
      </c>
      <c r="AZ354">
        <f t="shared" si="65"/>
        <v>0</v>
      </c>
    </row>
    <row r="355" spans="38:52" x14ac:dyDescent="0.35">
      <c r="AL355" s="16" t="s">
        <v>254</v>
      </c>
      <c r="AM355">
        <f t="shared" si="53"/>
        <v>7</v>
      </c>
      <c r="AN355">
        <f t="shared" si="66"/>
        <v>7</v>
      </c>
      <c r="AO355">
        <f t="shared" si="54"/>
        <v>7</v>
      </c>
      <c r="AP355">
        <f t="shared" si="55"/>
        <v>5</v>
      </c>
      <c r="AQ355">
        <f t="shared" si="56"/>
        <v>2</v>
      </c>
      <c r="AR355">
        <f t="shared" si="57"/>
        <v>7</v>
      </c>
      <c r="AS355">
        <f t="shared" si="58"/>
        <v>5</v>
      </c>
      <c r="AT355">
        <f t="shared" si="59"/>
        <v>3</v>
      </c>
      <c r="AU355">
        <f t="shared" si="60"/>
        <v>0</v>
      </c>
      <c r="AV355">
        <f t="shared" si="61"/>
        <v>0</v>
      </c>
      <c r="AW355">
        <f t="shared" si="62"/>
        <v>0</v>
      </c>
      <c r="AX355">
        <f t="shared" si="63"/>
        <v>0</v>
      </c>
      <c r="AY355">
        <f t="shared" si="64"/>
        <v>0</v>
      </c>
      <c r="AZ355">
        <f t="shared" si="65"/>
        <v>0</v>
      </c>
    </row>
    <row r="356" spans="38:52" x14ac:dyDescent="0.35">
      <c r="AL356" s="16" t="s">
        <v>255</v>
      </c>
      <c r="AM356">
        <f t="shared" si="53"/>
        <v>7</v>
      </c>
      <c r="AN356">
        <f t="shared" si="66"/>
        <v>7</v>
      </c>
      <c r="AO356">
        <f t="shared" si="54"/>
        <v>7</v>
      </c>
      <c r="AP356">
        <f t="shared" si="55"/>
        <v>5</v>
      </c>
      <c r="AQ356">
        <f t="shared" si="56"/>
        <v>0</v>
      </c>
      <c r="AR356">
        <f t="shared" si="57"/>
        <v>6</v>
      </c>
      <c r="AS356">
        <f t="shared" si="58"/>
        <v>7</v>
      </c>
      <c r="AT356">
        <f t="shared" si="59"/>
        <v>7</v>
      </c>
      <c r="AU356">
        <f t="shared" si="60"/>
        <v>0</v>
      </c>
      <c r="AV356">
        <f t="shared" si="61"/>
        <v>0</v>
      </c>
      <c r="AW356">
        <f t="shared" si="62"/>
        <v>0</v>
      </c>
      <c r="AX356">
        <f t="shared" si="63"/>
        <v>0</v>
      </c>
      <c r="AY356">
        <f t="shared" si="64"/>
        <v>0</v>
      </c>
      <c r="AZ356">
        <f t="shared" si="65"/>
        <v>0</v>
      </c>
    </row>
    <row r="357" spans="38:52" x14ac:dyDescent="0.35">
      <c r="AL357" s="16" t="s">
        <v>256</v>
      </c>
      <c r="AM357">
        <f t="shared" ref="AM357:AM420" si="67">COUNTIF($AM73:$AS73,"&gt;=95%")</f>
        <v>1</v>
      </c>
      <c r="AN357">
        <f t="shared" ref="AN357:AN420" si="68">COUNTIF($AU73:$BA73,"&gt;=95%")</f>
        <v>0</v>
      </c>
      <c r="AO357">
        <f t="shared" ref="AO357:AO420" si="69">COUNTIF($BC73:$BI73,"&gt;=95%")</f>
        <v>0</v>
      </c>
      <c r="AP357">
        <f t="shared" ref="AP357:AP420" si="70">COUNTIF($BK73:$BQ73,"&gt;=95%")</f>
        <v>0</v>
      </c>
      <c r="AQ357">
        <f t="shared" ref="AQ357:AQ420" si="71">COUNTIF($BS73:$BY73,"&gt;=95%")</f>
        <v>0</v>
      </c>
      <c r="AR357">
        <f t="shared" ref="AR357:AR420" si="72">COUNTIF($CA73:$CG73,"&gt;=95%")</f>
        <v>0</v>
      </c>
      <c r="AS357">
        <f t="shared" ref="AS357:AS420" si="73">COUNTIF($CI73:$CO73,"&gt;=95%")</f>
        <v>0</v>
      </c>
      <c r="AT357">
        <f t="shared" ref="AT357:AT420" si="74">COUNTIF($CQ73:$CW73,"&gt;=95%")</f>
        <v>0</v>
      </c>
      <c r="AU357">
        <f t="shared" ref="AU357:AU420" si="75">COUNTIF($CY73:$DE73,"&gt;=95%")</f>
        <v>0</v>
      </c>
      <c r="AV357">
        <f t="shared" ref="AV357:AV420" si="76">COUNTIF($DG73:$DM73,"&gt;=95%")</f>
        <v>0</v>
      </c>
      <c r="AW357">
        <f t="shared" ref="AW357:AW420" si="77">COUNTIF($DO73:$DU73,"&gt;=95%")</f>
        <v>0</v>
      </c>
      <c r="AX357">
        <f t="shared" ref="AX357:AX420" si="78">COUNTIF($DW73:$EC73,"&gt;=95%")</f>
        <v>0</v>
      </c>
      <c r="AY357">
        <f t="shared" ref="AY357:AY420" si="79">COUNTIF($EE73:$EK73,"&gt;=95%")</f>
        <v>0</v>
      </c>
      <c r="AZ357">
        <f t="shared" ref="AZ357:AZ420" si="80">COUNTIF($EM73:$ES73,"&gt;=95%")</f>
        <v>0</v>
      </c>
    </row>
    <row r="358" spans="38:52" x14ac:dyDescent="0.35">
      <c r="AL358" s="16" t="s">
        <v>257</v>
      </c>
      <c r="AM358">
        <f t="shared" si="67"/>
        <v>7</v>
      </c>
      <c r="AN358">
        <f t="shared" si="68"/>
        <v>7</v>
      </c>
      <c r="AO358">
        <f t="shared" si="69"/>
        <v>7</v>
      </c>
      <c r="AP358">
        <f t="shared" si="70"/>
        <v>7</v>
      </c>
      <c r="AQ358">
        <f t="shared" si="71"/>
        <v>7</v>
      </c>
      <c r="AR358">
        <f t="shared" si="72"/>
        <v>0</v>
      </c>
      <c r="AS358">
        <f t="shared" si="73"/>
        <v>0</v>
      </c>
      <c r="AT358">
        <f t="shared" si="74"/>
        <v>0</v>
      </c>
      <c r="AU358">
        <f t="shared" si="75"/>
        <v>0</v>
      </c>
      <c r="AV358">
        <f t="shared" si="76"/>
        <v>0</v>
      </c>
      <c r="AW358">
        <f t="shared" si="77"/>
        <v>0</v>
      </c>
      <c r="AX358">
        <f t="shared" si="78"/>
        <v>0</v>
      </c>
      <c r="AY358">
        <f t="shared" si="79"/>
        <v>0</v>
      </c>
      <c r="AZ358">
        <f t="shared" si="80"/>
        <v>0</v>
      </c>
    </row>
    <row r="359" spans="38:52" x14ac:dyDescent="0.35">
      <c r="AL359" s="16" t="s">
        <v>258</v>
      </c>
      <c r="AM359">
        <f t="shared" si="67"/>
        <v>4</v>
      </c>
      <c r="AN359">
        <f t="shared" si="68"/>
        <v>5</v>
      </c>
      <c r="AO359">
        <f t="shared" si="69"/>
        <v>2</v>
      </c>
      <c r="AP359">
        <f t="shared" si="70"/>
        <v>2</v>
      </c>
      <c r="AQ359">
        <f t="shared" si="71"/>
        <v>0</v>
      </c>
      <c r="AR359">
        <f t="shared" si="72"/>
        <v>1</v>
      </c>
      <c r="AS359">
        <f t="shared" si="73"/>
        <v>5</v>
      </c>
      <c r="AT359">
        <f t="shared" si="74"/>
        <v>4</v>
      </c>
      <c r="AU359">
        <f t="shared" si="75"/>
        <v>0</v>
      </c>
      <c r="AV359">
        <f t="shared" si="76"/>
        <v>0</v>
      </c>
      <c r="AW359">
        <f t="shared" si="77"/>
        <v>0</v>
      </c>
      <c r="AX359">
        <f t="shared" si="78"/>
        <v>0</v>
      </c>
      <c r="AY359">
        <f t="shared" si="79"/>
        <v>0</v>
      </c>
      <c r="AZ359">
        <f t="shared" si="80"/>
        <v>0</v>
      </c>
    </row>
    <row r="360" spans="38:52" x14ac:dyDescent="0.35">
      <c r="AL360" s="16" t="s">
        <v>259</v>
      </c>
      <c r="AM360">
        <f t="shared" si="67"/>
        <v>7</v>
      </c>
      <c r="AN360">
        <f t="shared" si="68"/>
        <v>7</v>
      </c>
      <c r="AO360">
        <f t="shared" si="69"/>
        <v>7</v>
      </c>
      <c r="AP360">
        <f t="shared" si="70"/>
        <v>5</v>
      </c>
      <c r="AQ360">
        <f t="shared" si="71"/>
        <v>1</v>
      </c>
      <c r="AR360">
        <f t="shared" si="72"/>
        <v>6</v>
      </c>
      <c r="AS360">
        <f t="shared" si="73"/>
        <v>7</v>
      </c>
      <c r="AT360">
        <f t="shared" si="74"/>
        <v>7</v>
      </c>
      <c r="AU360">
        <f t="shared" si="75"/>
        <v>0</v>
      </c>
      <c r="AV360">
        <f t="shared" si="76"/>
        <v>0</v>
      </c>
      <c r="AW360">
        <f t="shared" si="77"/>
        <v>0</v>
      </c>
      <c r="AX360">
        <f t="shared" si="78"/>
        <v>0</v>
      </c>
      <c r="AY360">
        <f t="shared" si="79"/>
        <v>0</v>
      </c>
      <c r="AZ360">
        <f t="shared" si="80"/>
        <v>0</v>
      </c>
    </row>
    <row r="361" spans="38:52" x14ac:dyDescent="0.35">
      <c r="AL361" s="16" t="s">
        <v>260</v>
      </c>
      <c r="AM361">
        <f t="shared" si="67"/>
        <v>7</v>
      </c>
      <c r="AN361">
        <f t="shared" si="68"/>
        <v>7</v>
      </c>
      <c r="AO361">
        <f t="shared" si="69"/>
        <v>7</v>
      </c>
      <c r="AP361">
        <f t="shared" si="70"/>
        <v>6</v>
      </c>
      <c r="AQ361">
        <f t="shared" si="71"/>
        <v>2</v>
      </c>
      <c r="AR361">
        <f t="shared" si="72"/>
        <v>4</v>
      </c>
      <c r="AS361">
        <f t="shared" si="73"/>
        <v>5</v>
      </c>
      <c r="AT361">
        <f t="shared" si="74"/>
        <v>1</v>
      </c>
      <c r="AU361">
        <f t="shared" si="75"/>
        <v>0</v>
      </c>
      <c r="AV361">
        <f t="shared" si="76"/>
        <v>0</v>
      </c>
      <c r="AW361">
        <f t="shared" si="77"/>
        <v>0</v>
      </c>
      <c r="AX361">
        <f t="shared" si="78"/>
        <v>0</v>
      </c>
      <c r="AY361">
        <f t="shared" si="79"/>
        <v>0</v>
      </c>
      <c r="AZ361">
        <f t="shared" si="80"/>
        <v>0</v>
      </c>
    </row>
    <row r="362" spans="38:52" x14ac:dyDescent="0.35">
      <c r="AL362" s="16" t="s">
        <v>261</v>
      </c>
      <c r="AM362">
        <f t="shared" si="67"/>
        <v>0</v>
      </c>
      <c r="AN362">
        <f t="shared" si="68"/>
        <v>0</v>
      </c>
      <c r="AO362">
        <f t="shared" si="69"/>
        <v>0</v>
      </c>
      <c r="AP362">
        <f t="shared" si="70"/>
        <v>0</v>
      </c>
      <c r="AQ362">
        <f t="shared" si="71"/>
        <v>0</v>
      </c>
      <c r="AR362">
        <f t="shared" si="72"/>
        <v>0</v>
      </c>
      <c r="AS362">
        <f t="shared" si="73"/>
        <v>0</v>
      </c>
      <c r="AT362">
        <f t="shared" si="74"/>
        <v>0</v>
      </c>
      <c r="AU362">
        <f t="shared" si="75"/>
        <v>0</v>
      </c>
      <c r="AV362">
        <f t="shared" si="76"/>
        <v>0</v>
      </c>
      <c r="AW362">
        <f t="shared" si="77"/>
        <v>0</v>
      </c>
      <c r="AX362">
        <f t="shared" si="78"/>
        <v>0</v>
      </c>
      <c r="AY362">
        <f t="shared" si="79"/>
        <v>0</v>
      </c>
      <c r="AZ362">
        <f t="shared" si="80"/>
        <v>0</v>
      </c>
    </row>
    <row r="363" spans="38:52" x14ac:dyDescent="0.35">
      <c r="AL363" s="16" t="s">
        <v>262</v>
      </c>
      <c r="AM363">
        <f t="shared" si="67"/>
        <v>2</v>
      </c>
      <c r="AN363">
        <f t="shared" si="68"/>
        <v>0</v>
      </c>
      <c r="AO363">
        <f t="shared" si="69"/>
        <v>0</v>
      </c>
      <c r="AP363">
        <f t="shared" si="70"/>
        <v>2</v>
      </c>
      <c r="AQ363">
        <f t="shared" si="71"/>
        <v>0</v>
      </c>
      <c r="AR363">
        <f t="shared" si="72"/>
        <v>1</v>
      </c>
      <c r="AS363">
        <f t="shared" si="73"/>
        <v>2</v>
      </c>
      <c r="AT363">
        <f t="shared" si="74"/>
        <v>0</v>
      </c>
      <c r="AU363">
        <f t="shared" si="75"/>
        <v>0</v>
      </c>
      <c r="AV363">
        <f t="shared" si="76"/>
        <v>0</v>
      </c>
      <c r="AW363">
        <f t="shared" si="77"/>
        <v>0</v>
      </c>
      <c r="AX363">
        <f t="shared" si="78"/>
        <v>0</v>
      </c>
      <c r="AY363">
        <f t="shared" si="79"/>
        <v>0</v>
      </c>
      <c r="AZ363">
        <f t="shared" si="80"/>
        <v>0</v>
      </c>
    </row>
    <row r="364" spans="38:52" x14ac:dyDescent="0.35">
      <c r="AL364" s="16" t="s">
        <v>263</v>
      </c>
      <c r="AM364">
        <f t="shared" si="67"/>
        <v>0</v>
      </c>
      <c r="AN364">
        <f t="shared" si="68"/>
        <v>1</v>
      </c>
      <c r="AO364">
        <f t="shared" si="69"/>
        <v>0</v>
      </c>
      <c r="AP364">
        <f t="shared" si="70"/>
        <v>1</v>
      </c>
      <c r="AQ364">
        <f t="shared" si="71"/>
        <v>0</v>
      </c>
      <c r="AR364">
        <f t="shared" si="72"/>
        <v>0</v>
      </c>
      <c r="AS364">
        <f t="shared" si="73"/>
        <v>4</v>
      </c>
      <c r="AT364">
        <f t="shared" si="74"/>
        <v>1</v>
      </c>
      <c r="AU364">
        <f t="shared" si="75"/>
        <v>0</v>
      </c>
      <c r="AV364">
        <f t="shared" si="76"/>
        <v>0</v>
      </c>
      <c r="AW364">
        <f t="shared" si="77"/>
        <v>0</v>
      </c>
      <c r="AX364">
        <f t="shared" si="78"/>
        <v>0</v>
      </c>
      <c r="AY364">
        <f t="shared" si="79"/>
        <v>0</v>
      </c>
      <c r="AZ364">
        <f t="shared" si="80"/>
        <v>0</v>
      </c>
    </row>
    <row r="365" spans="38:52" x14ac:dyDescent="0.35">
      <c r="AL365" s="16" t="s">
        <v>264</v>
      </c>
      <c r="AM365">
        <f t="shared" si="67"/>
        <v>2</v>
      </c>
      <c r="AN365">
        <f t="shared" si="68"/>
        <v>4</v>
      </c>
      <c r="AO365">
        <f t="shared" si="69"/>
        <v>1</v>
      </c>
      <c r="AP365">
        <f t="shared" si="70"/>
        <v>2</v>
      </c>
      <c r="AQ365">
        <f t="shared" si="71"/>
        <v>0</v>
      </c>
      <c r="AR365">
        <f t="shared" si="72"/>
        <v>0</v>
      </c>
      <c r="AS365">
        <f t="shared" si="73"/>
        <v>3</v>
      </c>
      <c r="AT365">
        <f t="shared" si="74"/>
        <v>3</v>
      </c>
      <c r="AU365">
        <f t="shared" si="75"/>
        <v>0</v>
      </c>
      <c r="AV365">
        <f t="shared" si="76"/>
        <v>0</v>
      </c>
      <c r="AW365">
        <f t="shared" si="77"/>
        <v>0</v>
      </c>
      <c r="AX365">
        <f t="shared" si="78"/>
        <v>0</v>
      </c>
      <c r="AY365">
        <f t="shared" si="79"/>
        <v>0</v>
      </c>
      <c r="AZ365">
        <f t="shared" si="80"/>
        <v>0</v>
      </c>
    </row>
    <row r="366" spans="38:52" x14ac:dyDescent="0.35">
      <c r="AL366" s="16" t="s">
        <v>265</v>
      </c>
      <c r="AM366">
        <f t="shared" si="67"/>
        <v>4</v>
      </c>
      <c r="AN366">
        <f t="shared" si="68"/>
        <v>5</v>
      </c>
      <c r="AO366">
        <f t="shared" si="69"/>
        <v>3</v>
      </c>
      <c r="AP366">
        <f t="shared" si="70"/>
        <v>5</v>
      </c>
      <c r="AQ366">
        <f t="shared" si="71"/>
        <v>0</v>
      </c>
      <c r="AR366">
        <f t="shared" si="72"/>
        <v>2</v>
      </c>
      <c r="AS366">
        <f t="shared" si="73"/>
        <v>2</v>
      </c>
      <c r="AT366">
        <f t="shared" si="74"/>
        <v>1</v>
      </c>
      <c r="AU366">
        <f t="shared" si="75"/>
        <v>0</v>
      </c>
      <c r="AV366">
        <f t="shared" si="76"/>
        <v>0</v>
      </c>
      <c r="AW366">
        <f t="shared" si="77"/>
        <v>0</v>
      </c>
      <c r="AX366">
        <f t="shared" si="78"/>
        <v>0</v>
      </c>
      <c r="AY366">
        <f t="shared" si="79"/>
        <v>0</v>
      </c>
      <c r="AZ366">
        <f t="shared" si="80"/>
        <v>0</v>
      </c>
    </row>
    <row r="367" spans="38:52" x14ac:dyDescent="0.35">
      <c r="AL367" s="16" t="s">
        <v>266</v>
      </c>
      <c r="AM367">
        <f t="shared" si="67"/>
        <v>7</v>
      </c>
      <c r="AN367">
        <f t="shared" si="68"/>
        <v>7</v>
      </c>
      <c r="AO367">
        <f t="shared" si="69"/>
        <v>7</v>
      </c>
      <c r="AP367">
        <f t="shared" si="70"/>
        <v>7</v>
      </c>
      <c r="AQ367">
        <f t="shared" si="71"/>
        <v>1</v>
      </c>
      <c r="AR367">
        <f t="shared" si="72"/>
        <v>3</v>
      </c>
      <c r="AS367">
        <f t="shared" si="73"/>
        <v>5</v>
      </c>
      <c r="AT367">
        <f t="shared" si="74"/>
        <v>7</v>
      </c>
      <c r="AU367">
        <f t="shared" si="75"/>
        <v>0</v>
      </c>
      <c r="AV367">
        <f t="shared" si="76"/>
        <v>0</v>
      </c>
      <c r="AW367">
        <f t="shared" si="77"/>
        <v>0</v>
      </c>
      <c r="AX367">
        <f t="shared" si="78"/>
        <v>0</v>
      </c>
      <c r="AY367">
        <f t="shared" si="79"/>
        <v>0</v>
      </c>
      <c r="AZ367">
        <f t="shared" si="80"/>
        <v>0</v>
      </c>
    </row>
    <row r="368" spans="38:52" x14ac:dyDescent="0.35">
      <c r="AL368" s="16" t="s">
        <v>267</v>
      </c>
      <c r="AM368">
        <f t="shared" si="67"/>
        <v>0</v>
      </c>
      <c r="AN368">
        <f t="shared" si="68"/>
        <v>0</v>
      </c>
      <c r="AO368">
        <f t="shared" si="69"/>
        <v>0</v>
      </c>
      <c r="AP368">
        <f t="shared" si="70"/>
        <v>0</v>
      </c>
      <c r="AQ368">
        <f t="shared" si="71"/>
        <v>0</v>
      </c>
      <c r="AR368">
        <f t="shared" si="72"/>
        <v>0</v>
      </c>
      <c r="AS368">
        <f t="shared" si="73"/>
        <v>0</v>
      </c>
      <c r="AT368">
        <f t="shared" si="74"/>
        <v>0</v>
      </c>
      <c r="AU368">
        <f t="shared" si="75"/>
        <v>0</v>
      </c>
      <c r="AV368">
        <f t="shared" si="76"/>
        <v>0</v>
      </c>
      <c r="AW368">
        <f t="shared" si="77"/>
        <v>0</v>
      </c>
      <c r="AX368">
        <f t="shared" si="78"/>
        <v>0</v>
      </c>
      <c r="AY368">
        <f t="shared" si="79"/>
        <v>0</v>
      </c>
      <c r="AZ368">
        <f t="shared" si="80"/>
        <v>0</v>
      </c>
    </row>
    <row r="369" spans="38:52" x14ac:dyDescent="0.35">
      <c r="AL369" s="16" t="s">
        <v>268</v>
      </c>
      <c r="AM369">
        <f t="shared" si="67"/>
        <v>2</v>
      </c>
      <c r="AN369">
        <f t="shared" si="68"/>
        <v>6</v>
      </c>
      <c r="AO369">
        <f t="shared" si="69"/>
        <v>5</v>
      </c>
      <c r="AP369">
        <f t="shared" si="70"/>
        <v>3</v>
      </c>
      <c r="AQ369">
        <f t="shared" si="71"/>
        <v>0</v>
      </c>
      <c r="AR369">
        <f t="shared" si="72"/>
        <v>0</v>
      </c>
      <c r="AS369">
        <f t="shared" si="73"/>
        <v>6</v>
      </c>
      <c r="AT369">
        <f t="shared" si="74"/>
        <v>6</v>
      </c>
      <c r="AU369">
        <f t="shared" si="75"/>
        <v>0</v>
      </c>
      <c r="AV369">
        <f t="shared" si="76"/>
        <v>0</v>
      </c>
      <c r="AW369">
        <f t="shared" si="77"/>
        <v>0</v>
      </c>
      <c r="AX369">
        <f t="shared" si="78"/>
        <v>0</v>
      </c>
      <c r="AY369">
        <f t="shared" si="79"/>
        <v>0</v>
      </c>
      <c r="AZ369">
        <f t="shared" si="80"/>
        <v>0</v>
      </c>
    </row>
    <row r="370" spans="38:52" x14ac:dyDescent="0.35">
      <c r="AL370" s="16" t="s">
        <v>269</v>
      </c>
      <c r="AM370">
        <f t="shared" si="67"/>
        <v>7</v>
      </c>
      <c r="AN370">
        <f t="shared" si="68"/>
        <v>7</v>
      </c>
      <c r="AO370">
        <f t="shared" si="69"/>
        <v>7</v>
      </c>
      <c r="AP370">
        <f t="shared" si="70"/>
        <v>6</v>
      </c>
      <c r="AQ370">
        <f t="shared" si="71"/>
        <v>3</v>
      </c>
      <c r="AR370">
        <f t="shared" si="72"/>
        <v>6</v>
      </c>
      <c r="AS370">
        <f t="shared" si="73"/>
        <v>7</v>
      </c>
      <c r="AT370">
        <f t="shared" si="74"/>
        <v>6</v>
      </c>
      <c r="AU370">
        <f t="shared" si="75"/>
        <v>0</v>
      </c>
      <c r="AV370">
        <f t="shared" si="76"/>
        <v>0</v>
      </c>
      <c r="AW370">
        <f t="shared" si="77"/>
        <v>0</v>
      </c>
      <c r="AX370">
        <f t="shared" si="78"/>
        <v>0</v>
      </c>
      <c r="AY370">
        <f t="shared" si="79"/>
        <v>0</v>
      </c>
      <c r="AZ370">
        <f t="shared" si="80"/>
        <v>0</v>
      </c>
    </row>
    <row r="371" spans="38:52" x14ac:dyDescent="0.35">
      <c r="AL371" s="16" t="s">
        <v>270</v>
      </c>
      <c r="AM371">
        <f t="shared" si="67"/>
        <v>0</v>
      </c>
      <c r="AN371">
        <f t="shared" si="68"/>
        <v>0</v>
      </c>
      <c r="AO371">
        <f t="shared" si="69"/>
        <v>0</v>
      </c>
      <c r="AP371">
        <f t="shared" si="70"/>
        <v>0</v>
      </c>
      <c r="AQ371">
        <f t="shared" si="71"/>
        <v>0</v>
      </c>
      <c r="AR371">
        <f t="shared" si="72"/>
        <v>0</v>
      </c>
      <c r="AS371">
        <f t="shared" si="73"/>
        <v>0</v>
      </c>
      <c r="AT371">
        <f t="shared" si="74"/>
        <v>0</v>
      </c>
      <c r="AU371">
        <f t="shared" si="75"/>
        <v>0</v>
      </c>
      <c r="AV371">
        <f t="shared" si="76"/>
        <v>0</v>
      </c>
      <c r="AW371">
        <f t="shared" si="77"/>
        <v>0</v>
      </c>
      <c r="AX371">
        <f t="shared" si="78"/>
        <v>0</v>
      </c>
      <c r="AY371">
        <f t="shared" si="79"/>
        <v>0</v>
      </c>
      <c r="AZ371">
        <f t="shared" si="80"/>
        <v>0</v>
      </c>
    </row>
    <row r="372" spans="38:52" x14ac:dyDescent="0.35">
      <c r="AL372" s="16" t="s">
        <v>271</v>
      </c>
      <c r="AM372">
        <f t="shared" si="67"/>
        <v>5</v>
      </c>
      <c r="AN372">
        <f t="shared" si="68"/>
        <v>6</v>
      </c>
      <c r="AO372">
        <f t="shared" si="69"/>
        <v>7</v>
      </c>
      <c r="AP372">
        <f t="shared" si="70"/>
        <v>7</v>
      </c>
      <c r="AQ372">
        <f t="shared" si="71"/>
        <v>0</v>
      </c>
      <c r="AR372">
        <f t="shared" si="72"/>
        <v>7</v>
      </c>
      <c r="AS372">
        <f t="shared" si="73"/>
        <v>7</v>
      </c>
      <c r="AT372">
        <f t="shared" si="74"/>
        <v>7</v>
      </c>
      <c r="AU372">
        <f t="shared" si="75"/>
        <v>0</v>
      </c>
      <c r="AV372">
        <f t="shared" si="76"/>
        <v>0</v>
      </c>
      <c r="AW372">
        <f t="shared" si="77"/>
        <v>0</v>
      </c>
      <c r="AX372">
        <f t="shared" si="78"/>
        <v>0</v>
      </c>
      <c r="AY372">
        <f t="shared" si="79"/>
        <v>0</v>
      </c>
      <c r="AZ372">
        <f t="shared" si="80"/>
        <v>0</v>
      </c>
    </row>
    <row r="373" spans="38:52" x14ac:dyDescent="0.35">
      <c r="AL373" s="16" t="s">
        <v>272</v>
      </c>
      <c r="AM373">
        <f t="shared" si="67"/>
        <v>3</v>
      </c>
      <c r="AN373">
        <f t="shared" si="68"/>
        <v>3</v>
      </c>
      <c r="AO373">
        <f t="shared" si="69"/>
        <v>0</v>
      </c>
      <c r="AP373">
        <f t="shared" si="70"/>
        <v>1</v>
      </c>
      <c r="AQ373">
        <f t="shared" si="71"/>
        <v>0</v>
      </c>
      <c r="AR373">
        <f t="shared" si="72"/>
        <v>0</v>
      </c>
      <c r="AS373">
        <f t="shared" si="73"/>
        <v>0</v>
      </c>
      <c r="AT373">
        <f t="shared" si="74"/>
        <v>0</v>
      </c>
      <c r="AU373">
        <f t="shared" si="75"/>
        <v>0</v>
      </c>
      <c r="AV373">
        <f t="shared" si="76"/>
        <v>0</v>
      </c>
      <c r="AW373">
        <f t="shared" si="77"/>
        <v>0</v>
      </c>
      <c r="AX373">
        <f t="shared" si="78"/>
        <v>0</v>
      </c>
      <c r="AY373">
        <f t="shared" si="79"/>
        <v>0</v>
      </c>
      <c r="AZ373">
        <f t="shared" si="80"/>
        <v>0</v>
      </c>
    </row>
    <row r="374" spans="38:52" x14ac:dyDescent="0.35">
      <c r="AL374" s="16" t="s">
        <v>273</v>
      </c>
      <c r="AM374">
        <f t="shared" si="67"/>
        <v>6</v>
      </c>
      <c r="AN374">
        <f t="shared" si="68"/>
        <v>7</v>
      </c>
      <c r="AO374">
        <f t="shared" si="69"/>
        <v>6</v>
      </c>
      <c r="AP374">
        <f t="shared" si="70"/>
        <v>4</v>
      </c>
      <c r="AQ374">
        <f t="shared" si="71"/>
        <v>0</v>
      </c>
      <c r="AR374">
        <f t="shared" si="72"/>
        <v>1</v>
      </c>
      <c r="AS374">
        <f t="shared" si="73"/>
        <v>3</v>
      </c>
      <c r="AT374">
        <f t="shared" si="74"/>
        <v>4</v>
      </c>
      <c r="AU374">
        <f t="shared" si="75"/>
        <v>0</v>
      </c>
      <c r="AV374">
        <f t="shared" si="76"/>
        <v>0</v>
      </c>
      <c r="AW374">
        <f t="shared" si="77"/>
        <v>0</v>
      </c>
      <c r="AX374">
        <f t="shared" si="78"/>
        <v>0</v>
      </c>
      <c r="AY374">
        <f t="shared" si="79"/>
        <v>0</v>
      </c>
      <c r="AZ374">
        <f t="shared" si="80"/>
        <v>0</v>
      </c>
    </row>
    <row r="375" spans="38:52" x14ac:dyDescent="0.35">
      <c r="AL375" s="16" t="s">
        <v>274</v>
      </c>
      <c r="AM375">
        <f t="shared" si="67"/>
        <v>7</v>
      </c>
      <c r="AN375">
        <f t="shared" si="68"/>
        <v>7</v>
      </c>
      <c r="AO375">
        <f t="shared" si="69"/>
        <v>7</v>
      </c>
      <c r="AP375">
        <f t="shared" si="70"/>
        <v>5</v>
      </c>
      <c r="AQ375">
        <f t="shared" si="71"/>
        <v>1</v>
      </c>
      <c r="AR375">
        <f t="shared" si="72"/>
        <v>7</v>
      </c>
      <c r="AS375">
        <f t="shared" si="73"/>
        <v>5</v>
      </c>
      <c r="AT375">
        <f t="shared" si="74"/>
        <v>4</v>
      </c>
      <c r="AU375">
        <f t="shared" si="75"/>
        <v>0</v>
      </c>
      <c r="AV375">
        <f t="shared" si="76"/>
        <v>0</v>
      </c>
      <c r="AW375">
        <f t="shared" si="77"/>
        <v>0</v>
      </c>
      <c r="AX375">
        <f t="shared" si="78"/>
        <v>0</v>
      </c>
      <c r="AY375">
        <f t="shared" si="79"/>
        <v>0</v>
      </c>
      <c r="AZ375">
        <f t="shared" si="80"/>
        <v>0</v>
      </c>
    </row>
    <row r="376" spans="38:52" x14ac:dyDescent="0.35">
      <c r="AL376" s="16" t="s">
        <v>275</v>
      </c>
      <c r="AM376">
        <f t="shared" si="67"/>
        <v>7</v>
      </c>
      <c r="AN376">
        <f t="shared" si="68"/>
        <v>7</v>
      </c>
      <c r="AO376">
        <f t="shared" si="69"/>
        <v>5</v>
      </c>
      <c r="AP376">
        <f t="shared" si="70"/>
        <v>5</v>
      </c>
      <c r="AQ376">
        <f t="shared" si="71"/>
        <v>2</v>
      </c>
      <c r="AR376">
        <f t="shared" si="72"/>
        <v>4</v>
      </c>
      <c r="AS376">
        <f t="shared" si="73"/>
        <v>6</v>
      </c>
      <c r="AT376">
        <f t="shared" si="74"/>
        <v>6</v>
      </c>
      <c r="AU376">
        <f t="shared" si="75"/>
        <v>0</v>
      </c>
      <c r="AV376">
        <f t="shared" si="76"/>
        <v>0</v>
      </c>
      <c r="AW376">
        <f t="shared" si="77"/>
        <v>0</v>
      </c>
      <c r="AX376">
        <f t="shared" si="78"/>
        <v>0</v>
      </c>
      <c r="AY376">
        <f t="shared" si="79"/>
        <v>0</v>
      </c>
      <c r="AZ376">
        <f t="shared" si="80"/>
        <v>0</v>
      </c>
    </row>
    <row r="377" spans="38:52" x14ac:dyDescent="0.35">
      <c r="AL377" s="16" t="s">
        <v>276</v>
      </c>
      <c r="AM377">
        <f t="shared" si="67"/>
        <v>5</v>
      </c>
      <c r="AN377">
        <f t="shared" si="68"/>
        <v>5</v>
      </c>
      <c r="AO377">
        <f t="shared" si="69"/>
        <v>6</v>
      </c>
      <c r="AP377">
        <f t="shared" si="70"/>
        <v>3</v>
      </c>
      <c r="AQ377">
        <f t="shared" si="71"/>
        <v>0</v>
      </c>
      <c r="AR377">
        <f t="shared" si="72"/>
        <v>5</v>
      </c>
      <c r="AS377">
        <f t="shared" si="73"/>
        <v>5</v>
      </c>
      <c r="AT377">
        <f t="shared" si="74"/>
        <v>7</v>
      </c>
      <c r="AU377">
        <f t="shared" si="75"/>
        <v>0</v>
      </c>
      <c r="AV377">
        <f t="shared" si="76"/>
        <v>0</v>
      </c>
      <c r="AW377">
        <f t="shared" si="77"/>
        <v>0</v>
      </c>
      <c r="AX377">
        <f t="shared" si="78"/>
        <v>0</v>
      </c>
      <c r="AY377">
        <f t="shared" si="79"/>
        <v>0</v>
      </c>
      <c r="AZ377">
        <f t="shared" si="80"/>
        <v>0</v>
      </c>
    </row>
    <row r="378" spans="38:52" x14ac:dyDescent="0.35">
      <c r="AL378" s="16" t="s">
        <v>277</v>
      </c>
      <c r="AM378">
        <f t="shared" si="67"/>
        <v>3</v>
      </c>
      <c r="AN378">
        <f t="shared" si="68"/>
        <v>1</v>
      </c>
      <c r="AO378">
        <f t="shared" si="69"/>
        <v>0</v>
      </c>
      <c r="AP378">
        <f t="shared" si="70"/>
        <v>3</v>
      </c>
      <c r="AQ378">
        <f t="shared" si="71"/>
        <v>0</v>
      </c>
      <c r="AR378">
        <f t="shared" si="72"/>
        <v>0</v>
      </c>
      <c r="AS378">
        <f t="shared" si="73"/>
        <v>1</v>
      </c>
      <c r="AT378">
        <f t="shared" si="74"/>
        <v>0</v>
      </c>
      <c r="AU378">
        <f t="shared" si="75"/>
        <v>0</v>
      </c>
      <c r="AV378">
        <f t="shared" si="76"/>
        <v>0</v>
      </c>
      <c r="AW378">
        <f t="shared" si="77"/>
        <v>0</v>
      </c>
      <c r="AX378">
        <f t="shared" si="78"/>
        <v>0</v>
      </c>
      <c r="AY378">
        <f t="shared" si="79"/>
        <v>0</v>
      </c>
      <c r="AZ378">
        <f t="shared" si="80"/>
        <v>0</v>
      </c>
    </row>
    <row r="379" spans="38:52" x14ac:dyDescent="0.35">
      <c r="AL379" s="16" t="s">
        <v>278</v>
      </c>
      <c r="AM379">
        <f t="shared" si="67"/>
        <v>0</v>
      </c>
      <c r="AN379">
        <f t="shared" si="68"/>
        <v>0</v>
      </c>
      <c r="AO379">
        <f t="shared" si="69"/>
        <v>0</v>
      </c>
      <c r="AP379">
        <f t="shared" si="70"/>
        <v>0</v>
      </c>
      <c r="AQ379">
        <f t="shared" si="71"/>
        <v>0</v>
      </c>
      <c r="AR379">
        <f t="shared" si="72"/>
        <v>0</v>
      </c>
      <c r="AS379">
        <f t="shared" si="73"/>
        <v>0</v>
      </c>
      <c r="AT379">
        <f t="shared" si="74"/>
        <v>0</v>
      </c>
      <c r="AU379">
        <f t="shared" si="75"/>
        <v>0</v>
      </c>
      <c r="AV379">
        <f t="shared" si="76"/>
        <v>0</v>
      </c>
      <c r="AW379">
        <f t="shared" si="77"/>
        <v>0</v>
      </c>
      <c r="AX379">
        <f t="shared" si="78"/>
        <v>0</v>
      </c>
      <c r="AY379">
        <f t="shared" si="79"/>
        <v>0</v>
      </c>
      <c r="AZ379">
        <f t="shared" si="80"/>
        <v>0</v>
      </c>
    </row>
    <row r="380" spans="38:52" x14ac:dyDescent="0.35">
      <c r="AL380" s="16" t="s">
        <v>279</v>
      </c>
      <c r="AM380">
        <f t="shared" si="67"/>
        <v>2</v>
      </c>
      <c r="AN380">
        <f t="shared" si="68"/>
        <v>0</v>
      </c>
      <c r="AO380">
        <f t="shared" si="69"/>
        <v>0</v>
      </c>
      <c r="AP380">
        <f t="shared" si="70"/>
        <v>0</v>
      </c>
      <c r="AQ380">
        <f t="shared" si="71"/>
        <v>0</v>
      </c>
      <c r="AR380">
        <f t="shared" si="72"/>
        <v>2</v>
      </c>
      <c r="AS380">
        <f t="shared" si="73"/>
        <v>4</v>
      </c>
      <c r="AT380">
        <f t="shared" si="74"/>
        <v>3</v>
      </c>
      <c r="AU380">
        <f t="shared" si="75"/>
        <v>0</v>
      </c>
      <c r="AV380">
        <f t="shared" si="76"/>
        <v>0</v>
      </c>
      <c r="AW380">
        <f t="shared" si="77"/>
        <v>0</v>
      </c>
      <c r="AX380">
        <f t="shared" si="78"/>
        <v>0</v>
      </c>
      <c r="AY380">
        <f t="shared" si="79"/>
        <v>0</v>
      </c>
      <c r="AZ380">
        <f t="shared" si="80"/>
        <v>0</v>
      </c>
    </row>
    <row r="381" spans="38:52" x14ac:dyDescent="0.35">
      <c r="AL381" s="16" t="s">
        <v>280</v>
      </c>
      <c r="AM381">
        <f t="shared" si="67"/>
        <v>3</v>
      </c>
      <c r="AN381">
        <f t="shared" si="68"/>
        <v>5</v>
      </c>
      <c r="AO381">
        <f t="shared" si="69"/>
        <v>4</v>
      </c>
      <c r="AP381">
        <f t="shared" si="70"/>
        <v>3</v>
      </c>
      <c r="AQ381">
        <f t="shared" si="71"/>
        <v>2</v>
      </c>
      <c r="AR381">
        <f t="shared" si="72"/>
        <v>2</v>
      </c>
      <c r="AS381">
        <f t="shared" si="73"/>
        <v>7</v>
      </c>
      <c r="AT381">
        <f t="shared" si="74"/>
        <v>5</v>
      </c>
      <c r="AU381">
        <f t="shared" si="75"/>
        <v>0</v>
      </c>
      <c r="AV381">
        <f t="shared" si="76"/>
        <v>0</v>
      </c>
      <c r="AW381">
        <f t="shared" si="77"/>
        <v>0</v>
      </c>
      <c r="AX381">
        <f t="shared" si="78"/>
        <v>0</v>
      </c>
      <c r="AY381">
        <f t="shared" si="79"/>
        <v>0</v>
      </c>
      <c r="AZ381">
        <f t="shared" si="80"/>
        <v>0</v>
      </c>
    </row>
    <row r="382" spans="38:52" x14ac:dyDescent="0.35">
      <c r="AL382" s="16" t="s">
        <v>281</v>
      </c>
      <c r="AM382">
        <f t="shared" si="67"/>
        <v>2</v>
      </c>
      <c r="AN382">
        <f t="shared" si="68"/>
        <v>6</v>
      </c>
      <c r="AO382">
        <f t="shared" si="69"/>
        <v>4</v>
      </c>
      <c r="AP382">
        <f t="shared" si="70"/>
        <v>3</v>
      </c>
      <c r="AQ382">
        <f t="shared" si="71"/>
        <v>0</v>
      </c>
      <c r="AR382">
        <f t="shared" si="72"/>
        <v>1</v>
      </c>
      <c r="AS382">
        <f t="shared" si="73"/>
        <v>3</v>
      </c>
      <c r="AT382">
        <f t="shared" si="74"/>
        <v>0</v>
      </c>
      <c r="AU382">
        <f t="shared" si="75"/>
        <v>0</v>
      </c>
      <c r="AV382">
        <f t="shared" si="76"/>
        <v>0</v>
      </c>
      <c r="AW382">
        <f t="shared" si="77"/>
        <v>0</v>
      </c>
      <c r="AX382">
        <f t="shared" si="78"/>
        <v>0</v>
      </c>
      <c r="AY382">
        <f t="shared" si="79"/>
        <v>0</v>
      </c>
      <c r="AZ382">
        <f t="shared" si="80"/>
        <v>0</v>
      </c>
    </row>
    <row r="383" spans="38:52" x14ac:dyDescent="0.35">
      <c r="AL383" s="16" t="s">
        <v>282</v>
      </c>
      <c r="AM383">
        <f t="shared" si="67"/>
        <v>0</v>
      </c>
      <c r="AN383">
        <f t="shared" si="68"/>
        <v>0</v>
      </c>
      <c r="AO383">
        <f t="shared" si="69"/>
        <v>0</v>
      </c>
      <c r="AP383">
        <f t="shared" si="70"/>
        <v>0</v>
      </c>
      <c r="AQ383">
        <f t="shared" si="71"/>
        <v>0</v>
      </c>
      <c r="AR383">
        <f t="shared" si="72"/>
        <v>0</v>
      </c>
      <c r="AS383">
        <f t="shared" si="73"/>
        <v>0</v>
      </c>
      <c r="AT383">
        <f t="shared" si="74"/>
        <v>0</v>
      </c>
      <c r="AU383">
        <f t="shared" si="75"/>
        <v>0</v>
      </c>
      <c r="AV383">
        <f t="shared" si="76"/>
        <v>0</v>
      </c>
      <c r="AW383">
        <f t="shared" si="77"/>
        <v>0</v>
      </c>
      <c r="AX383">
        <f t="shared" si="78"/>
        <v>0</v>
      </c>
      <c r="AY383">
        <f t="shared" si="79"/>
        <v>0</v>
      </c>
      <c r="AZ383">
        <f t="shared" si="80"/>
        <v>0</v>
      </c>
    </row>
    <row r="384" spans="38:52" x14ac:dyDescent="0.35">
      <c r="AL384" s="16" t="s">
        <v>283</v>
      </c>
      <c r="AM384">
        <f t="shared" si="67"/>
        <v>0</v>
      </c>
      <c r="AN384">
        <f t="shared" si="68"/>
        <v>0</v>
      </c>
      <c r="AO384">
        <f t="shared" si="69"/>
        <v>0</v>
      </c>
      <c r="AP384">
        <f t="shared" si="70"/>
        <v>0</v>
      </c>
      <c r="AQ384">
        <f t="shared" si="71"/>
        <v>0</v>
      </c>
      <c r="AR384">
        <f t="shared" si="72"/>
        <v>0</v>
      </c>
      <c r="AS384">
        <f t="shared" si="73"/>
        <v>0</v>
      </c>
      <c r="AT384">
        <f t="shared" si="74"/>
        <v>0</v>
      </c>
      <c r="AU384">
        <f t="shared" si="75"/>
        <v>0</v>
      </c>
      <c r="AV384">
        <f t="shared" si="76"/>
        <v>0</v>
      </c>
      <c r="AW384">
        <f t="shared" si="77"/>
        <v>0</v>
      </c>
      <c r="AX384">
        <f t="shared" si="78"/>
        <v>0</v>
      </c>
      <c r="AY384">
        <f t="shared" si="79"/>
        <v>0</v>
      </c>
      <c r="AZ384">
        <f t="shared" si="80"/>
        <v>0</v>
      </c>
    </row>
    <row r="385" spans="38:52" x14ac:dyDescent="0.35">
      <c r="AL385" s="16" t="s">
        <v>284</v>
      </c>
      <c r="AM385">
        <f t="shared" si="67"/>
        <v>3</v>
      </c>
      <c r="AN385">
        <f t="shared" si="68"/>
        <v>3</v>
      </c>
      <c r="AO385">
        <f t="shared" si="69"/>
        <v>2</v>
      </c>
      <c r="AP385">
        <f t="shared" si="70"/>
        <v>5</v>
      </c>
      <c r="AQ385">
        <f t="shared" si="71"/>
        <v>1</v>
      </c>
      <c r="AR385">
        <f t="shared" si="72"/>
        <v>3</v>
      </c>
      <c r="AS385">
        <f t="shared" si="73"/>
        <v>3</v>
      </c>
      <c r="AT385">
        <f t="shared" si="74"/>
        <v>5</v>
      </c>
      <c r="AU385">
        <f t="shared" si="75"/>
        <v>0</v>
      </c>
      <c r="AV385">
        <f t="shared" si="76"/>
        <v>0</v>
      </c>
      <c r="AW385">
        <f t="shared" si="77"/>
        <v>0</v>
      </c>
      <c r="AX385">
        <f t="shared" si="78"/>
        <v>0</v>
      </c>
      <c r="AY385">
        <f t="shared" si="79"/>
        <v>0</v>
      </c>
      <c r="AZ385">
        <f t="shared" si="80"/>
        <v>0</v>
      </c>
    </row>
    <row r="386" spans="38:52" x14ac:dyDescent="0.35">
      <c r="AL386" s="16" t="s">
        <v>285</v>
      </c>
      <c r="AM386">
        <f t="shared" si="67"/>
        <v>7</v>
      </c>
      <c r="AN386">
        <f t="shared" si="68"/>
        <v>7</v>
      </c>
      <c r="AO386">
        <f t="shared" si="69"/>
        <v>7</v>
      </c>
      <c r="AP386">
        <f t="shared" si="70"/>
        <v>4</v>
      </c>
      <c r="AQ386">
        <f t="shared" si="71"/>
        <v>0</v>
      </c>
      <c r="AR386">
        <f t="shared" si="72"/>
        <v>0</v>
      </c>
      <c r="AS386">
        <f t="shared" si="73"/>
        <v>3</v>
      </c>
      <c r="AT386">
        <f t="shared" si="74"/>
        <v>4</v>
      </c>
      <c r="AU386">
        <f t="shared" si="75"/>
        <v>0</v>
      </c>
      <c r="AV386">
        <f t="shared" si="76"/>
        <v>0</v>
      </c>
      <c r="AW386">
        <f t="shared" si="77"/>
        <v>0</v>
      </c>
      <c r="AX386">
        <f t="shared" si="78"/>
        <v>0</v>
      </c>
      <c r="AY386">
        <f t="shared" si="79"/>
        <v>0</v>
      </c>
      <c r="AZ386">
        <f t="shared" si="80"/>
        <v>0</v>
      </c>
    </row>
    <row r="387" spans="38:52" x14ac:dyDescent="0.35">
      <c r="AL387" s="16" t="s">
        <v>286</v>
      </c>
      <c r="AM387">
        <f t="shared" si="67"/>
        <v>5</v>
      </c>
      <c r="AN387">
        <f t="shared" si="68"/>
        <v>2</v>
      </c>
      <c r="AO387">
        <f t="shared" si="69"/>
        <v>2</v>
      </c>
      <c r="AP387">
        <f t="shared" si="70"/>
        <v>4</v>
      </c>
      <c r="AQ387">
        <f t="shared" si="71"/>
        <v>0</v>
      </c>
      <c r="AR387">
        <f t="shared" si="72"/>
        <v>3</v>
      </c>
      <c r="AS387">
        <f t="shared" si="73"/>
        <v>2</v>
      </c>
      <c r="AT387">
        <f t="shared" si="74"/>
        <v>1</v>
      </c>
      <c r="AU387">
        <f t="shared" si="75"/>
        <v>0</v>
      </c>
      <c r="AV387">
        <f t="shared" si="76"/>
        <v>0</v>
      </c>
      <c r="AW387">
        <f t="shared" si="77"/>
        <v>0</v>
      </c>
      <c r="AX387">
        <f t="shared" si="78"/>
        <v>0</v>
      </c>
      <c r="AY387">
        <f t="shared" si="79"/>
        <v>0</v>
      </c>
      <c r="AZ387">
        <f t="shared" si="80"/>
        <v>0</v>
      </c>
    </row>
    <row r="388" spans="38:52" x14ac:dyDescent="0.35">
      <c r="AL388" s="16" t="s">
        <v>287</v>
      </c>
      <c r="AM388">
        <f t="shared" si="67"/>
        <v>7</v>
      </c>
      <c r="AN388">
        <f t="shared" si="68"/>
        <v>7</v>
      </c>
      <c r="AO388">
        <f t="shared" si="69"/>
        <v>7</v>
      </c>
      <c r="AP388">
        <f t="shared" si="70"/>
        <v>7</v>
      </c>
      <c r="AQ388">
        <f t="shared" si="71"/>
        <v>5</v>
      </c>
      <c r="AR388">
        <f t="shared" si="72"/>
        <v>7</v>
      </c>
      <c r="AS388">
        <f t="shared" si="73"/>
        <v>7</v>
      </c>
      <c r="AT388">
        <f t="shared" si="74"/>
        <v>7</v>
      </c>
      <c r="AU388">
        <f t="shared" si="75"/>
        <v>0</v>
      </c>
      <c r="AV388">
        <f t="shared" si="76"/>
        <v>0</v>
      </c>
      <c r="AW388">
        <f t="shared" si="77"/>
        <v>0</v>
      </c>
      <c r="AX388">
        <f t="shared" si="78"/>
        <v>0</v>
      </c>
      <c r="AY388">
        <f t="shared" si="79"/>
        <v>0</v>
      </c>
      <c r="AZ388">
        <f t="shared" si="80"/>
        <v>0</v>
      </c>
    </row>
    <row r="389" spans="38:52" x14ac:dyDescent="0.35">
      <c r="AL389" s="16" t="s">
        <v>288</v>
      </c>
      <c r="AM389">
        <f t="shared" si="67"/>
        <v>5</v>
      </c>
      <c r="AN389">
        <f t="shared" si="68"/>
        <v>3</v>
      </c>
      <c r="AO389">
        <f t="shared" si="69"/>
        <v>3</v>
      </c>
      <c r="AP389">
        <f t="shared" si="70"/>
        <v>2</v>
      </c>
      <c r="AQ389">
        <f t="shared" si="71"/>
        <v>0</v>
      </c>
      <c r="AR389">
        <f t="shared" si="72"/>
        <v>0</v>
      </c>
      <c r="AS389">
        <f t="shared" si="73"/>
        <v>0</v>
      </c>
      <c r="AT389">
        <f t="shared" si="74"/>
        <v>0</v>
      </c>
      <c r="AU389">
        <f t="shared" si="75"/>
        <v>0</v>
      </c>
      <c r="AV389">
        <f t="shared" si="76"/>
        <v>0</v>
      </c>
      <c r="AW389">
        <f t="shared" si="77"/>
        <v>0</v>
      </c>
      <c r="AX389">
        <f t="shared" si="78"/>
        <v>0</v>
      </c>
      <c r="AY389">
        <f t="shared" si="79"/>
        <v>0</v>
      </c>
      <c r="AZ389">
        <f t="shared" si="80"/>
        <v>0</v>
      </c>
    </row>
    <row r="390" spans="38:52" x14ac:dyDescent="0.35">
      <c r="AL390" s="16" t="s">
        <v>289</v>
      </c>
      <c r="AM390">
        <f t="shared" si="67"/>
        <v>4</v>
      </c>
      <c r="AN390">
        <f t="shared" si="68"/>
        <v>6</v>
      </c>
      <c r="AO390">
        <f t="shared" si="69"/>
        <v>3</v>
      </c>
      <c r="AP390">
        <f t="shared" si="70"/>
        <v>3</v>
      </c>
      <c r="AQ390">
        <f t="shared" si="71"/>
        <v>0</v>
      </c>
      <c r="AR390">
        <f t="shared" si="72"/>
        <v>0</v>
      </c>
      <c r="AS390">
        <f t="shared" si="73"/>
        <v>2</v>
      </c>
      <c r="AT390">
        <f t="shared" si="74"/>
        <v>3</v>
      </c>
      <c r="AU390">
        <f t="shared" si="75"/>
        <v>0</v>
      </c>
      <c r="AV390">
        <f t="shared" si="76"/>
        <v>0</v>
      </c>
      <c r="AW390">
        <f t="shared" si="77"/>
        <v>0</v>
      </c>
      <c r="AX390">
        <f t="shared" si="78"/>
        <v>0</v>
      </c>
      <c r="AY390">
        <f t="shared" si="79"/>
        <v>0</v>
      </c>
      <c r="AZ390">
        <f t="shared" si="80"/>
        <v>0</v>
      </c>
    </row>
    <row r="391" spans="38:52" x14ac:dyDescent="0.35">
      <c r="AL391" s="16" t="s">
        <v>290</v>
      </c>
      <c r="AM391">
        <f t="shared" si="67"/>
        <v>2</v>
      </c>
      <c r="AN391">
        <f t="shared" si="68"/>
        <v>2</v>
      </c>
      <c r="AO391">
        <f t="shared" si="69"/>
        <v>1</v>
      </c>
      <c r="AP391">
        <f t="shared" si="70"/>
        <v>3</v>
      </c>
      <c r="AQ391">
        <f t="shared" si="71"/>
        <v>0</v>
      </c>
      <c r="AR391">
        <f t="shared" si="72"/>
        <v>0</v>
      </c>
      <c r="AS391">
        <f t="shared" si="73"/>
        <v>4</v>
      </c>
      <c r="AT391">
        <f t="shared" si="74"/>
        <v>6</v>
      </c>
      <c r="AU391">
        <f t="shared" si="75"/>
        <v>0</v>
      </c>
      <c r="AV391">
        <f t="shared" si="76"/>
        <v>0</v>
      </c>
      <c r="AW391">
        <f t="shared" si="77"/>
        <v>0</v>
      </c>
      <c r="AX391">
        <f t="shared" si="78"/>
        <v>0</v>
      </c>
      <c r="AY391">
        <f t="shared" si="79"/>
        <v>0</v>
      </c>
      <c r="AZ391">
        <f t="shared" si="80"/>
        <v>0</v>
      </c>
    </row>
    <row r="392" spans="38:52" x14ac:dyDescent="0.35">
      <c r="AL392" s="16" t="s">
        <v>291</v>
      </c>
      <c r="AM392">
        <f t="shared" si="67"/>
        <v>4</v>
      </c>
      <c r="AN392">
        <f t="shared" si="68"/>
        <v>7</v>
      </c>
      <c r="AO392">
        <f t="shared" si="69"/>
        <v>4</v>
      </c>
      <c r="AP392">
        <f t="shared" si="70"/>
        <v>6</v>
      </c>
      <c r="AQ392">
        <f t="shared" si="71"/>
        <v>0</v>
      </c>
      <c r="AR392">
        <f t="shared" si="72"/>
        <v>4</v>
      </c>
      <c r="AS392">
        <f t="shared" si="73"/>
        <v>6</v>
      </c>
      <c r="AT392">
        <f t="shared" si="74"/>
        <v>6</v>
      </c>
      <c r="AU392">
        <f t="shared" si="75"/>
        <v>0</v>
      </c>
      <c r="AV392">
        <f t="shared" si="76"/>
        <v>0</v>
      </c>
      <c r="AW392">
        <f t="shared" si="77"/>
        <v>0</v>
      </c>
      <c r="AX392">
        <f t="shared" si="78"/>
        <v>0</v>
      </c>
      <c r="AY392">
        <f t="shared" si="79"/>
        <v>0</v>
      </c>
      <c r="AZ392">
        <f t="shared" si="80"/>
        <v>0</v>
      </c>
    </row>
    <row r="393" spans="38:52" x14ac:dyDescent="0.35">
      <c r="AL393" s="16" t="s">
        <v>292</v>
      </c>
      <c r="AM393">
        <f t="shared" si="67"/>
        <v>7</v>
      </c>
      <c r="AN393">
        <f t="shared" si="68"/>
        <v>5</v>
      </c>
      <c r="AO393">
        <f t="shared" si="69"/>
        <v>2</v>
      </c>
      <c r="AP393">
        <f t="shared" si="70"/>
        <v>4</v>
      </c>
      <c r="AQ393">
        <f t="shared" si="71"/>
        <v>0</v>
      </c>
      <c r="AR393">
        <f t="shared" si="72"/>
        <v>5</v>
      </c>
      <c r="AS393">
        <f t="shared" si="73"/>
        <v>7</v>
      </c>
      <c r="AT393">
        <f t="shared" si="74"/>
        <v>3</v>
      </c>
      <c r="AU393">
        <f t="shared" si="75"/>
        <v>0</v>
      </c>
      <c r="AV393">
        <f t="shared" si="76"/>
        <v>0</v>
      </c>
      <c r="AW393">
        <f t="shared" si="77"/>
        <v>0</v>
      </c>
      <c r="AX393">
        <f t="shared" si="78"/>
        <v>0</v>
      </c>
      <c r="AY393">
        <f t="shared" si="79"/>
        <v>0</v>
      </c>
      <c r="AZ393">
        <f t="shared" si="80"/>
        <v>0</v>
      </c>
    </row>
    <row r="394" spans="38:52" x14ac:dyDescent="0.35">
      <c r="AL394" s="16" t="s">
        <v>293</v>
      </c>
      <c r="AM394">
        <f t="shared" si="67"/>
        <v>4</v>
      </c>
      <c r="AN394">
        <f t="shared" si="68"/>
        <v>4</v>
      </c>
      <c r="AO394">
        <f t="shared" si="69"/>
        <v>0</v>
      </c>
      <c r="AP394">
        <f t="shared" si="70"/>
        <v>0</v>
      </c>
      <c r="AQ394">
        <f t="shared" si="71"/>
        <v>0</v>
      </c>
      <c r="AR394">
        <f t="shared" si="72"/>
        <v>0</v>
      </c>
      <c r="AS394">
        <f t="shared" si="73"/>
        <v>0</v>
      </c>
      <c r="AT394">
        <f t="shared" si="74"/>
        <v>0</v>
      </c>
      <c r="AU394">
        <f t="shared" si="75"/>
        <v>0</v>
      </c>
      <c r="AV394">
        <f t="shared" si="76"/>
        <v>0</v>
      </c>
      <c r="AW394">
        <f t="shared" si="77"/>
        <v>0</v>
      </c>
      <c r="AX394">
        <f t="shared" si="78"/>
        <v>0</v>
      </c>
      <c r="AY394">
        <f t="shared" si="79"/>
        <v>0</v>
      </c>
      <c r="AZ394">
        <f t="shared" si="80"/>
        <v>0</v>
      </c>
    </row>
    <row r="395" spans="38:52" x14ac:dyDescent="0.35">
      <c r="AL395" s="16" t="s">
        <v>294</v>
      </c>
      <c r="AM395">
        <f t="shared" si="67"/>
        <v>7</v>
      </c>
      <c r="AN395">
        <f t="shared" si="68"/>
        <v>7</v>
      </c>
      <c r="AO395">
        <f t="shared" si="69"/>
        <v>7</v>
      </c>
      <c r="AP395">
        <f t="shared" si="70"/>
        <v>7</v>
      </c>
      <c r="AQ395">
        <f t="shared" si="71"/>
        <v>6</v>
      </c>
      <c r="AR395">
        <f t="shared" si="72"/>
        <v>7</v>
      </c>
      <c r="AS395">
        <f t="shared" si="73"/>
        <v>7</v>
      </c>
      <c r="AT395">
        <f t="shared" si="74"/>
        <v>7</v>
      </c>
      <c r="AU395">
        <f t="shared" si="75"/>
        <v>0</v>
      </c>
      <c r="AV395">
        <f t="shared" si="76"/>
        <v>0</v>
      </c>
      <c r="AW395">
        <f t="shared" si="77"/>
        <v>0</v>
      </c>
      <c r="AX395">
        <f t="shared" si="78"/>
        <v>0</v>
      </c>
      <c r="AY395">
        <f t="shared" si="79"/>
        <v>0</v>
      </c>
      <c r="AZ395">
        <f t="shared" si="80"/>
        <v>0</v>
      </c>
    </row>
    <row r="396" spans="38:52" x14ac:dyDescent="0.35">
      <c r="AL396" s="16" t="s">
        <v>295</v>
      </c>
      <c r="AM396">
        <f t="shared" si="67"/>
        <v>7</v>
      </c>
      <c r="AN396">
        <f t="shared" si="68"/>
        <v>5</v>
      </c>
      <c r="AO396">
        <f t="shared" si="69"/>
        <v>5</v>
      </c>
      <c r="AP396">
        <f t="shared" si="70"/>
        <v>4</v>
      </c>
      <c r="AQ396">
        <f t="shared" si="71"/>
        <v>1</v>
      </c>
      <c r="AR396">
        <f t="shared" si="72"/>
        <v>3</v>
      </c>
      <c r="AS396">
        <f t="shared" si="73"/>
        <v>4</v>
      </c>
      <c r="AT396">
        <f t="shared" si="74"/>
        <v>4</v>
      </c>
      <c r="AU396">
        <f t="shared" si="75"/>
        <v>0</v>
      </c>
      <c r="AV396">
        <f t="shared" si="76"/>
        <v>0</v>
      </c>
      <c r="AW396">
        <f t="shared" si="77"/>
        <v>0</v>
      </c>
      <c r="AX396">
        <f t="shared" si="78"/>
        <v>0</v>
      </c>
      <c r="AY396">
        <f t="shared" si="79"/>
        <v>0</v>
      </c>
      <c r="AZ396">
        <f t="shared" si="80"/>
        <v>0</v>
      </c>
    </row>
    <row r="397" spans="38:52" x14ac:dyDescent="0.35">
      <c r="AL397" s="16" t="s">
        <v>296</v>
      </c>
      <c r="AM397">
        <f t="shared" si="67"/>
        <v>0</v>
      </c>
      <c r="AN397">
        <f t="shared" si="68"/>
        <v>0</v>
      </c>
      <c r="AO397">
        <f t="shared" si="69"/>
        <v>0</v>
      </c>
      <c r="AP397">
        <f t="shared" si="70"/>
        <v>0</v>
      </c>
      <c r="AQ397">
        <f t="shared" si="71"/>
        <v>0</v>
      </c>
      <c r="AR397">
        <f t="shared" si="72"/>
        <v>0</v>
      </c>
      <c r="AS397">
        <f t="shared" si="73"/>
        <v>0</v>
      </c>
      <c r="AT397">
        <f t="shared" si="74"/>
        <v>0</v>
      </c>
      <c r="AU397">
        <f t="shared" si="75"/>
        <v>0</v>
      </c>
      <c r="AV397">
        <f t="shared" si="76"/>
        <v>0</v>
      </c>
      <c r="AW397">
        <f t="shared" si="77"/>
        <v>0</v>
      </c>
      <c r="AX397">
        <f t="shared" si="78"/>
        <v>0</v>
      </c>
      <c r="AY397">
        <f t="shared" si="79"/>
        <v>0</v>
      </c>
      <c r="AZ397">
        <f t="shared" si="80"/>
        <v>0</v>
      </c>
    </row>
    <row r="398" spans="38:52" x14ac:dyDescent="0.35">
      <c r="AL398" s="16" t="s">
        <v>297</v>
      </c>
      <c r="AM398">
        <f t="shared" si="67"/>
        <v>5</v>
      </c>
      <c r="AN398">
        <f t="shared" si="68"/>
        <v>4</v>
      </c>
      <c r="AO398">
        <f t="shared" si="69"/>
        <v>7</v>
      </c>
      <c r="AP398">
        <f t="shared" si="70"/>
        <v>4</v>
      </c>
      <c r="AQ398">
        <f t="shared" si="71"/>
        <v>1</v>
      </c>
      <c r="AR398">
        <f t="shared" si="72"/>
        <v>4</v>
      </c>
      <c r="AS398">
        <f t="shared" si="73"/>
        <v>6</v>
      </c>
      <c r="AT398">
        <f t="shared" si="74"/>
        <v>5</v>
      </c>
      <c r="AU398">
        <f t="shared" si="75"/>
        <v>0</v>
      </c>
      <c r="AV398">
        <f t="shared" si="76"/>
        <v>0</v>
      </c>
      <c r="AW398">
        <f t="shared" si="77"/>
        <v>0</v>
      </c>
      <c r="AX398">
        <f t="shared" si="78"/>
        <v>0</v>
      </c>
      <c r="AY398">
        <f t="shared" si="79"/>
        <v>0</v>
      </c>
      <c r="AZ398">
        <f t="shared" si="80"/>
        <v>0</v>
      </c>
    </row>
    <row r="399" spans="38:52" x14ac:dyDescent="0.35">
      <c r="AL399" s="16" t="s">
        <v>298</v>
      </c>
      <c r="AM399">
        <f t="shared" si="67"/>
        <v>0</v>
      </c>
      <c r="AN399">
        <f t="shared" si="68"/>
        <v>0</v>
      </c>
      <c r="AO399">
        <f t="shared" si="69"/>
        <v>0</v>
      </c>
      <c r="AP399">
        <f t="shared" si="70"/>
        <v>0</v>
      </c>
      <c r="AQ399">
        <f t="shared" si="71"/>
        <v>0</v>
      </c>
      <c r="AR399">
        <f t="shared" si="72"/>
        <v>0</v>
      </c>
      <c r="AS399">
        <f t="shared" si="73"/>
        <v>0</v>
      </c>
      <c r="AT399">
        <f t="shared" si="74"/>
        <v>0</v>
      </c>
      <c r="AU399">
        <f t="shared" si="75"/>
        <v>0</v>
      </c>
      <c r="AV399">
        <f t="shared" si="76"/>
        <v>0</v>
      </c>
      <c r="AW399">
        <f t="shared" si="77"/>
        <v>0</v>
      </c>
      <c r="AX399">
        <f t="shared" si="78"/>
        <v>0</v>
      </c>
      <c r="AY399">
        <f t="shared" si="79"/>
        <v>0</v>
      </c>
      <c r="AZ399">
        <f t="shared" si="80"/>
        <v>0</v>
      </c>
    </row>
    <row r="400" spans="38:52" x14ac:dyDescent="0.35">
      <c r="AL400" s="16" t="s">
        <v>299</v>
      </c>
      <c r="AM400">
        <f t="shared" si="67"/>
        <v>0</v>
      </c>
      <c r="AN400">
        <f t="shared" si="68"/>
        <v>0</v>
      </c>
      <c r="AO400">
        <f t="shared" si="69"/>
        <v>0</v>
      </c>
      <c r="AP400">
        <f t="shared" si="70"/>
        <v>0</v>
      </c>
      <c r="AQ400">
        <f t="shared" si="71"/>
        <v>0</v>
      </c>
      <c r="AR400">
        <f t="shared" si="72"/>
        <v>0</v>
      </c>
      <c r="AS400">
        <f t="shared" si="73"/>
        <v>0</v>
      </c>
      <c r="AT400">
        <f t="shared" si="74"/>
        <v>0</v>
      </c>
      <c r="AU400">
        <f t="shared" si="75"/>
        <v>0</v>
      </c>
      <c r="AV400">
        <f t="shared" si="76"/>
        <v>0</v>
      </c>
      <c r="AW400">
        <f t="shared" si="77"/>
        <v>0</v>
      </c>
      <c r="AX400">
        <f t="shared" si="78"/>
        <v>0</v>
      </c>
      <c r="AY400">
        <f t="shared" si="79"/>
        <v>0</v>
      </c>
      <c r="AZ400">
        <f t="shared" si="80"/>
        <v>0</v>
      </c>
    </row>
    <row r="401" spans="38:52" x14ac:dyDescent="0.35">
      <c r="AL401" s="16" t="s">
        <v>300</v>
      </c>
      <c r="AM401">
        <f t="shared" si="67"/>
        <v>7</v>
      </c>
      <c r="AN401">
        <f t="shared" si="68"/>
        <v>7</v>
      </c>
      <c r="AO401">
        <f t="shared" si="69"/>
        <v>6</v>
      </c>
      <c r="AP401">
        <f t="shared" si="70"/>
        <v>6</v>
      </c>
      <c r="AQ401">
        <f t="shared" si="71"/>
        <v>0</v>
      </c>
      <c r="AR401">
        <f t="shared" si="72"/>
        <v>2</v>
      </c>
      <c r="AS401">
        <f t="shared" si="73"/>
        <v>7</v>
      </c>
      <c r="AT401">
        <f t="shared" si="74"/>
        <v>5</v>
      </c>
      <c r="AU401">
        <f t="shared" si="75"/>
        <v>0</v>
      </c>
      <c r="AV401">
        <f t="shared" si="76"/>
        <v>0</v>
      </c>
      <c r="AW401">
        <f t="shared" si="77"/>
        <v>0</v>
      </c>
      <c r="AX401">
        <f t="shared" si="78"/>
        <v>0</v>
      </c>
      <c r="AY401">
        <f t="shared" si="79"/>
        <v>0</v>
      </c>
      <c r="AZ401">
        <f t="shared" si="80"/>
        <v>0</v>
      </c>
    </row>
    <row r="402" spans="38:52" x14ac:dyDescent="0.35">
      <c r="AL402" s="16" t="s">
        <v>301</v>
      </c>
      <c r="AM402">
        <f t="shared" si="67"/>
        <v>6</v>
      </c>
      <c r="AN402">
        <f t="shared" si="68"/>
        <v>7</v>
      </c>
      <c r="AO402">
        <f t="shared" si="69"/>
        <v>3</v>
      </c>
      <c r="AP402">
        <f t="shared" si="70"/>
        <v>5</v>
      </c>
      <c r="AQ402">
        <f t="shared" si="71"/>
        <v>0</v>
      </c>
      <c r="AR402">
        <f t="shared" si="72"/>
        <v>4</v>
      </c>
      <c r="AS402">
        <f t="shared" si="73"/>
        <v>3</v>
      </c>
      <c r="AT402">
        <f t="shared" si="74"/>
        <v>4</v>
      </c>
      <c r="AU402">
        <f t="shared" si="75"/>
        <v>0</v>
      </c>
      <c r="AV402">
        <f t="shared" si="76"/>
        <v>0</v>
      </c>
      <c r="AW402">
        <f t="shared" si="77"/>
        <v>0</v>
      </c>
      <c r="AX402">
        <f t="shared" si="78"/>
        <v>0</v>
      </c>
      <c r="AY402">
        <f t="shared" si="79"/>
        <v>0</v>
      </c>
      <c r="AZ402">
        <f t="shared" si="80"/>
        <v>0</v>
      </c>
    </row>
    <row r="403" spans="38:52" x14ac:dyDescent="0.35">
      <c r="AL403" s="16" t="s">
        <v>302</v>
      </c>
      <c r="AM403">
        <f t="shared" si="67"/>
        <v>5</v>
      </c>
      <c r="AN403">
        <f t="shared" si="68"/>
        <v>6</v>
      </c>
      <c r="AO403">
        <f t="shared" si="69"/>
        <v>4</v>
      </c>
      <c r="AP403">
        <f t="shared" si="70"/>
        <v>2</v>
      </c>
      <c r="AQ403">
        <f t="shared" si="71"/>
        <v>0</v>
      </c>
      <c r="AR403">
        <f t="shared" si="72"/>
        <v>0</v>
      </c>
      <c r="AS403">
        <f t="shared" si="73"/>
        <v>2</v>
      </c>
      <c r="AT403">
        <f t="shared" si="74"/>
        <v>0</v>
      </c>
      <c r="AU403">
        <f t="shared" si="75"/>
        <v>0</v>
      </c>
      <c r="AV403">
        <f t="shared" si="76"/>
        <v>0</v>
      </c>
      <c r="AW403">
        <f t="shared" si="77"/>
        <v>0</v>
      </c>
      <c r="AX403">
        <f t="shared" si="78"/>
        <v>0</v>
      </c>
      <c r="AY403">
        <f t="shared" si="79"/>
        <v>0</v>
      </c>
      <c r="AZ403">
        <f t="shared" si="80"/>
        <v>0</v>
      </c>
    </row>
    <row r="404" spans="38:52" x14ac:dyDescent="0.35">
      <c r="AL404" s="16" t="s">
        <v>303</v>
      </c>
      <c r="AM404">
        <f t="shared" si="67"/>
        <v>7</v>
      </c>
      <c r="AN404">
        <f t="shared" si="68"/>
        <v>7</v>
      </c>
      <c r="AO404">
        <f t="shared" si="69"/>
        <v>5</v>
      </c>
      <c r="AP404">
        <f t="shared" si="70"/>
        <v>3</v>
      </c>
      <c r="AQ404">
        <f t="shared" si="71"/>
        <v>4</v>
      </c>
      <c r="AR404">
        <f t="shared" si="72"/>
        <v>6</v>
      </c>
      <c r="AS404">
        <f t="shared" si="73"/>
        <v>5</v>
      </c>
      <c r="AT404">
        <f t="shared" si="74"/>
        <v>4</v>
      </c>
      <c r="AU404">
        <f t="shared" si="75"/>
        <v>0</v>
      </c>
      <c r="AV404">
        <f t="shared" si="76"/>
        <v>0</v>
      </c>
      <c r="AW404">
        <f t="shared" si="77"/>
        <v>0</v>
      </c>
      <c r="AX404">
        <f t="shared" si="78"/>
        <v>0</v>
      </c>
      <c r="AY404">
        <f t="shared" si="79"/>
        <v>0</v>
      </c>
      <c r="AZ404">
        <f t="shared" si="80"/>
        <v>0</v>
      </c>
    </row>
    <row r="405" spans="38:52" x14ac:dyDescent="0.35">
      <c r="AL405" s="16" t="s">
        <v>304</v>
      </c>
      <c r="AM405">
        <f t="shared" si="67"/>
        <v>0</v>
      </c>
      <c r="AN405">
        <f t="shared" si="68"/>
        <v>2</v>
      </c>
      <c r="AO405">
        <f t="shared" si="69"/>
        <v>1</v>
      </c>
      <c r="AP405">
        <f t="shared" si="70"/>
        <v>0</v>
      </c>
      <c r="AQ405">
        <f t="shared" si="71"/>
        <v>0</v>
      </c>
      <c r="AR405">
        <f t="shared" si="72"/>
        <v>0</v>
      </c>
      <c r="AS405">
        <f t="shared" si="73"/>
        <v>1</v>
      </c>
      <c r="AT405">
        <f t="shared" si="74"/>
        <v>0</v>
      </c>
      <c r="AU405">
        <f t="shared" si="75"/>
        <v>0</v>
      </c>
      <c r="AV405">
        <f t="shared" si="76"/>
        <v>0</v>
      </c>
      <c r="AW405">
        <f t="shared" si="77"/>
        <v>0</v>
      </c>
      <c r="AX405">
        <f t="shared" si="78"/>
        <v>0</v>
      </c>
      <c r="AY405">
        <f t="shared" si="79"/>
        <v>0</v>
      </c>
      <c r="AZ405">
        <f t="shared" si="80"/>
        <v>0</v>
      </c>
    </row>
    <row r="406" spans="38:52" x14ac:dyDescent="0.35">
      <c r="AL406" s="16" t="s">
        <v>305</v>
      </c>
      <c r="AM406">
        <f t="shared" si="67"/>
        <v>0</v>
      </c>
      <c r="AN406">
        <f t="shared" si="68"/>
        <v>0</v>
      </c>
      <c r="AO406">
        <f t="shared" si="69"/>
        <v>0</v>
      </c>
      <c r="AP406">
        <f t="shared" si="70"/>
        <v>0</v>
      </c>
      <c r="AQ406">
        <f t="shared" si="71"/>
        <v>0</v>
      </c>
      <c r="AR406">
        <f t="shared" si="72"/>
        <v>0</v>
      </c>
      <c r="AS406">
        <f t="shared" si="73"/>
        <v>0</v>
      </c>
      <c r="AT406">
        <f t="shared" si="74"/>
        <v>0</v>
      </c>
      <c r="AU406">
        <f t="shared" si="75"/>
        <v>0</v>
      </c>
      <c r="AV406">
        <f t="shared" si="76"/>
        <v>0</v>
      </c>
      <c r="AW406">
        <f t="shared" si="77"/>
        <v>0</v>
      </c>
      <c r="AX406">
        <f t="shared" si="78"/>
        <v>0</v>
      </c>
      <c r="AY406">
        <f t="shared" si="79"/>
        <v>0</v>
      </c>
      <c r="AZ406">
        <f t="shared" si="80"/>
        <v>0</v>
      </c>
    </row>
    <row r="407" spans="38:52" x14ac:dyDescent="0.35">
      <c r="AL407" s="16" t="s">
        <v>306</v>
      </c>
      <c r="AM407">
        <f t="shared" si="67"/>
        <v>2</v>
      </c>
      <c r="AN407">
        <f t="shared" si="68"/>
        <v>0</v>
      </c>
      <c r="AO407">
        <f t="shared" si="69"/>
        <v>0</v>
      </c>
      <c r="AP407">
        <f t="shared" si="70"/>
        <v>0</v>
      </c>
      <c r="AQ407">
        <f t="shared" si="71"/>
        <v>0</v>
      </c>
      <c r="AR407">
        <f t="shared" si="72"/>
        <v>0</v>
      </c>
      <c r="AS407">
        <f t="shared" si="73"/>
        <v>3</v>
      </c>
      <c r="AT407">
        <f t="shared" si="74"/>
        <v>0</v>
      </c>
      <c r="AU407">
        <f t="shared" si="75"/>
        <v>0</v>
      </c>
      <c r="AV407">
        <f t="shared" si="76"/>
        <v>0</v>
      </c>
      <c r="AW407">
        <f t="shared" si="77"/>
        <v>0</v>
      </c>
      <c r="AX407">
        <f t="shared" si="78"/>
        <v>0</v>
      </c>
      <c r="AY407">
        <f t="shared" si="79"/>
        <v>0</v>
      </c>
      <c r="AZ407">
        <f t="shared" si="80"/>
        <v>0</v>
      </c>
    </row>
    <row r="408" spans="38:52" x14ac:dyDescent="0.35">
      <c r="AL408" s="16" t="s">
        <v>307</v>
      </c>
      <c r="AM408">
        <f t="shared" si="67"/>
        <v>7</v>
      </c>
      <c r="AN408">
        <f t="shared" si="68"/>
        <v>7</v>
      </c>
      <c r="AO408">
        <f t="shared" si="69"/>
        <v>7</v>
      </c>
      <c r="AP408">
        <f t="shared" si="70"/>
        <v>7</v>
      </c>
      <c r="AQ408">
        <f t="shared" si="71"/>
        <v>4</v>
      </c>
      <c r="AR408">
        <f t="shared" si="72"/>
        <v>7</v>
      </c>
      <c r="AS408">
        <f t="shared" si="73"/>
        <v>7</v>
      </c>
      <c r="AT408">
        <f t="shared" si="74"/>
        <v>7</v>
      </c>
      <c r="AU408">
        <f t="shared" si="75"/>
        <v>0</v>
      </c>
      <c r="AV408">
        <f t="shared" si="76"/>
        <v>0</v>
      </c>
      <c r="AW408">
        <f t="shared" si="77"/>
        <v>0</v>
      </c>
      <c r="AX408">
        <f t="shared" si="78"/>
        <v>0</v>
      </c>
      <c r="AY408">
        <f t="shared" si="79"/>
        <v>0</v>
      </c>
      <c r="AZ408">
        <f t="shared" si="80"/>
        <v>0</v>
      </c>
    </row>
    <row r="409" spans="38:52" x14ac:dyDescent="0.35">
      <c r="AL409" s="16" t="s">
        <v>308</v>
      </c>
      <c r="AM409">
        <f t="shared" si="67"/>
        <v>0</v>
      </c>
      <c r="AN409">
        <f t="shared" si="68"/>
        <v>1</v>
      </c>
      <c r="AO409">
        <f t="shared" si="69"/>
        <v>0</v>
      </c>
      <c r="AP409">
        <f t="shared" si="70"/>
        <v>1</v>
      </c>
      <c r="AQ409">
        <f t="shared" si="71"/>
        <v>0</v>
      </c>
      <c r="AR409">
        <f t="shared" si="72"/>
        <v>0</v>
      </c>
      <c r="AS409">
        <f t="shared" si="73"/>
        <v>0</v>
      </c>
      <c r="AT409">
        <f t="shared" si="74"/>
        <v>0</v>
      </c>
      <c r="AU409">
        <f t="shared" si="75"/>
        <v>0</v>
      </c>
      <c r="AV409">
        <f t="shared" si="76"/>
        <v>0</v>
      </c>
      <c r="AW409">
        <f t="shared" si="77"/>
        <v>0</v>
      </c>
      <c r="AX409">
        <f t="shared" si="78"/>
        <v>0</v>
      </c>
      <c r="AY409">
        <f t="shared" si="79"/>
        <v>0</v>
      </c>
      <c r="AZ409">
        <f t="shared" si="80"/>
        <v>0</v>
      </c>
    </row>
    <row r="410" spans="38:52" x14ac:dyDescent="0.35">
      <c r="AL410" s="16" t="s">
        <v>309</v>
      </c>
      <c r="AM410">
        <f>COUNTIF($AM126:$AS126,"&gt;=95%")</f>
        <v>7</v>
      </c>
      <c r="AN410">
        <f>COUNTIF($AU126:$BA126,"&gt;=95%")</f>
        <v>7</v>
      </c>
      <c r="AO410">
        <f t="shared" si="69"/>
        <v>7</v>
      </c>
      <c r="AP410">
        <f t="shared" si="70"/>
        <v>7</v>
      </c>
      <c r="AQ410">
        <f t="shared" si="71"/>
        <v>3</v>
      </c>
      <c r="AR410">
        <f t="shared" si="72"/>
        <v>7</v>
      </c>
      <c r="AS410">
        <f t="shared" si="73"/>
        <v>7</v>
      </c>
      <c r="AT410">
        <f t="shared" si="74"/>
        <v>7</v>
      </c>
      <c r="AU410">
        <f t="shared" si="75"/>
        <v>0</v>
      </c>
      <c r="AV410">
        <f t="shared" si="76"/>
        <v>0</v>
      </c>
      <c r="AW410">
        <f t="shared" si="77"/>
        <v>0</v>
      </c>
      <c r="AX410">
        <f t="shared" si="78"/>
        <v>0</v>
      </c>
      <c r="AY410">
        <f t="shared" si="79"/>
        <v>0</v>
      </c>
      <c r="AZ410">
        <f t="shared" si="80"/>
        <v>0</v>
      </c>
    </row>
    <row r="411" spans="38:52" x14ac:dyDescent="0.35">
      <c r="AL411" s="16" t="s">
        <v>310</v>
      </c>
      <c r="AM411">
        <f>COUNTIF($AM127:$AS127,"&gt;=95%")</f>
        <v>0</v>
      </c>
      <c r="AN411">
        <f t="shared" si="68"/>
        <v>1</v>
      </c>
      <c r="AO411">
        <f t="shared" si="69"/>
        <v>4</v>
      </c>
      <c r="AP411">
        <f t="shared" si="70"/>
        <v>1</v>
      </c>
      <c r="AQ411">
        <f t="shared" si="71"/>
        <v>0</v>
      </c>
      <c r="AR411">
        <f t="shared" si="72"/>
        <v>1</v>
      </c>
      <c r="AS411">
        <f t="shared" si="73"/>
        <v>4</v>
      </c>
      <c r="AT411">
        <f t="shared" si="74"/>
        <v>3</v>
      </c>
      <c r="AU411">
        <f t="shared" si="75"/>
        <v>0</v>
      </c>
      <c r="AV411">
        <f t="shared" si="76"/>
        <v>0</v>
      </c>
      <c r="AW411">
        <f t="shared" si="77"/>
        <v>0</v>
      </c>
      <c r="AX411">
        <f t="shared" si="78"/>
        <v>0</v>
      </c>
      <c r="AY411">
        <f t="shared" si="79"/>
        <v>0</v>
      </c>
      <c r="AZ411">
        <f t="shared" si="80"/>
        <v>0</v>
      </c>
    </row>
    <row r="412" spans="38:52" x14ac:dyDescent="0.35">
      <c r="AL412" s="16" t="s">
        <v>311</v>
      </c>
      <c r="AM412">
        <f>COUNTIF($AM128:$AS128,"&gt;=95%")</f>
        <v>1</v>
      </c>
      <c r="AN412">
        <f>COUNTIF($AU128:$BA128,"&gt;=95%")</f>
        <v>2</v>
      </c>
      <c r="AO412">
        <f t="shared" si="69"/>
        <v>0</v>
      </c>
      <c r="AP412">
        <f t="shared" si="70"/>
        <v>0</v>
      </c>
      <c r="AQ412">
        <f t="shared" si="71"/>
        <v>0</v>
      </c>
      <c r="AR412">
        <f t="shared" si="72"/>
        <v>0</v>
      </c>
      <c r="AS412">
        <f t="shared" si="73"/>
        <v>0</v>
      </c>
      <c r="AT412">
        <f t="shared" si="74"/>
        <v>2</v>
      </c>
      <c r="AU412">
        <f t="shared" si="75"/>
        <v>0</v>
      </c>
      <c r="AV412">
        <f t="shared" si="76"/>
        <v>0</v>
      </c>
      <c r="AW412">
        <f t="shared" si="77"/>
        <v>0</v>
      </c>
      <c r="AX412">
        <f t="shared" si="78"/>
        <v>0</v>
      </c>
      <c r="AY412">
        <f t="shared" si="79"/>
        <v>0</v>
      </c>
      <c r="AZ412">
        <f t="shared" si="80"/>
        <v>0</v>
      </c>
    </row>
    <row r="413" spans="38:52" x14ac:dyDescent="0.35">
      <c r="AL413" s="16" t="s">
        <v>312</v>
      </c>
      <c r="AM413">
        <f t="shared" si="67"/>
        <v>1</v>
      </c>
      <c r="AN413">
        <f>COUNTIF($AU129:$BA129,"&gt;=95%")</f>
        <v>0</v>
      </c>
      <c r="AO413">
        <f t="shared" si="69"/>
        <v>1</v>
      </c>
      <c r="AP413">
        <f t="shared" si="70"/>
        <v>0</v>
      </c>
      <c r="AQ413">
        <f t="shared" si="71"/>
        <v>0</v>
      </c>
      <c r="AR413">
        <f t="shared" si="72"/>
        <v>0</v>
      </c>
      <c r="AS413">
        <f t="shared" si="73"/>
        <v>1</v>
      </c>
      <c r="AT413">
        <f t="shared" si="74"/>
        <v>3</v>
      </c>
      <c r="AU413">
        <f t="shared" si="75"/>
        <v>0</v>
      </c>
      <c r="AV413">
        <f t="shared" si="76"/>
        <v>0</v>
      </c>
      <c r="AW413">
        <f t="shared" si="77"/>
        <v>0</v>
      </c>
      <c r="AX413">
        <f t="shared" si="78"/>
        <v>0</v>
      </c>
      <c r="AY413">
        <f t="shared" si="79"/>
        <v>0</v>
      </c>
      <c r="AZ413">
        <f t="shared" si="80"/>
        <v>0</v>
      </c>
    </row>
    <row r="414" spans="38:52" x14ac:dyDescent="0.35">
      <c r="AL414" s="16" t="s">
        <v>313</v>
      </c>
      <c r="AM414">
        <f t="shared" si="67"/>
        <v>0</v>
      </c>
      <c r="AN414">
        <f>COUNTIF($AU130:$BA130,"&gt;=95%")</f>
        <v>0</v>
      </c>
      <c r="AO414">
        <f t="shared" si="69"/>
        <v>0</v>
      </c>
      <c r="AP414">
        <f t="shared" si="70"/>
        <v>0</v>
      </c>
      <c r="AQ414">
        <f t="shared" si="71"/>
        <v>0</v>
      </c>
      <c r="AR414">
        <f t="shared" si="72"/>
        <v>0</v>
      </c>
      <c r="AS414">
        <f t="shared" si="73"/>
        <v>0</v>
      </c>
      <c r="AT414">
        <f t="shared" si="74"/>
        <v>0</v>
      </c>
      <c r="AU414">
        <f t="shared" si="75"/>
        <v>0</v>
      </c>
      <c r="AV414">
        <f t="shared" si="76"/>
        <v>0</v>
      </c>
      <c r="AW414">
        <f t="shared" si="77"/>
        <v>0</v>
      </c>
      <c r="AX414">
        <f t="shared" si="78"/>
        <v>0</v>
      </c>
      <c r="AY414">
        <f t="shared" si="79"/>
        <v>0</v>
      </c>
      <c r="AZ414">
        <f t="shared" si="80"/>
        <v>0</v>
      </c>
    </row>
    <row r="415" spans="38:52" x14ac:dyDescent="0.35">
      <c r="AL415" s="16" t="s">
        <v>314</v>
      </c>
      <c r="AM415">
        <f t="shared" si="67"/>
        <v>3</v>
      </c>
      <c r="AN415">
        <f>COUNTIF($AU131:$BA131,"&gt;=95%")</f>
        <v>3</v>
      </c>
      <c r="AO415">
        <f t="shared" si="69"/>
        <v>3</v>
      </c>
      <c r="AP415">
        <f t="shared" si="70"/>
        <v>2</v>
      </c>
      <c r="AQ415">
        <f t="shared" si="71"/>
        <v>0</v>
      </c>
      <c r="AR415">
        <f t="shared" si="72"/>
        <v>0</v>
      </c>
      <c r="AS415">
        <f t="shared" si="73"/>
        <v>2</v>
      </c>
      <c r="AT415">
        <f t="shared" si="74"/>
        <v>0</v>
      </c>
      <c r="AU415">
        <f t="shared" si="75"/>
        <v>0</v>
      </c>
      <c r="AV415">
        <f t="shared" si="76"/>
        <v>0</v>
      </c>
      <c r="AW415">
        <f t="shared" si="77"/>
        <v>0</v>
      </c>
      <c r="AX415">
        <f t="shared" si="78"/>
        <v>0</v>
      </c>
      <c r="AY415">
        <f t="shared" si="79"/>
        <v>0</v>
      </c>
      <c r="AZ415">
        <f t="shared" si="80"/>
        <v>0</v>
      </c>
    </row>
    <row r="416" spans="38:52" x14ac:dyDescent="0.35">
      <c r="AL416" s="16" t="s">
        <v>315</v>
      </c>
      <c r="AM416">
        <f t="shared" si="67"/>
        <v>0</v>
      </c>
      <c r="AN416">
        <f t="shared" si="68"/>
        <v>0</v>
      </c>
      <c r="AO416">
        <f t="shared" si="69"/>
        <v>0</v>
      </c>
      <c r="AP416">
        <f t="shared" si="70"/>
        <v>0</v>
      </c>
      <c r="AQ416">
        <f t="shared" si="71"/>
        <v>0</v>
      </c>
      <c r="AR416">
        <f t="shared" si="72"/>
        <v>0</v>
      </c>
      <c r="AS416">
        <f t="shared" si="73"/>
        <v>0</v>
      </c>
      <c r="AT416">
        <f t="shared" si="74"/>
        <v>0</v>
      </c>
      <c r="AU416">
        <f t="shared" si="75"/>
        <v>0</v>
      </c>
      <c r="AV416">
        <f t="shared" si="76"/>
        <v>0</v>
      </c>
      <c r="AW416">
        <f t="shared" si="77"/>
        <v>0</v>
      </c>
      <c r="AX416">
        <f t="shared" si="78"/>
        <v>0</v>
      </c>
      <c r="AY416">
        <f t="shared" si="79"/>
        <v>0</v>
      </c>
      <c r="AZ416">
        <f t="shared" si="80"/>
        <v>0</v>
      </c>
    </row>
    <row r="417" spans="38:52" x14ac:dyDescent="0.35">
      <c r="AL417" s="16" t="s">
        <v>316</v>
      </c>
      <c r="AM417">
        <f t="shared" si="67"/>
        <v>7</v>
      </c>
      <c r="AN417">
        <f t="shared" si="68"/>
        <v>7</v>
      </c>
      <c r="AO417">
        <f t="shared" si="69"/>
        <v>7</v>
      </c>
      <c r="AP417">
        <f t="shared" si="70"/>
        <v>7</v>
      </c>
      <c r="AQ417">
        <f t="shared" si="71"/>
        <v>0</v>
      </c>
      <c r="AR417">
        <f t="shared" si="72"/>
        <v>6</v>
      </c>
      <c r="AS417">
        <f t="shared" si="73"/>
        <v>4</v>
      </c>
      <c r="AT417">
        <f t="shared" si="74"/>
        <v>1</v>
      </c>
      <c r="AU417">
        <f t="shared" si="75"/>
        <v>0</v>
      </c>
      <c r="AV417">
        <f t="shared" si="76"/>
        <v>0</v>
      </c>
      <c r="AW417">
        <f t="shared" si="77"/>
        <v>0</v>
      </c>
      <c r="AX417">
        <f t="shared" si="78"/>
        <v>0</v>
      </c>
      <c r="AY417">
        <f t="shared" si="79"/>
        <v>0</v>
      </c>
      <c r="AZ417">
        <f t="shared" si="80"/>
        <v>0</v>
      </c>
    </row>
    <row r="418" spans="38:52" x14ac:dyDescent="0.35">
      <c r="AL418" s="16" t="s">
        <v>317</v>
      </c>
      <c r="AM418">
        <f t="shared" si="67"/>
        <v>6</v>
      </c>
      <c r="AN418">
        <f t="shared" si="68"/>
        <v>4</v>
      </c>
      <c r="AO418">
        <f t="shared" si="69"/>
        <v>2</v>
      </c>
      <c r="AP418">
        <f t="shared" si="70"/>
        <v>1</v>
      </c>
      <c r="AQ418">
        <f t="shared" si="71"/>
        <v>1</v>
      </c>
      <c r="AR418">
        <f t="shared" si="72"/>
        <v>3</v>
      </c>
      <c r="AS418">
        <f t="shared" si="73"/>
        <v>5</v>
      </c>
      <c r="AT418">
        <f t="shared" si="74"/>
        <v>3</v>
      </c>
      <c r="AU418">
        <f t="shared" si="75"/>
        <v>0</v>
      </c>
      <c r="AV418">
        <f t="shared" si="76"/>
        <v>0</v>
      </c>
      <c r="AW418">
        <f t="shared" si="77"/>
        <v>0</v>
      </c>
      <c r="AX418">
        <f t="shared" si="78"/>
        <v>0</v>
      </c>
      <c r="AY418">
        <f t="shared" si="79"/>
        <v>0</v>
      </c>
      <c r="AZ418">
        <f t="shared" si="80"/>
        <v>0</v>
      </c>
    </row>
    <row r="419" spans="38:52" x14ac:dyDescent="0.35">
      <c r="AL419" s="16" t="s">
        <v>318</v>
      </c>
      <c r="AM419">
        <f t="shared" si="67"/>
        <v>2</v>
      </c>
      <c r="AN419">
        <f t="shared" si="68"/>
        <v>4</v>
      </c>
      <c r="AO419">
        <f t="shared" si="69"/>
        <v>2</v>
      </c>
      <c r="AP419">
        <f t="shared" si="70"/>
        <v>3</v>
      </c>
      <c r="AQ419">
        <f t="shared" si="71"/>
        <v>0</v>
      </c>
      <c r="AR419">
        <f t="shared" si="72"/>
        <v>0</v>
      </c>
      <c r="AS419">
        <f t="shared" si="73"/>
        <v>1</v>
      </c>
      <c r="AT419">
        <f t="shared" si="74"/>
        <v>3</v>
      </c>
      <c r="AU419">
        <f t="shared" si="75"/>
        <v>0</v>
      </c>
      <c r="AV419">
        <f t="shared" si="76"/>
        <v>0</v>
      </c>
      <c r="AW419">
        <f t="shared" si="77"/>
        <v>0</v>
      </c>
      <c r="AX419">
        <f t="shared" si="78"/>
        <v>0</v>
      </c>
      <c r="AY419">
        <f t="shared" si="79"/>
        <v>0</v>
      </c>
      <c r="AZ419">
        <f t="shared" si="80"/>
        <v>0</v>
      </c>
    </row>
    <row r="420" spans="38:52" x14ac:dyDescent="0.35">
      <c r="AL420" s="16" t="s">
        <v>319</v>
      </c>
      <c r="AM420">
        <f t="shared" si="67"/>
        <v>0</v>
      </c>
      <c r="AN420">
        <f t="shared" si="68"/>
        <v>4</v>
      </c>
      <c r="AO420">
        <f t="shared" si="69"/>
        <v>0</v>
      </c>
      <c r="AP420">
        <f t="shared" si="70"/>
        <v>0</v>
      </c>
      <c r="AQ420">
        <f t="shared" si="71"/>
        <v>0</v>
      </c>
      <c r="AR420">
        <f t="shared" si="72"/>
        <v>3</v>
      </c>
      <c r="AS420">
        <f t="shared" si="73"/>
        <v>5</v>
      </c>
      <c r="AT420">
        <f t="shared" si="74"/>
        <v>6</v>
      </c>
      <c r="AU420">
        <f t="shared" si="75"/>
        <v>0</v>
      </c>
      <c r="AV420">
        <f t="shared" si="76"/>
        <v>0</v>
      </c>
      <c r="AW420">
        <f t="shared" si="77"/>
        <v>0</v>
      </c>
      <c r="AX420">
        <f t="shared" si="78"/>
        <v>0</v>
      </c>
      <c r="AY420">
        <f t="shared" si="79"/>
        <v>0</v>
      </c>
      <c r="AZ420">
        <f t="shared" si="80"/>
        <v>0</v>
      </c>
    </row>
    <row r="421" spans="38:52" x14ac:dyDescent="0.35">
      <c r="AL421" s="16" t="s">
        <v>320</v>
      </c>
      <c r="AM421">
        <f t="shared" ref="AM421:AM426" si="81">COUNTIF($AM137:$AS137,"&gt;=95%")</f>
        <v>2</v>
      </c>
      <c r="AN421">
        <f t="shared" ref="AN421:AN426" si="82">COUNTIF($AU137:$BA137,"&gt;=95%")</f>
        <v>3</v>
      </c>
      <c r="AO421">
        <f t="shared" ref="AO421:AO426" si="83">COUNTIF($BC137:$BI137,"&gt;=95%")</f>
        <v>0</v>
      </c>
      <c r="AP421">
        <f t="shared" ref="AP421:AP426" si="84">COUNTIF($BK137:$BQ137,"&gt;=95%")</f>
        <v>3</v>
      </c>
      <c r="AQ421">
        <f t="shared" ref="AQ421:AQ426" si="85">COUNTIF($BS137:$BY137,"&gt;=95%")</f>
        <v>1</v>
      </c>
      <c r="AR421">
        <f t="shared" ref="AR421:AR426" si="86">COUNTIF($CA137:$CG137,"&gt;=95%")</f>
        <v>3</v>
      </c>
      <c r="AS421">
        <f t="shared" ref="AS421:AS426" si="87">COUNTIF($CI137:$CO137,"&gt;=95%")</f>
        <v>3</v>
      </c>
      <c r="AT421">
        <f t="shared" ref="AT421:AT426" si="88">COUNTIF($CQ137:$CW137,"&gt;=95%")</f>
        <v>4</v>
      </c>
      <c r="AU421">
        <f t="shared" ref="AU421:AU426" si="89">COUNTIF($CY137:$DE137,"&gt;=95%")</f>
        <v>0</v>
      </c>
      <c r="AV421">
        <f t="shared" ref="AV421:AV426" si="90">COUNTIF($DG137:$DM137,"&gt;=95%")</f>
        <v>0</v>
      </c>
      <c r="AW421">
        <f t="shared" ref="AW421:AW426" si="91">COUNTIF($DO137:$DU137,"&gt;=95%")</f>
        <v>0</v>
      </c>
      <c r="AX421">
        <f t="shared" ref="AX421:AX426" si="92">COUNTIF($DW137:$EC137,"&gt;=95%")</f>
        <v>0</v>
      </c>
      <c r="AY421">
        <f t="shared" ref="AY421:AY426" si="93">COUNTIF($EE137:$EK137,"&gt;=95%")</f>
        <v>0</v>
      </c>
      <c r="AZ421">
        <f t="shared" ref="AZ421:AZ426" si="94">COUNTIF($EM137:$ES137,"&gt;=95%")</f>
        <v>0</v>
      </c>
    </row>
    <row r="422" spans="38:52" x14ac:dyDescent="0.35">
      <c r="AL422" s="16" t="s">
        <v>321</v>
      </c>
      <c r="AM422">
        <f t="shared" si="81"/>
        <v>7</v>
      </c>
      <c r="AN422">
        <f t="shared" si="82"/>
        <v>7</v>
      </c>
      <c r="AO422">
        <f t="shared" si="83"/>
        <v>6</v>
      </c>
      <c r="AP422">
        <f t="shared" si="84"/>
        <v>6</v>
      </c>
      <c r="AQ422">
        <f t="shared" si="85"/>
        <v>3</v>
      </c>
      <c r="AR422">
        <f t="shared" si="86"/>
        <v>7</v>
      </c>
      <c r="AS422">
        <f t="shared" si="87"/>
        <v>7</v>
      </c>
      <c r="AT422">
        <f t="shared" si="88"/>
        <v>7</v>
      </c>
      <c r="AU422">
        <f t="shared" si="89"/>
        <v>0</v>
      </c>
      <c r="AV422">
        <f t="shared" si="90"/>
        <v>0</v>
      </c>
      <c r="AW422">
        <f t="shared" si="91"/>
        <v>0</v>
      </c>
      <c r="AX422">
        <f t="shared" si="92"/>
        <v>0</v>
      </c>
      <c r="AY422">
        <f t="shared" si="93"/>
        <v>0</v>
      </c>
      <c r="AZ422">
        <f t="shared" si="94"/>
        <v>0</v>
      </c>
    </row>
    <row r="423" spans="38:52" x14ac:dyDescent="0.35">
      <c r="AL423" s="16" t="s">
        <v>322</v>
      </c>
      <c r="AM423">
        <f t="shared" si="81"/>
        <v>0</v>
      </c>
      <c r="AN423">
        <f t="shared" si="82"/>
        <v>0</v>
      </c>
      <c r="AO423">
        <f t="shared" si="83"/>
        <v>4</v>
      </c>
      <c r="AP423">
        <f t="shared" si="84"/>
        <v>5</v>
      </c>
      <c r="AQ423">
        <f t="shared" si="85"/>
        <v>0</v>
      </c>
      <c r="AR423">
        <f t="shared" si="86"/>
        <v>0</v>
      </c>
      <c r="AS423">
        <f t="shared" si="87"/>
        <v>2</v>
      </c>
      <c r="AT423">
        <f t="shared" si="88"/>
        <v>3</v>
      </c>
      <c r="AU423">
        <f t="shared" si="89"/>
        <v>0</v>
      </c>
      <c r="AV423">
        <f t="shared" si="90"/>
        <v>0</v>
      </c>
      <c r="AW423">
        <f t="shared" si="91"/>
        <v>0</v>
      </c>
      <c r="AX423">
        <f t="shared" si="92"/>
        <v>0</v>
      </c>
      <c r="AY423">
        <f t="shared" si="93"/>
        <v>0</v>
      </c>
      <c r="AZ423">
        <f t="shared" si="94"/>
        <v>0</v>
      </c>
    </row>
    <row r="424" spans="38:52" x14ac:dyDescent="0.35">
      <c r="AL424" s="16" t="s">
        <v>323</v>
      </c>
      <c r="AM424">
        <f t="shared" si="81"/>
        <v>4</v>
      </c>
      <c r="AN424">
        <f t="shared" si="82"/>
        <v>4</v>
      </c>
      <c r="AO424">
        <f t="shared" si="83"/>
        <v>0</v>
      </c>
      <c r="AP424">
        <f t="shared" si="84"/>
        <v>0</v>
      </c>
      <c r="AQ424">
        <f t="shared" si="85"/>
        <v>0</v>
      </c>
      <c r="AR424">
        <f t="shared" si="86"/>
        <v>0</v>
      </c>
      <c r="AS424">
        <f t="shared" si="87"/>
        <v>0</v>
      </c>
      <c r="AT424">
        <f t="shared" si="88"/>
        <v>0</v>
      </c>
      <c r="AU424">
        <f t="shared" si="89"/>
        <v>0</v>
      </c>
      <c r="AV424">
        <f t="shared" si="90"/>
        <v>0</v>
      </c>
      <c r="AW424">
        <f t="shared" si="91"/>
        <v>0</v>
      </c>
      <c r="AX424">
        <f t="shared" si="92"/>
        <v>0</v>
      </c>
      <c r="AY424">
        <f t="shared" si="93"/>
        <v>0</v>
      </c>
      <c r="AZ424">
        <f t="shared" si="94"/>
        <v>0</v>
      </c>
    </row>
    <row r="425" spans="38:52" x14ac:dyDescent="0.35">
      <c r="AL425" s="16" t="s">
        <v>324</v>
      </c>
      <c r="AM425">
        <f t="shared" si="81"/>
        <v>7</v>
      </c>
      <c r="AN425">
        <f t="shared" si="82"/>
        <v>7</v>
      </c>
      <c r="AO425">
        <f t="shared" si="83"/>
        <v>7</v>
      </c>
      <c r="AP425">
        <f t="shared" si="84"/>
        <v>7</v>
      </c>
      <c r="AQ425">
        <f t="shared" si="85"/>
        <v>1</v>
      </c>
      <c r="AR425">
        <f t="shared" si="86"/>
        <v>0</v>
      </c>
      <c r="AS425">
        <f t="shared" si="87"/>
        <v>4</v>
      </c>
      <c r="AT425">
        <f t="shared" si="88"/>
        <v>1</v>
      </c>
      <c r="AU425">
        <f t="shared" si="89"/>
        <v>0</v>
      </c>
      <c r="AV425">
        <f t="shared" si="90"/>
        <v>0</v>
      </c>
      <c r="AW425">
        <f t="shared" si="91"/>
        <v>0</v>
      </c>
      <c r="AX425">
        <f t="shared" si="92"/>
        <v>0</v>
      </c>
      <c r="AY425">
        <f t="shared" si="93"/>
        <v>0</v>
      </c>
      <c r="AZ425">
        <f t="shared" si="94"/>
        <v>0</v>
      </c>
    </row>
    <row r="426" spans="38:52" x14ac:dyDescent="0.35">
      <c r="AL426" s="16" t="s">
        <v>325</v>
      </c>
      <c r="AM426">
        <f t="shared" si="81"/>
        <v>7</v>
      </c>
      <c r="AN426">
        <f t="shared" si="82"/>
        <v>7</v>
      </c>
      <c r="AO426">
        <f t="shared" si="83"/>
        <v>7</v>
      </c>
      <c r="AP426">
        <f t="shared" si="84"/>
        <v>7</v>
      </c>
      <c r="AQ426">
        <f t="shared" si="85"/>
        <v>5</v>
      </c>
      <c r="AR426">
        <f t="shared" si="86"/>
        <v>7</v>
      </c>
      <c r="AS426">
        <f t="shared" si="87"/>
        <v>7</v>
      </c>
      <c r="AT426">
        <f t="shared" si="88"/>
        <v>7</v>
      </c>
      <c r="AU426">
        <f t="shared" si="89"/>
        <v>0</v>
      </c>
      <c r="AV426">
        <f t="shared" si="90"/>
        <v>0</v>
      </c>
      <c r="AW426">
        <f t="shared" si="91"/>
        <v>0</v>
      </c>
      <c r="AX426">
        <f t="shared" si="92"/>
        <v>0</v>
      </c>
      <c r="AY426">
        <f t="shared" si="93"/>
        <v>0</v>
      </c>
      <c r="AZ426">
        <f t="shared" si="94"/>
        <v>0</v>
      </c>
    </row>
    <row r="427" spans="38:52" x14ac:dyDescent="0.35">
      <c r="AL427" s="16"/>
    </row>
    <row r="428" spans="38:52" x14ac:dyDescent="0.35">
      <c r="AL428" s="16"/>
    </row>
    <row r="431" spans="38:52" x14ac:dyDescent="0.35">
      <c r="AL431" s="28">
        <v>1</v>
      </c>
      <c r="AM431" s="23" t="s">
        <v>1</v>
      </c>
      <c r="AN431" s="23" t="s">
        <v>2</v>
      </c>
      <c r="AO431" s="23" t="s">
        <v>3</v>
      </c>
      <c r="AP431" s="23" t="s">
        <v>4</v>
      </c>
      <c r="AQ431" s="23" t="s">
        <v>5</v>
      </c>
      <c r="AR431" s="23" t="s">
        <v>6</v>
      </c>
      <c r="AS431" s="23" t="s">
        <v>7</v>
      </c>
      <c r="AT431" s="23" t="s">
        <v>8</v>
      </c>
      <c r="AU431" s="23" t="s">
        <v>9</v>
      </c>
      <c r="AV431" s="23" t="s">
        <v>10</v>
      </c>
      <c r="AW431" s="23" t="s">
        <v>11</v>
      </c>
      <c r="AX431" s="23" t="s">
        <v>12</v>
      </c>
      <c r="AY431" s="23" t="s">
        <v>13</v>
      </c>
      <c r="AZ431" s="23" t="s">
        <v>14</v>
      </c>
    </row>
    <row r="432" spans="38:52" x14ac:dyDescent="0.35">
      <c r="AL432" s="28" t="s">
        <v>146</v>
      </c>
      <c r="AM432" s="23">
        <f>IF((COUNTIF(AM433:AM569,"&gt;0"))=0, " ", (COUNTIF(AM433:AM569,"&gt;0")))</f>
        <v>8</v>
      </c>
      <c r="AN432" s="23">
        <f t="shared" ref="AN432:AZ432" si="95">IF((COUNTIF(AN433:AN569,"&gt;0"))=0, " ", (COUNTIF(AN433:AN569,"&gt;0")))</f>
        <v>13</v>
      </c>
      <c r="AO432" s="23">
        <f t="shared" si="95"/>
        <v>8</v>
      </c>
      <c r="AP432" s="23">
        <f t="shared" si="95"/>
        <v>5</v>
      </c>
      <c r="AQ432" s="23">
        <f t="shared" si="95"/>
        <v>4</v>
      </c>
      <c r="AR432" s="23">
        <f t="shared" si="95"/>
        <v>3</v>
      </c>
      <c r="AS432" s="23">
        <f t="shared" si="95"/>
        <v>4</v>
      </c>
      <c r="AT432" s="23">
        <f t="shared" si="95"/>
        <v>5</v>
      </c>
      <c r="AU432" s="23" t="str">
        <f t="shared" si="95"/>
        <v xml:space="preserve"> </v>
      </c>
      <c r="AV432" s="23" t="str">
        <f t="shared" si="95"/>
        <v xml:space="preserve"> </v>
      </c>
      <c r="AW432" s="23" t="str">
        <f t="shared" si="95"/>
        <v xml:space="preserve"> </v>
      </c>
      <c r="AX432" s="23" t="str">
        <f t="shared" si="95"/>
        <v xml:space="preserve"> </v>
      </c>
      <c r="AY432" s="23" t="str">
        <f t="shared" si="95"/>
        <v xml:space="preserve"> </v>
      </c>
      <c r="AZ432" s="23" t="str">
        <f t="shared" si="95"/>
        <v xml:space="preserve"> </v>
      </c>
    </row>
    <row r="433" spans="38:52" x14ac:dyDescent="0.35">
      <c r="AL433" s="16" t="s">
        <v>190</v>
      </c>
      <c r="AM433">
        <f>COUNTIF($AM8:$AS8,"&gt;=100%")</f>
        <v>0</v>
      </c>
      <c r="AN433">
        <f>COUNTIF($AU8:$BA8,"&gt;=100%")</f>
        <v>0</v>
      </c>
      <c r="AO433">
        <f>COUNTIF($BC8:$BI8,"&gt;=100%")</f>
        <v>0</v>
      </c>
      <c r="AP433">
        <f>COUNTIF($BK8:$BQ8,"&gt;=100%")</f>
        <v>0</v>
      </c>
      <c r="AQ433">
        <f>COUNTIF($BS8:$BY8,"&gt;=100%")</f>
        <v>0</v>
      </c>
      <c r="AR433">
        <f>COUNTIF($CA8:$CG8,"&gt;=100%")</f>
        <v>0</v>
      </c>
      <c r="AS433">
        <f>COUNTIF($CI8:$CO8,"&gt;=100%")</f>
        <v>0</v>
      </c>
      <c r="AT433">
        <f>COUNTIF($CQ8:$CW8,"&gt;=100%")</f>
        <v>0</v>
      </c>
      <c r="AU433">
        <f>COUNTIF($CY8:$DE8,"&gt;=100%")</f>
        <v>0</v>
      </c>
      <c r="AV433">
        <f>COUNTIF($DG8:$DM8,"&gt;=100%")</f>
        <v>0</v>
      </c>
      <c r="AW433">
        <f>COUNTIF($DO8:$DU8,"&gt;=100%")</f>
        <v>0</v>
      </c>
      <c r="AX433">
        <f>COUNTIF($DW8:$EC8,"&gt;=100%")</f>
        <v>0</v>
      </c>
      <c r="AY433">
        <f>COUNTIF($EE8:$EK8,"&gt;=100%")</f>
        <v>0</v>
      </c>
      <c r="AZ433">
        <f>COUNTIF($EM8:$ES8,"&gt;=100%")</f>
        <v>0</v>
      </c>
    </row>
    <row r="434" spans="38:52" x14ac:dyDescent="0.35">
      <c r="AL434" s="16" t="s">
        <v>191</v>
      </c>
      <c r="AM434">
        <f t="shared" ref="AM434:AM497" si="96">COUNTIF($AM9:$AS9,"&gt;=100%")</f>
        <v>0</v>
      </c>
      <c r="AN434">
        <f t="shared" ref="AN434:AN497" si="97">COUNTIF($AU9:$BA9,"&gt;=100%")</f>
        <v>0</v>
      </c>
      <c r="AO434">
        <f t="shared" ref="AO434:AO497" si="98">COUNTIF($BC9:$BI9,"&gt;=100%")</f>
        <v>0</v>
      </c>
      <c r="AP434">
        <f t="shared" ref="AP434:AP497" si="99">COUNTIF($BK9:$BQ9,"&gt;=100%")</f>
        <v>0</v>
      </c>
      <c r="AQ434">
        <f t="shared" ref="AQ434:AQ497" si="100">COUNTIF($BS9:$BY9,"&gt;=100%")</f>
        <v>0</v>
      </c>
      <c r="AR434">
        <f t="shared" ref="AR434:AR497" si="101">COUNTIF($CA9:$CG9,"&gt;=100%")</f>
        <v>0</v>
      </c>
      <c r="AS434">
        <f t="shared" ref="AS434:AS497" si="102">COUNTIF($CI9:$CO9,"&gt;=100%")</f>
        <v>0</v>
      </c>
      <c r="AT434">
        <f t="shared" ref="AT434:AT497" si="103">COUNTIF($CQ9:$CW9,"&gt;=100%")</f>
        <v>0</v>
      </c>
      <c r="AU434">
        <f t="shared" ref="AU434:AU497" si="104">COUNTIF($CY9:$DE9,"&gt;=100%")</f>
        <v>0</v>
      </c>
      <c r="AV434">
        <f t="shared" ref="AV434:AV497" si="105">COUNTIF($DG9:$DM9,"&gt;=100%")</f>
        <v>0</v>
      </c>
      <c r="AW434">
        <f t="shared" ref="AW434:AW497" si="106">COUNTIF($DO9:$DU9,"&gt;=100%")</f>
        <v>0</v>
      </c>
      <c r="AX434">
        <f t="shared" ref="AX434:AX497" si="107">COUNTIF($DW9:$EC9,"&gt;=100%")</f>
        <v>0</v>
      </c>
      <c r="AY434">
        <f t="shared" ref="AY434:AY497" si="108">COUNTIF($EE9:$EK9,"&gt;=100%")</f>
        <v>0</v>
      </c>
      <c r="AZ434">
        <f t="shared" ref="AZ434:AZ497" si="109">COUNTIF($EM9:$ES9,"&gt;=100%")</f>
        <v>0</v>
      </c>
    </row>
    <row r="435" spans="38:52" x14ac:dyDescent="0.35">
      <c r="AL435" s="16" t="s">
        <v>192</v>
      </c>
      <c r="AM435">
        <f t="shared" si="96"/>
        <v>0</v>
      </c>
      <c r="AN435">
        <f t="shared" si="97"/>
        <v>0</v>
      </c>
      <c r="AO435">
        <f t="shared" si="98"/>
        <v>0</v>
      </c>
      <c r="AP435">
        <f t="shared" si="99"/>
        <v>0</v>
      </c>
      <c r="AQ435">
        <f t="shared" si="100"/>
        <v>0</v>
      </c>
      <c r="AR435">
        <f t="shared" si="101"/>
        <v>0</v>
      </c>
      <c r="AS435">
        <f t="shared" si="102"/>
        <v>0</v>
      </c>
      <c r="AT435">
        <f t="shared" si="103"/>
        <v>0</v>
      </c>
      <c r="AU435">
        <f t="shared" si="104"/>
        <v>0</v>
      </c>
      <c r="AV435">
        <f t="shared" si="105"/>
        <v>0</v>
      </c>
      <c r="AW435">
        <f t="shared" si="106"/>
        <v>0</v>
      </c>
      <c r="AX435">
        <f t="shared" si="107"/>
        <v>0</v>
      </c>
      <c r="AY435">
        <f t="shared" si="108"/>
        <v>0</v>
      </c>
      <c r="AZ435">
        <f t="shared" si="109"/>
        <v>0</v>
      </c>
    </row>
    <row r="436" spans="38:52" x14ac:dyDescent="0.35">
      <c r="AL436" s="16" t="s">
        <v>193</v>
      </c>
      <c r="AM436">
        <f t="shared" si="96"/>
        <v>0</v>
      </c>
      <c r="AN436">
        <f t="shared" si="97"/>
        <v>0</v>
      </c>
      <c r="AO436">
        <f t="shared" si="98"/>
        <v>0</v>
      </c>
      <c r="AP436">
        <f t="shared" si="99"/>
        <v>0</v>
      </c>
      <c r="AQ436">
        <f t="shared" si="100"/>
        <v>0</v>
      </c>
      <c r="AR436">
        <f t="shared" si="101"/>
        <v>0</v>
      </c>
      <c r="AS436">
        <f t="shared" si="102"/>
        <v>0</v>
      </c>
      <c r="AT436">
        <f t="shared" si="103"/>
        <v>0</v>
      </c>
      <c r="AU436">
        <f t="shared" si="104"/>
        <v>0</v>
      </c>
      <c r="AV436">
        <f t="shared" si="105"/>
        <v>0</v>
      </c>
      <c r="AW436">
        <f t="shared" si="106"/>
        <v>0</v>
      </c>
      <c r="AX436">
        <f t="shared" si="107"/>
        <v>0</v>
      </c>
      <c r="AY436">
        <f t="shared" si="108"/>
        <v>0</v>
      </c>
      <c r="AZ436">
        <f t="shared" si="109"/>
        <v>0</v>
      </c>
    </row>
    <row r="437" spans="38:52" x14ac:dyDescent="0.35">
      <c r="AL437" s="16" t="s">
        <v>194</v>
      </c>
      <c r="AM437">
        <f t="shared" si="96"/>
        <v>0</v>
      </c>
      <c r="AN437">
        <f t="shared" si="97"/>
        <v>0</v>
      </c>
      <c r="AO437">
        <f t="shared" si="98"/>
        <v>0</v>
      </c>
      <c r="AP437">
        <f t="shared" si="99"/>
        <v>0</v>
      </c>
      <c r="AQ437">
        <f t="shared" si="100"/>
        <v>0</v>
      </c>
      <c r="AR437">
        <f t="shared" si="101"/>
        <v>0</v>
      </c>
      <c r="AS437">
        <f t="shared" si="102"/>
        <v>0</v>
      </c>
      <c r="AT437">
        <f t="shared" si="103"/>
        <v>0</v>
      </c>
      <c r="AU437">
        <f t="shared" si="104"/>
        <v>0</v>
      </c>
      <c r="AV437">
        <f t="shared" si="105"/>
        <v>0</v>
      </c>
      <c r="AW437">
        <f t="shared" si="106"/>
        <v>0</v>
      </c>
      <c r="AX437">
        <f t="shared" si="107"/>
        <v>0</v>
      </c>
      <c r="AY437">
        <f t="shared" si="108"/>
        <v>0</v>
      </c>
      <c r="AZ437">
        <f t="shared" si="109"/>
        <v>0</v>
      </c>
    </row>
    <row r="438" spans="38:52" x14ac:dyDescent="0.35">
      <c r="AL438" s="16" t="s">
        <v>195</v>
      </c>
      <c r="AM438">
        <f t="shared" si="96"/>
        <v>0</v>
      </c>
      <c r="AN438">
        <f t="shared" si="97"/>
        <v>0</v>
      </c>
      <c r="AO438">
        <f t="shared" si="98"/>
        <v>0</v>
      </c>
      <c r="AP438">
        <f t="shared" si="99"/>
        <v>0</v>
      </c>
      <c r="AQ438">
        <f t="shared" si="100"/>
        <v>0</v>
      </c>
      <c r="AR438">
        <f t="shared" si="101"/>
        <v>0</v>
      </c>
      <c r="AS438">
        <f t="shared" si="102"/>
        <v>0</v>
      </c>
      <c r="AT438">
        <f t="shared" si="103"/>
        <v>0</v>
      </c>
      <c r="AU438">
        <f t="shared" si="104"/>
        <v>0</v>
      </c>
      <c r="AV438">
        <f t="shared" si="105"/>
        <v>0</v>
      </c>
      <c r="AW438">
        <f t="shared" si="106"/>
        <v>0</v>
      </c>
      <c r="AX438">
        <f t="shared" si="107"/>
        <v>0</v>
      </c>
      <c r="AY438">
        <f t="shared" si="108"/>
        <v>0</v>
      </c>
      <c r="AZ438">
        <f t="shared" si="109"/>
        <v>0</v>
      </c>
    </row>
    <row r="439" spans="38:52" x14ac:dyDescent="0.35">
      <c r="AL439" s="16" t="s">
        <v>196</v>
      </c>
      <c r="AM439">
        <f t="shared" si="96"/>
        <v>0</v>
      </c>
      <c r="AN439">
        <f t="shared" si="97"/>
        <v>0</v>
      </c>
      <c r="AO439">
        <f t="shared" si="98"/>
        <v>0</v>
      </c>
      <c r="AP439">
        <f t="shared" si="99"/>
        <v>0</v>
      </c>
      <c r="AQ439">
        <f t="shared" si="100"/>
        <v>0</v>
      </c>
      <c r="AR439">
        <f t="shared" si="101"/>
        <v>0</v>
      </c>
      <c r="AS439">
        <f t="shared" si="102"/>
        <v>0</v>
      </c>
      <c r="AT439">
        <f t="shared" si="103"/>
        <v>0</v>
      </c>
      <c r="AU439">
        <f t="shared" si="104"/>
        <v>0</v>
      </c>
      <c r="AV439">
        <f t="shared" si="105"/>
        <v>0</v>
      </c>
      <c r="AW439">
        <f t="shared" si="106"/>
        <v>0</v>
      </c>
      <c r="AX439">
        <f t="shared" si="107"/>
        <v>0</v>
      </c>
      <c r="AY439">
        <f t="shared" si="108"/>
        <v>0</v>
      </c>
      <c r="AZ439">
        <f t="shared" si="109"/>
        <v>0</v>
      </c>
    </row>
    <row r="440" spans="38:52" x14ac:dyDescent="0.35">
      <c r="AL440" s="16" t="s">
        <v>197</v>
      </c>
      <c r="AM440">
        <f t="shared" si="96"/>
        <v>0</v>
      </c>
      <c r="AN440">
        <f t="shared" si="97"/>
        <v>0</v>
      </c>
      <c r="AO440">
        <f t="shared" si="98"/>
        <v>0</v>
      </c>
      <c r="AP440">
        <f t="shared" si="99"/>
        <v>0</v>
      </c>
      <c r="AQ440">
        <f t="shared" si="100"/>
        <v>0</v>
      </c>
      <c r="AR440">
        <f t="shared" si="101"/>
        <v>0</v>
      </c>
      <c r="AS440">
        <f t="shared" si="102"/>
        <v>0</v>
      </c>
      <c r="AT440">
        <f t="shared" si="103"/>
        <v>0</v>
      </c>
      <c r="AU440">
        <f t="shared" si="104"/>
        <v>0</v>
      </c>
      <c r="AV440">
        <f t="shared" si="105"/>
        <v>0</v>
      </c>
      <c r="AW440">
        <f t="shared" si="106"/>
        <v>0</v>
      </c>
      <c r="AX440">
        <f t="shared" si="107"/>
        <v>0</v>
      </c>
      <c r="AY440">
        <f t="shared" si="108"/>
        <v>0</v>
      </c>
      <c r="AZ440">
        <f t="shared" si="109"/>
        <v>0</v>
      </c>
    </row>
    <row r="441" spans="38:52" x14ac:dyDescent="0.35">
      <c r="AL441" s="16" t="s">
        <v>198</v>
      </c>
      <c r="AM441">
        <f t="shared" si="96"/>
        <v>0</v>
      </c>
      <c r="AN441">
        <f t="shared" si="97"/>
        <v>0</v>
      </c>
      <c r="AO441">
        <f t="shared" si="98"/>
        <v>0</v>
      </c>
      <c r="AP441">
        <f t="shared" si="99"/>
        <v>0</v>
      </c>
      <c r="AQ441">
        <f t="shared" si="100"/>
        <v>0</v>
      </c>
      <c r="AR441">
        <f t="shared" si="101"/>
        <v>0</v>
      </c>
      <c r="AS441">
        <f t="shared" si="102"/>
        <v>0</v>
      </c>
      <c r="AT441">
        <f t="shared" si="103"/>
        <v>0</v>
      </c>
      <c r="AU441">
        <f t="shared" si="104"/>
        <v>0</v>
      </c>
      <c r="AV441">
        <f t="shared" si="105"/>
        <v>0</v>
      </c>
      <c r="AW441">
        <f t="shared" si="106"/>
        <v>0</v>
      </c>
      <c r="AX441">
        <f t="shared" si="107"/>
        <v>0</v>
      </c>
      <c r="AY441">
        <f t="shared" si="108"/>
        <v>0</v>
      </c>
      <c r="AZ441">
        <f t="shared" si="109"/>
        <v>0</v>
      </c>
    </row>
    <row r="442" spans="38:52" x14ac:dyDescent="0.35">
      <c r="AL442" s="16" t="s">
        <v>199</v>
      </c>
      <c r="AM442">
        <f t="shared" si="96"/>
        <v>0</v>
      </c>
      <c r="AN442">
        <f t="shared" si="97"/>
        <v>0</v>
      </c>
      <c r="AO442">
        <f t="shared" si="98"/>
        <v>0</v>
      </c>
      <c r="AP442">
        <f t="shared" si="99"/>
        <v>0</v>
      </c>
      <c r="AQ442">
        <f t="shared" si="100"/>
        <v>0</v>
      </c>
      <c r="AR442">
        <f t="shared" si="101"/>
        <v>0</v>
      </c>
      <c r="AS442">
        <f t="shared" si="102"/>
        <v>0</v>
      </c>
      <c r="AT442">
        <f t="shared" si="103"/>
        <v>0</v>
      </c>
      <c r="AU442">
        <f t="shared" si="104"/>
        <v>0</v>
      </c>
      <c r="AV442">
        <f t="shared" si="105"/>
        <v>0</v>
      </c>
      <c r="AW442">
        <f t="shared" si="106"/>
        <v>0</v>
      </c>
      <c r="AX442">
        <f t="shared" si="107"/>
        <v>0</v>
      </c>
      <c r="AY442">
        <f t="shared" si="108"/>
        <v>0</v>
      </c>
      <c r="AZ442">
        <f t="shared" si="109"/>
        <v>0</v>
      </c>
    </row>
    <row r="443" spans="38:52" x14ac:dyDescent="0.35">
      <c r="AL443" s="16" t="s">
        <v>200</v>
      </c>
      <c r="AM443">
        <f t="shared" si="96"/>
        <v>0</v>
      </c>
      <c r="AN443">
        <f t="shared" si="97"/>
        <v>0</v>
      </c>
      <c r="AO443">
        <f t="shared" si="98"/>
        <v>0</v>
      </c>
      <c r="AP443">
        <f t="shared" si="99"/>
        <v>0</v>
      </c>
      <c r="AQ443">
        <f t="shared" si="100"/>
        <v>0</v>
      </c>
      <c r="AR443">
        <f t="shared" si="101"/>
        <v>0</v>
      </c>
      <c r="AS443">
        <f t="shared" si="102"/>
        <v>0</v>
      </c>
      <c r="AT443">
        <f t="shared" si="103"/>
        <v>0</v>
      </c>
      <c r="AU443">
        <f t="shared" si="104"/>
        <v>0</v>
      </c>
      <c r="AV443">
        <f t="shared" si="105"/>
        <v>0</v>
      </c>
      <c r="AW443">
        <f t="shared" si="106"/>
        <v>0</v>
      </c>
      <c r="AX443">
        <f t="shared" si="107"/>
        <v>0</v>
      </c>
      <c r="AY443">
        <f t="shared" si="108"/>
        <v>0</v>
      </c>
      <c r="AZ443">
        <f t="shared" si="109"/>
        <v>0</v>
      </c>
    </row>
    <row r="444" spans="38:52" x14ac:dyDescent="0.35">
      <c r="AL444" s="16" t="s">
        <v>201</v>
      </c>
      <c r="AM444">
        <f t="shared" si="96"/>
        <v>0</v>
      </c>
      <c r="AN444">
        <f t="shared" si="97"/>
        <v>0</v>
      </c>
      <c r="AO444">
        <f t="shared" si="98"/>
        <v>0</v>
      </c>
      <c r="AP444">
        <f t="shared" si="99"/>
        <v>0</v>
      </c>
      <c r="AQ444">
        <f t="shared" si="100"/>
        <v>0</v>
      </c>
      <c r="AR444">
        <f t="shared" si="101"/>
        <v>0</v>
      </c>
      <c r="AS444">
        <f t="shared" si="102"/>
        <v>0</v>
      </c>
      <c r="AT444">
        <f t="shared" si="103"/>
        <v>0</v>
      </c>
      <c r="AU444">
        <f t="shared" si="104"/>
        <v>0</v>
      </c>
      <c r="AV444">
        <f t="shared" si="105"/>
        <v>0</v>
      </c>
      <c r="AW444">
        <f t="shared" si="106"/>
        <v>0</v>
      </c>
      <c r="AX444">
        <f t="shared" si="107"/>
        <v>0</v>
      </c>
      <c r="AY444">
        <f t="shared" si="108"/>
        <v>0</v>
      </c>
      <c r="AZ444">
        <f t="shared" si="109"/>
        <v>0</v>
      </c>
    </row>
    <row r="445" spans="38:52" x14ac:dyDescent="0.35">
      <c r="AL445" s="16" t="s">
        <v>202</v>
      </c>
      <c r="AM445">
        <f t="shared" si="96"/>
        <v>0</v>
      </c>
      <c r="AN445">
        <f t="shared" si="97"/>
        <v>0</v>
      </c>
      <c r="AO445">
        <f t="shared" si="98"/>
        <v>0</v>
      </c>
      <c r="AP445">
        <f t="shared" si="99"/>
        <v>0</v>
      </c>
      <c r="AQ445">
        <f t="shared" si="100"/>
        <v>0</v>
      </c>
      <c r="AR445">
        <f t="shared" si="101"/>
        <v>0</v>
      </c>
      <c r="AS445">
        <f t="shared" si="102"/>
        <v>0</v>
      </c>
      <c r="AT445">
        <f t="shared" si="103"/>
        <v>0</v>
      </c>
      <c r="AU445">
        <f t="shared" si="104"/>
        <v>0</v>
      </c>
      <c r="AV445">
        <f t="shared" si="105"/>
        <v>0</v>
      </c>
      <c r="AW445">
        <f t="shared" si="106"/>
        <v>0</v>
      </c>
      <c r="AX445">
        <f t="shared" si="107"/>
        <v>0</v>
      </c>
      <c r="AY445">
        <f t="shared" si="108"/>
        <v>0</v>
      </c>
      <c r="AZ445">
        <f t="shared" si="109"/>
        <v>0</v>
      </c>
    </row>
    <row r="446" spans="38:52" x14ac:dyDescent="0.35">
      <c r="AL446" s="16" t="s">
        <v>203</v>
      </c>
      <c r="AM446">
        <f t="shared" si="96"/>
        <v>0</v>
      </c>
      <c r="AN446">
        <f t="shared" si="97"/>
        <v>0</v>
      </c>
      <c r="AO446">
        <f t="shared" si="98"/>
        <v>0</v>
      </c>
      <c r="AP446">
        <f t="shared" si="99"/>
        <v>0</v>
      </c>
      <c r="AQ446">
        <f t="shared" si="100"/>
        <v>0</v>
      </c>
      <c r="AR446">
        <f t="shared" si="101"/>
        <v>0</v>
      </c>
      <c r="AS446">
        <f t="shared" si="102"/>
        <v>0</v>
      </c>
      <c r="AT446">
        <f t="shared" si="103"/>
        <v>0</v>
      </c>
      <c r="AU446">
        <f t="shared" si="104"/>
        <v>0</v>
      </c>
      <c r="AV446">
        <f t="shared" si="105"/>
        <v>0</v>
      </c>
      <c r="AW446">
        <f t="shared" si="106"/>
        <v>0</v>
      </c>
      <c r="AX446">
        <f t="shared" si="107"/>
        <v>0</v>
      </c>
      <c r="AY446">
        <f t="shared" si="108"/>
        <v>0</v>
      </c>
      <c r="AZ446">
        <f t="shared" si="109"/>
        <v>0</v>
      </c>
    </row>
    <row r="447" spans="38:52" x14ac:dyDescent="0.35">
      <c r="AL447" s="16" t="s">
        <v>204</v>
      </c>
      <c r="AM447">
        <f t="shared" si="96"/>
        <v>0</v>
      </c>
      <c r="AN447">
        <f t="shared" si="97"/>
        <v>0</v>
      </c>
      <c r="AO447">
        <f t="shared" si="98"/>
        <v>0</v>
      </c>
      <c r="AP447">
        <f t="shared" si="99"/>
        <v>0</v>
      </c>
      <c r="AQ447">
        <f t="shared" si="100"/>
        <v>0</v>
      </c>
      <c r="AR447">
        <f t="shared" si="101"/>
        <v>0</v>
      </c>
      <c r="AS447">
        <f t="shared" si="102"/>
        <v>0</v>
      </c>
      <c r="AT447">
        <f t="shared" si="103"/>
        <v>0</v>
      </c>
      <c r="AU447">
        <f t="shared" si="104"/>
        <v>0</v>
      </c>
      <c r="AV447">
        <f t="shared" si="105"/>
        <v>0</v>
      </c>
      <c r="AW447">
        <f t="shared" si="106"/>
        <v>0</v>
      </c>
      <c r="AX447">
        <f t="shared" si="107"/>
        <v>0</v>
      </c>
      <c r="AY447">
        <f t="shared" si="108"/>
        <v>0</v>
      </c>
      <c r="AZ447">
        <f t="shared" si="109"/>
        <v>0</v>
      </c>
    </row>
    <row r="448" spans="38:52" x14ac:dyDescent="0.35">
      <c r="AL448" s="16" t="s">
        <v>205</v>
      </c>
      <c r="AM448">
        <f t="shared" si="96"/>
        <v>0</v>
      </c>
      <c r="AN448">
        <f t="shared" si="97"/>
        <v>0</v>
      </c>
      <c r="AO448">
        <f t="shared" si="98"/>
        <v>0</v>
      </c>
      <c r="AP448">
        <f t="shared" si="99"/>
        <v>0</v>
      </c>
      <c r="AQ448">
        <f t="shared" si="100"/>
        <v>0</v>
      </c>
      <c r="AR448">
        <f t="shared" si="101"/>
        <v>0</v>
      </c>
      <c r="AS448">
        <f t="shared" si="102"/>
        <v>0</v>
      </c>
      <c r="AT448">
        <f t="shared" si="103"/>
        <v>0</v>
      </c>
      <c r="AU448">
        <f t="shared" si="104"/>
        <v>0</v>
      </c>
      <c r="AV448">
        <f t="shared" si="105"/>
        <v>0</v>
      </c>
      <c r="AW448">
        <f t="shared" si="106"/>
        <v>0</v>
      </c>
      <c r="AX448">
        <f t="shared" si="107"/>
        <v>0</v>
      </c>
      <c r="AY448">
        <f t="shared" si="108"/>
        <v>0</v>
      </c>
      <c r="AZ448">
        <f t="shared" si="109"/>
        <v>0</v>
      </c>
    </row>
    <row r="449" spans="38:52" x14ac:dyDescent="0.35">
      <c r="AL449" s="16" t="s">
        <v>206</v>
      </c>
      <c r="AM449">
        <f t="shared" si="96"/>
        <v>0</v>
      </c>
      <c r="AN449">
        <f t="shared" si="97"/>
        <v>0</v>
      </c>
      <c r="AO449">
        <f t="shared" si="98"/>
        <v>0</v>
      </c>
      <c r="AP449">
        <f t="shared" si="99"/>
        <v>0</v>
      </c>
      <c r="AQ449">
        <f t="shared" si="100"/>
        <v>0</v>
      </c>
      <c r="AR449">
        <f t="shared" si="101"/>
        <v>0</v>
      </c>
      <c r="AS449">
        <f t="shared" si="102"/>
        <v>0</v>
      </c>
      <c r="AT449">
        <f t="shared" si="103"/>
        <v>0</v>
      </c>
      <c r="AU449">
        <f t="shared" si="104"/>
        <v>0</v>
      </c>
      <c r="AV449">
        <f t="shared" si="105"/>
        <v>0</v>
      </c>
      <c r="AW449">
        <f t="shared" si="106"/>
        <v>0</v>
      </c>
      <c r="AX449">
        <f t="shared" si="107"/>
        <v>0</v>
      </c>
      <c r="AY449">
        <f t="shared" si="108"/>
        <v>0</v>
      </c>
      <c r="AZ449">
        <f t="shared" si="109"/>
        <v>0</v>
      </c>
    </row>
    <row r="450" spans="38:52" x14ac:dyDescent="0.35">
      <c r="AL450" s="16" t="s">
        <v>207</v>
      </c>
      <c r="AM450">
        <f t="shared" si="96"/>
        <v>0</v>
      </c>
      <c r="AN450">
        <f t="shared" si="97"/>
        <v>0</v>
      </c>
      <c r="AO450">
        <f t="shared" si="98"/>
        <v>0</v>
      </c>
      <c r="AP450">
        <f t="shared" si="99"/>
        <v>0</v>
      </c>
      <c r="AQ450">
        <f t="shared" si="100"/>
        <v>0</v>
      </c>
      <c r="AR450">
        <f t="shared" si="101"/>
        <v>0</v>
      </c>
      <c r="AS450">
        <f t="shared" si="102"/>
        <v>0</v>
      </c>
      <c r="AT450">
        <f t="shared" si="103"/>
        <v>0</v>
      </c>
      <c r="AU450">
        <f t="shared" si="104"/>
        <v>0</v>
      </c>
      <c r="AV450">
        <f t="shared" si="105"/>
        <v>0</v>
      </c>
      <c r="AW450">
        <f t="shared" si="106"/>
        <v>0</v>
      </c>
      <c r="AX450">
        <f t="shared" si="107"/>
        <v>0</v>
      </c>
      <c r="AY450">
        <f t="shared" si="108"/>
        <v>0</v>
      </c>
      <c r="AZ450">
        <f t="shared" si="109"/>
        <v>0</v>
      </c>
    </row>
    <row r="451" spans="38:52" x14ac:dyDescent="0.35">
      <c r="AL451" s="16" t="s">
        <v>208</v>
      </c>
      <c r="AM451">
        <f t="shared" si="96"/>
        <v>0</v>
      </c>
      <c r="AN451">
        <f t="shared" si="97"/>
        <v>1</v>
      </c>
      <c r="AO451">
        <f t="shared" si="98"/>
        <v>0</v>
      </c>
      <c r="AP451">
        <f t="shared" si="99"/>
        <v>0</v>
      </c>
      <c r="AQ451">
        <f t="shared" si="100"/>
        <v>0</v>
      </c>
      <c r="AR451">
        <f t="shared" si="101"/>
        <v>0</v>
      </c>
      <c r="AS451">
        <f t="shared" si="102"/>
        <v>1</v>
      </c>
      <c r="AT451">
        <f t="shared" si="103"/>
        <v>0</v>
      </c>
      <c r="AU451">
        <f t="shared" si="104"/>
        <v>0</v>
      </c>
      <c r="AV451">
        <f t="shared" si="105"/>
        <v>0</v>
      </c>
      <c r="AW451">
        <f t="shared" si="106"/>
        <v>0</v>
      </c>
      <c r="AX451">
        <f t="shared" si="107"/>
        <v>0</v>
      </c>
      <c r="AY451">
        <f t="shared" si="108"/>
        <v>0</v>
      </c>
      <c r="AZ451">
        <f t="shared" si="109"/>
        <v>0</v>
      </c>
    </row>
    <row r="452" spans="38:52" x14ac:dyDescent="0.35">
      <c r="AL452" s="16" t="s">
        <v>209</v>
      </c>
      <c r="AM452">
        <f t="shared" si="96"/>
        <v>0</v>
      </c>
      <c r="AN452">
        <f t="shared" si="97"/>
        <v>0</v>
      </c>
      <c r="AO452">
        <f t="shared" si="98"/>
        <v>0</v>
      </c>
      <c r="AP452">
        <f t="shared" si="99"/>
        <v>0</v>
      </c>
      <c r="AQ452">
        <f t="shared" si="100"/>
        <v>0</v>
      </c>
      <c r="AR452">
        <f t="shared" si="101"/>
        <v>0</v>
      </c>
      <c r="AS452">
        <f t="shared" si="102"/>
        <v>0</v>
      </c>
      <c r="AT452">
        <f t="shared" si="103"/>
        <v>0</v>
      </c>
      <c r="AU452">
        <f t="shared" si="104"/>
        <v>0</v>
      </c>
      <c r="AV452">
        <f t="shared" si="105"/>
        <v>0</v>
      </c>
      <c r="AW452">
        <f t="shared" si="106"/>
        <v>0</v>
      </c>
      <c r="AX452">
        <f t="shared" si="107"/>
        <v>0</v>
      </c>
      <c r="AY452">
        <f t="shared" si="108"/>
        <v>0</v>
      </c>
      <c r="AZ452">
        <f t="shared" si="109"/>
        <v>0</v>
      </c>
    </row>
    <row r="453" spans="38:52" x14ac:dyDescent="0.35">
      <c r="AL453" s="16" t="s">
        <v>210</v>
      </c>
      <c r="AM453">
        <f t="shared" si="96"/>
        <v>0</v>
      </c>
      <c r="AN453">
        <f t="shared" si="97"/>
        <v>0</v>
      </c>
      <c r="AO453">
        <f t="shared" si="98"/>
        <v>0</v>
      </c>
      <c r="AP453">
        <f t="shared" si="99"/>
        <v>0</v>
      </c>
      <c r="AQ453">
        <f t="shared" si="100"/>
        <v>0</v>
      </c>
      <c r="AR453">
        <f t="shared" si="101"/>
        <v>0</v>
      </c>
      <c r="AS453">
        <f t="shared" si="102"/>
        <v>0</v>
      </c>
      <c r="AT453">
        <f t="shared" si="103"/>
        <v>0</v>
      </c>
      <c r="AU453">
        <f t="shared" si="104"/>
        <v>0</v>
      </c>
      <c r="AV453">
        <f t="shared" si="105"/>
        <v>0</v>
      </c>
      <c r="AW453">
        <f t="shared" si="106"/>
        <v>0</v>
      </c>
      <c r="AX453">
        <f t="shared" si="107"/>
        <v>0</v>
      </c>
      <c r="AY453">
        <f t="shared" si="108"/>
        <v>0</v>
      </c>
      <c r="AZ453">
        <f t="shared" si="109"/>
        <v>0</v>
      </c>
    </row>
    <row r="454" spans="38:52" x14ac:dyDescent="0.35">
      <c r="AL454" s="16" t="s">
        <v>211</v>
      </c>
      <c r="AM454">
        <f t="shared" si="96"/>
        <v>0</v>
      </c>
      <c r="AN454">
        <f t="shared" si="97"/>
        <v>1</v>
      </c>
      <c r="AO454">
        <f t="shared" si="98"/>
        <v>1</v>
      </c>
      <c r="AP454">
        <f t="shared" si="99"/>
        <v>0</v>
      </c>
      <c r="AQ454">
        <f t="shared" si="100"/>
        <v>0</v>
      </c>
      <c r="AR454">
        <f t="shared" si="101"/>
        <v>0</v>
      </c>
      <c r="AS454">
        <f t="shared" si="102"/>
        <v>0</v>
      </c>
      <c r="AT454">
        <f t="shared" si="103"/>
        <v>1</v>
      </c>
      <c r="AU454">
        <f t="shared" si="104"/>
        <v>0</v>
      </c>
      <c r="AV454">
        <f t="shared" si="105"/>
        <v>0</v>
      </c>
      <c r="AW454">
        <f t="shared" si="106"/>
        <v>0</v>
      </c>
      <c r="AX454">
        <f t="shared" si="107"/>
        <v>0</v>
      </c>
      <c r="AY454">
        <f t="shared" si="108"/>
        <v>0</v>
      </c>
      <c r="AZ454">
        <f t="shared" si="109"/>
        <v>0</v>
      </c>
    </row>
    <row r="455" spans="38:52" x14ac:dyDescent="0.35">
      <c r="AL455" s="16" t="s">
        <v>212</v>
      </c>
      <c r="AM455">
        <f t="shared" si="96"/>
        <v>0</v>
      </c>
      <c r="AN455">
        <f t="shared" si="97"/>
        <v>0</v>
      </c>
      <c r="AO455">
        <f t="shared" si="98"/>
        <v>0</v>
      </c>
      <c r="AP455">
        <f t="shared" si="99"/>
        <v>0</v>
      </c>
      <c r="AQ455">
        <f t="shared" si="100"/>
        <v>0</v>
      </c>
      <c r="AR455">
        <f t="shared" si="101"/>
        <v>0</v>
      </c>
      <c r="AS455">
        <f t="shared" si="102"/>
        <v>0</v>
      </c>
      <c r="AT455">
        <f t="shared" si="103"/>
        <v>0</v>
      </c>
      <c r="AU455">
        <f t="shared" si="104"/>
        <v>0</v>
      </c>
      <c r="AV455">
        <f t="shared" si="105"/>
        <v>0</v>
      </c>
      <c r="AW455">
        <f t="shared" si="106"/>
        <v>0</v>
      </c>
      <c r="AX455">
        <f t="shared" si="107"/>
        <v>0</v>
      </c>
      <c r="AY455">
        <f t="shared" si="108"/>
        <v>0</v>
      </c>
      <c r="AZ455">
        <f t="shared" si="109"/>
        <v>0</v>
      </c>
    </row>
    <row r="456" spans="38:52" x14ac:dyDescent="0.35">
      <c r="AL456" s="16" t="s">
        <v>213</v>
      </c>
      <c r="AM456">
        <f t="shared" si="96"/>
        <v>0</v>
      </c>
      <c r="AN456">
        <f t="shared" si="97"/>
        <v>0</v>
      </c>
      <c r="AO456">
        <f t="shared" si="98"/>
        <v>0</v>
      </c>
      <c r="AP456">
        <f t="shared" si="99"/>
        <v>0</v>
      </c>
      <c r="AQ456">
        <f t="shared" si="100"/>
        <v>0</v>
      </c>
      <c r="AR456">
        <f t="shared" si="101"/>
        <v>0</v>
      </c>
      <c r="AS456">
        <f t="shared" si="102"/>
        <v>0</v>
      </c>
      <c r="AT456">
        <f t="shared" si="103"/>
        <v>0</v>
      </c>
      <c r="AU456">
        <f t="shared" si="104"/>
        <v>0</v>
      </c>
      <c r="AV456">
        <f t="shared" si="105"/>
        <v>0</v>
      </c>
      <c r="AW456">
        <f t="shared" si="106"/>
        <v>0</v>
      </c>
      <c r="AX456">
        <f t="shared" si="107"/>
        <v>0</v>
      </c>
      <c r="AY456">
        <f t="shared" si="108"/>
        <v>0</v>
      </c>
      <c r="AZ456">
        <f t="shared" si="109"/>
        <v>0</v>
      </c>
    </row>
    <row r="457" spans="38:52" x14ac:dyDescent="0.35">
      <c r="AL457" s="16" t="s">
        <v>214</v>
      </c>
      <c r="AM457">
        <f t="shared" si="96"/>
        <v>0</v>
      </c>
      <c r="AN457">
        <f t="shared" si="97"/>
        <v>0</v>
      </c>
      <c r="AO457">
        <f t="shared" si="98"/>
        <v>0</v>
      </c>
      <c r="AP457">
        <f t="shared" si="99"/>
        <v>0</v>
      </c>
      <c r="AQ457">
        <f t="shared" si="100"/>
        <v>0</v>
      </c>
      <c r="AR457">
        <f t="shared" si="101"/>
        <v>0</v>
      </c>
      <c r="AS457">
        <f t="shared" si="102"/>
        <v>0</v>
      </c>
      <c r="AT457">
        <f t="shared" si="103"/>
        <v>0</v>
      </c>
      <c r="AU457">
        <f t="shared" si="104"/>
        <v>0</v>
      </c>
      <c r="AV457">
        <f t="shared" si="105"/>
        <v>0</v>
      </c>
      <c r="AW457">
        <f t="shared" si="106"/>
        <v>0</v>
      </c>
      <c r="AX457">
        <f t="shared" si="107"/>
        <v>0</v>
      </c>
      <c r="AY457">
        <f t="shared" si="108"/>
        <v>0</v>
      </c>
      <c r="AZ457">
        <f t="shared" si="109"/>
        <v>0</v>
      </c>
    </row>
    <row r="458" spans="38:52" x14ac:dyDescent="0.35">
      <c r="AL458" s="16" t="s">
        <v>215</v>
      </c>
      <c r="AM458">
        <f t="shared" si="96"/>
        <v>0</v>
      </c>
      <c r="AN458">
        <f t="shared" si="97"/>
        <v>0</v>
      </c>
      <c r="AO458">
        <f t="shared" si="98"/>
        <v>0</v>
      </c>
      <c r="AP458">
        <f t="shared" si="99"/>
        <v>0</v>
      </c>
      <c r="AQ458">
        <f t="shared" si="100"/>
        <v>0</v>
      </c>
      <c r="AR458">
        <f t="shared" si="101"/>
        <v>0</v>
      </c>
      <c r="AS458">
        <f t="shared" si="102"/>
        <v>0</v>
      </c>
      <c r="AT458">
        <f t="shared" si="103"/>
        <v>0</v>
      </c>
      <c r="AU458">
        <f t="shared" si="104"/>
        <v>0</v>
      </c>
      <c r="AV458">
        <f t="shared" si="105"/>
        <v>0</v>
      </c>
      <c r="AW458">
        <f t="shared" si="106"/>
        <v>0</v>
      </c>
      <c r="AX458">
        <f t="shared" si="107"/>
        <v>0</v>
      </c>
      <c r="AY458">
        <f t="shared" si="108"/>
        <v>0</v>
      </c>
      <c r="AZ458">
        <f t="shared" si="109"/>
        <v>0</v>
      </c>
    </row>
    <row r="459" spans="38:52" x14ac:dyDescent="0.35">
      <c r="AL459" s="16" t="s">
        <v>216</v>
      </c>
      <c r="AM459">
        <f t="shared" si="96"/>
        <v>0</v>
      </c>
      <c r="AN459">
        <f t="shared" si="97"/>
        <v>0</v>
      </c>
      <c r="AO459">
        <f t="shared" si="98"/>
        <v>0</v>
      </c>
      <c r="AP459">
        <f t="shared" si="99"/>
        <v>0</v>
      </c>
      <c r="AQ459">
        <f t="shared" si="100"/>
        <v>0</v>
      </c>
      <c r="AR459">
        <f t="shared" si="101"/>
        <v>0</v>
      </c>
      <c r="AS459">
        <f t="shared" si="102"/>
        <v>0</v>
      </c>
      <c r="AT459">
        <f t="shared" si="103"/>
        <v>0</v>
      </c>
      <c r="AU459">
        <f t="shared" si="104"/>
        <v>0</v>
      </c>
      <c r="AV459">
        <f t="shared" si="105"/>
        <v>0</v>
      </c>
      <c r="AW459">
        <f t="shared" si="106"/>
        <v>0</v>
      </c>
      <c r="AX459">
        <f t="shared" si="107"/>
        <v>0</v>
      </c>
      <c r="AY459">
        <f t="shared" si="108"/>
        <v>0</v>
      </c>
      <c r="AZ459">
        <f t="shared" si="109"/>
        <v>0</v>
      </c>
    </row>
    <row r="460" spans="38:52" x14ac:dyDescent="0.35">
      <c r="AL460" s="16" t="s">
        <v>217</v>
      </c>
      <c r="AM460">
        <f t="shared" si="96"/>
        <v>0</v>
      </c>
      <c r="AN460">
        <f t="shared" si="97"/>
        <v>0</v>
      </c>
      <c r="AO460">
        <f t="shared" si="98"/>
        <v>0</v>
      </c>
      <c r="AP460">
        <f t="shared" si="99"/>
        <v>0</v>
      </c>
      <c r="AQ460">
        <f t="shared" si="100"/>
        <v>0</v>
      </c>
      <c r="AR460">
        <f t="shared" si="101"/>
        <v>0</v>
      </c>
      <c r="AS460">
        <f t="shared" si="102"/>
        <v>0</v>
      </c>
      <c r="AT460">
        <f t="shared" si="103"/>
        <v>0</v>
      </c>
      <c r="AU460">
        <f t="shared" si="104"/>
        <v>0</v>
      </c>
      <c r="AV460">
        <f t="shared" si="105"/>
        <v>0</v>
      </c>
      <c r="AW460">
        <f t="shared" si="106"/>
        <v>0</v>
      </c>
      <c r="AX460">
        <f t="shared" si="107"/>
        <v>0</v>
      </c>
      <c r="AY460">
        <f t="shared" si="108"/>
        <v>0</v>
      </c>
      <c r="AZ460">
        <f t="shared" si="109"/>
        <v>0</v>
      </c>
    </row>
    <row r="461" spans="38:52" x14ac:dyDescent="0.35">
      <c r="AL461" s="16" t="s">
        <v>218</v>
      </c>
      <c r="AM461">
        <f t="shared" si="96"/>
        <v>0</v>
      </c>
      <c r="AN461">
        <f t="shared" si="97"/>
        <v>0</v>
      </c>
      <c r="AO461">
        <f t="shared" si="98"/>
        <v>0</v>
      </c>
      <c r="AP461">
        <f t="shared" si="99"/>
        <v>0</v>
      </c>
      <c r="AQ461">
        <f t="shared" si="100"/>
        <v>0</v>
      </c>
      <c r="AR461">
        <f t="shared" si="101"/>
        <v>0</v>
      </c>
      <c r="AS461">
        <f t="shared" si="102"/>
        <v>0</v>
      </c>
      <c r="AT461">
        <f t="shared" si="103"/>
        <v>0</v>
      </c>
      <c r="AU461">
        <f t="shared" si="104"/>
        <v>0</v>
      </c>
      <c r="AV461">
        <f t="shared" si="105"/>
        <v>0</v>
      </c>
      <c r="AW461">
        <f t="shared" si="106"/>
        <v>0</v>
      </c>
      <c r="AX461">
        <f t="shared" si="107"/>
        <v>0</v>
      </c>
      <c r="AY461">
        <f t="shared" si="108"/>
        <v>0</v>
      </c>
      <c r="AZ461">
        <f t="shared" si="109"/>
        <v>0</v>
      </c>
    </row>
    <row r="462" spans="38:52" x14ac:dyDescent="0.35">
      <c r="AL462" s="16" t="s">
        <v>219</v>
      </c>
      <c r="AM462">
        <f t="shared" si="96"/>
        <v>0</v>
      </c>
      <c r="AN462">
        <f t="shared" si="97"/>
        <v>0</v>
      </c>
      <c r="AO462">
        <f t="shared" si="98"/>
        <v>0</v>
      </c>
      <c r="AP462">
        <f t="shared" si="99"/>
        <v>0</v>
      </c>
      <c r="AQ462">
        <f t="shared" si="100"/>
        <v>0</v>
      </c>
      <c r="AR462">
        <f t="shared" si="101"/>
        <v>0</v>
      </c>
      <c r="AS462">
        <f t="shared" si="102"/>
        <v>0</v>
      </c>
      <c r="AT462">
        <f t="shared" si="103"/>
        <v>0</v>
      </c>
      <c r="AU462">
        <f t="shared" si="104"/>
        <v>0</v>
      </c>
      <c r="AV462">
        <f t="shared" si="105"/>
        <v>0</v>
      </c>
      <c r="AW462">
        <f t="shared" si="106"/>
        <v>0</v>
      </c>
      <c r="AX462">
        <f t="shared" si="107"/>
        <v>0</v>
      </c>
      <c r="AY462">
        <f t="shared" si="108"/>
        <v>0</v>
      </c>
      <c r="AZ462">
        <f t="shared" si="109"/>
        <v>0</v>
      </c>
    </row>
    <row r="463" spans="38:52" x14ac:dyDescent="0.35">
      <c r="AL463" s="16" t="s">
        <v>220</v>
      </c>
      <c r="AM463">
        <f t="shared" si="96"/>
        <v>0</v>
      </c>
      <c r="AN463">
        <f t="shared" si="97"/>
        <v>0</v>
      </c>
      <c r="AO463">
        <f t="shared" si="98"/>
        <v>0</v>
      </c>
      <c r="AP463">
        <f t="shared" si="99"/>
        <v>0</v>
      </c>
      <c r="AQ463">
        <f t="shared" si="100"/>
        <v>0</v>
      </c>
      <c r="AR463">
        <f t="shared" si="101"/>
        <v>0</v>
      </c>
      <c r="AS463">
        <f t="shared" si="102"/>
        <v>0</v>
      </c>
      <c r="AT463">
        <f t="shared" si="103"/>
        <v>0</v>
      </c>
      <c r="AU463">
        <f t="shared" si="104"/>
        <v>0</v>
      </c>
      <c r="AV463">
        <f t="shared" si="105"/>
        <v>0</v>
      </c>
      <c r="AW463">
        <f t="shared" si="106"/>
        <v>0</v>
      </c>
      <c r="AX463">
        <f t="shared" si="107"/>
        <v>0</v>
      </c>
      <c r="AY463">
        <f t="shared" si="108"/>
        <v>0</v>
      </c>
      <c r="AZ463">
        <f t="shared" si="109"/>
        <v>0</v>
      </c>
    </row>
    <row r="464" spans="38:52" x14ac:dyDescent="0.35">
      <c r="AL464" s="16" t="s">
        <v>221</v>
      </c>
      <c r="AM464">
        <f t="shared" si="96"/>
        <v>4</v>
      </c>
      <c r="AN464">
        <f t="shared" si="97"/>
        <v>3</v>
      </c>
      <c r="AO464">
        <f t="shared" si="98"/>
        <v>2</v>
      </c>
      <c r="AP464">
        <f t="shared" si="99"/>
        <v>1</v>
      </c>
      <c r="AQ464">
        <f t="shared" si="100"/>
        <v>1</v>
      </c>
      <c r="AR464">
        <f t="shared" si="101"/>
        <v>4</v>
      </c>
      <c r="AS464">
        <f t="shared" si="102"/>
        <v>5</v>
      </c>
      <c r="AT464">
        <f t="shared" si="103"/>
        <v>3</v>
      </c>
      <c r="AU464">
        <f t="shared" si="104"/>
        <v>0</v>
      </c>
      <c r="AV464">
        <f t="shared" si="105"/>
        <v>0</v>
      </c>
      <c r="AW464">
        <f t="shared" si="106"/>
        <v>0</v>
      </c>
      <c r="AX464">
        <f t="shared" si="107"/>
        <v>0</v>
      </c>
      <c r="AY464">
        <f t="shared" si="108"/>
        <v>0</v>
      </c>
      <c r="AZ464">
        <f t="shared" si="109"/>
        <v>0</v>
      </c>
    </row>
    <row r="465" spans="38:52" x14ac:dyDescent="0.35">
      <c r="AL465" s="16" t="s">
        <v>222</v>
      </c>
      <c r="AM465">
        <f t="shared" si="96"/>
        <v>0</v>
      </c>
      <c r="AN465">
        <f t="shared" si="97"/>
        <v>0</v>
      </c>
      <c r="AO465">
        <f t="shared" si="98"/>
        <v>0</v>
      </c>
      <c r="AP465">
        <f t="shared" si="99"/>
        <v>0</v>
      </c>
      <c r="AQ465">
        <f t="shared" si="100"/>
        <v>0</v>
      </c>
      <c r="AR465">
        <f t="shared" si="101"/>
        <v>0</v>
      </c>
      <c r="AS465">
        <f t="shared" si="102"/>
        <v>0</v>
      </c>
      <c r="AT465">
        <f t="shared" si="103"/>
        <v>0</v>
      </c>
      <c r="AU465">
        <f t="shared" si="104"/>
        <v>0</v>
      </c>
      <c r="AV465">
        <f t="shared" si="105"/>
        <v>0</v>
      </c>
      <c r="AW465">
        <f t="shared" si="106"/>
        <v>0</v>
      </c>
      <c r="AX465">
        <f t="shared" si="107"/>
        <v>0</v>
      </c>
      <c r="AY465">
        <f t="shared" si="108"/>
        <v>0</v>
      </c>
      <c r="AZ465">
        <f t="shared" si="109"/>
        <v>0</v>
      </c>
    </row>
    <row r="466" spans="38:52" x14ac:dyDescent="0.35">
      <c r="AL466" s="16" t="s">
        <v>223</v>
      </c>
      <c r="AM466">
        <f t="shared" si="96"/>
        <v>0</v>
      </c>
      <c r="AN466">
        <f t="shared" si="97"/>
        <v>0</v>
      </c>
      <c r="AO466">
        <f t="shared" si="98"/>
        <v>0</v>
      </c>
      <c r="AP466">
        <f t="shared" si="99"/>
        <v>0</v>
      </c>
      <c r="AQ466">
        <f t="shared" si="100"/>
        <v>0</v>
      </c>
      <c r="AR466">
        <f t="shared" si="101"/>
        <v>0</v>
      </c>
      <c r="AS466">
        <f t="shared" si="102"/>
        <v>0</v>
      </c>
      <c r="AT466">
        <f t="shared" si="103"/>
        <v>0</v>
      </c>
      <c r="AU466">
        <f t="shared" si="104"/>
        <v>0</v>
      </c>
      <c r="AV466">
        <f t="shared" si="105"/>
        <v>0</v>
      </c>
      <c r="AW466">
        <f t="shared" si="106"/>
        <v>0</v>
      </c>
      <c r="AX466">
        <f t="shared" si="107"/>
        <v>0</v>
      </c>
      <c r="AY466">
        <f t="shared" si="108"/>
        <v>0</v>
      </c>
      <c r="AZ466">
        <f t="shared" si="109"/>
        <v>0</v>
      </c>
    </row>
    <row r="467" spans="38:52" x14ac:dyDescent="0.35">
      <c r="AL467" s="16" t="s">
        <v>224</v>
      </c>
      <c r="AM467">
        <f t="shared" si="96"/>
        <v>0</v>
      </c>
      <c r="AN467">
        <f t="shared" si="97"/>
        <v>0</v>
      </c>
      <c r="AO467">
        <f t="shared" si="98"/>
        <v>0</v>
      </c>
      <c r="AP467">
        <f t="shared" si="99"/>
        <v>0</v>
      </c>
      <c r="AQ467">
        <f t="shared" si="100"/>
        <v>0</v>
      </c>
      <c r="AR467">
        <f t="shared" si="101"/>
        <v>0</v>
      </c>
      <c r="AS467">
        <f t="shared" si="102"/>
        <v>0</v>
      </c>
      <c r="AT467">
        <f t="shared" si="103"/>
        <v>0</v>
      </c>
      <c r="AU467">
        <f t="shared" si="104"/>
        <v>0</v>
      </c>
      <c r="AV467">
        <f t="shared" si="105"/>
        <v>0</v>
      </c>
      <c r="AW467">
        <f t="shared" si="106"/>
        <v>0</v>
      </c>
      <c r="AX467">
        <f t="shared" si="107"/>
        <v>0</v>
      </c>
      <c r="AY467">
        <f t="shared" si="108"/>
        <v>0</v>
      </c>
      <c r="AZ467">
        <f t="shared" si="109"/>
        <v>0</v>
      </c>
    </row>
    <row r="468" spans="38:52" x14ac:dyDescent="0.35">
      <c r="AL468" s="16" t="s">
        <v>225</v>
      </c>
      <c r="AM468">
        <f t="shared" si="96"/>
        <v>0</v>
      </c>
      <c r="AN468">
        <f t="shared" si="97"/>
        <v>0</v>
      </c>
      <c r="AO468">
        <f t="shared" si="98"/>
        <v>0</v>
      </c>
      <c r="AP468">
        <f t="shared" si="99"/>
        <v>0</v>
      </c>
      <c r="AQ468">
        <f t="shared" si="100"/>
        <v>0</v>
      </c>
      <c r="AR468">
        <f t="shared" si="101"/>
        <v>0</v>
      </c>
      <c r="AS468">
        <f t="shared" si="102"/>
        <v>0</v>
      </c>
      <c r="AT468">
        <f t="shared" si="103"/>
        <v>0</v>
      </c>
      <c r="AU468">
        <f t="shared" si="104"/>
        <v>0</v>
      </c>
      <c r="AV468">
        <f t="shared" si="105"/>
        <v>0</v>
      </c>
      <c r="AW468">
        <f t="shared" si="106"/>
        <v>0</v>
      </c>
      <c r="AX468">
        <f t="shared" si="107"/>
        <v>0</v>
      </c>
      <c r="AY468">
        <f t="shared" si="108"/>
        <v>0</v>
      </c>
      <c r="AZ468">
        <f t="shared" si="109"/>
        <v>0</v>
      </c>
    </row>
    <row r="469" spans="38:52" x14ac:dyDescent="0.35">
      <c r="AL469" s="16" t="s">
        <v>226</v>
      </c>
      <c r="AM469">
        <f t="shared" si="96"/>
        <v>0</v>
      </c>
      <c r="AN469">
        <f t="shared" si="97"/>
        <v>0</v>
      </c>
      <c r="AO469">
        <f t="shared" si="98"/>
        <v>0</v>
      </c>
      <c r="AP469">
        <f t="shared" si="99"/>
        <v>0</v>
      </c>
      <c r="AQ469">
        <f t="shared" si="100"/>
        <v>0</v>
      </c>
      <c r="AR469">
        <f t="shared" si="101"/>
        <v>0</v>
      </c>
      <c r="AS469">
        <f t="shared" si="102"/>
        <v>0</v>
      </c>
      <c r="AT469">
        <f t="shared" si="103"/>
        <v>0</v>
      </c>
      <c r="AU469">
        <f t="shared" si="104"/>
        <v>0</v>
      </c>
      <c r="AV469">
        <f t="shared" si="105"/>
        <v>0</v>
      </c>
      <c r="AW469">
        <f t="shared" si="106"/>
        <v>0</v>
      </c>
      <c r="AX469">
        <f t="shared" si="107"/>
        <v>0</v>
      </c>
      <c r="AY469">
        <f t="shared" si="108"/>
        <v>0</v>
      </c>
      <c r="AZ469">
        <f t="shared" si="109"/>
        <v>0</v>
      </c>
    </row>
    <row r="470" spans="38:52" x14ac:dyDescent="0.35">
      <c r="AL470" s="16" t="s">
        <v>227</v>
      </c>
      <c r="AM470">
        <f t="shared" si="96"/>
        <v>0</v>
      </c>
      <c r="AN470">
        <f t="shared" si="97"/>
        <v>0</v>
      </c>
      <c r="AO470">
        <f t="shared" si="98"/>
        <v>0</v>
      </c>
      <c r="AP470">
        <f t="shared" si="99"/>
        <v>0</v>
      </c>
      <c r="AQ470">
        <f t="shared" si="100"/>
        <v>0</v>
      </c>
      <c r="AR470">
        <f t="shared" si="101"/>
        <v>0</v>
      </c>
      <c r="AS470">
        <f t="shared" si="102"/>
        <v>0</v>
      </c>
      <c r="AT470">
        <f t="shared" si="103"/>
        <v>0</v>
      </c>
      <c r="AU470">
        <f t="shared" si="104"/>
        <v>0</v>
      </c>
      <c r="AV470">
        <f t="shared" si="105"/>
        <v>0</v>
      </c>
      <c r="AW470">
        <f t="shared" si="106"/>
        <v>0</v>
      </c>
      <c r="AX470">
        <f t="shared" si="107"/>
        <v>0</v>
      </c>
      <c r="AY470">
        <f t="shared" si="108"/>
        <v>0</v>
      </c>
      <c r="AZ470">
        <f t="shared" si="109"/>
        <v>0</v>
      </c>
    </row>
    <row r="471" spans="38:52" x14ac:dyDescent="0.35">
      <c r="AL471" s="16" t="s">
        <v>228</v>
      </c>
      <c r="AM471">
        <f t="shared" si="96"/>
        <v>0</v>
      </c>
      <c r="AN471">
        <f t="shared" si="97"/>
        <v>0</v>
      </c>
      <c r="AO471">
        <f t="shared" si="98"/>
        <v>0</v>
      </c>
      <c r="AP471">
        <f t="shared" si="99"/>
        <v>0</v>
      </c>
      <c r="AQ471">
        <f t="shared" si="100"/>
        <v>0</v>
      </c>
      <c r="AR471">
        <f t="shared" si="101"/>
        <v>0</v>
      </c>
      <c r="AS471">
        <f t="shared" si="102"/>
        <v>0</v>
      </c>
      <c r="AT471">
        <f t="shared" si="103"/>
        <v>0</v>
      </c>
      <c r="AU471">
        <f t="shared" si="104"/>
        <v>0</v>
      </c>
      <c r="AV471">
        <f t="shared" si="105"/>
        <v>0</v>
      </c>
      <c r="AW471">
        <f t="shared" si="106"/>
        <v>0</v>
      </c>
      <c r="AX471">
        <f t="shared" si="107"/>
        <v>0</v>
      </c>
      <c r="AY471">
        <f t="shared" si="108"/>
        <v>0</v>
      </c>
      <c r="AZ471">
        <f t="shared" si="109"/>
        <v>0</v>
      </c>
    </row>
    <row r="472" spans="38:52" x14ac:dyDescent="0.35">
      <c r="AL472" s="16" t="s">
        <v>229</v>
      </c>
      <c r="AM472">
        <f t="shared" si="96"/>
        <v>0</v>
      </c>
      <c r="AN472">
        <f t="shared" si="97"/>
        <v>0</v>
      </c>
      <c r="AO472">
        <f t="shared" si="98"/>
        <v>0</v>
      </c>
      <c r="AP472">
        <f t="shared" si="99"/>
        <v>0</v>
      </c>
      <c r="AQ472">
        <f t="shared" si="100"/>
        <v>0</v>
      </c>
      <c r="AR472">
        <f t="shared" si="101"/>
        <v>0</v>
      </c>
      <c r="AS472">
        <f t="shared" si="102"/>
        <v>0</v>
      </c>
      <c r="AT472">
        <f t="shared" si="103"/>
        <v>0</v>
      </c>
      <c r="AU472">
        <f t="shared" si="104"/>
        <v>0</v>
      </c>
      <c r="AV472">
        <f t="shared" si="105"/>
        <v>0</v>
      </c>
      <c r="AW472">
        <f t="shared" si="106"/>
        <v>0</v>
      </c>
      <c r="AX472">
        <f t="shared" si="107"/>
        <v>0</v>
      </c>
      <c r="AY472">
        <f t="shared" si="108"/>
        <v>0</v>
      </c>
      <c r="AZ472">
        <f t="shared" si="109"/>
        <v>0</v>
      </c>
    </row>
    <row r="473" spans="38:52" x14ac:dyDescent="0.35">
      <c r="AL473" s="16" t="s">
        <v>230</v>
      </c>
      <c r="AM473">
        <f t="shared" si="96"/>
        <v>0</v>
      </c>
      <c r="AN473">
        <f t="shared" si="97"/>
        <v>0</v>
      </c>
      <c r="AO473">
        <f t="shared" si="98"/>
        <v>0</v>
      </c>
      <c r="AP473">
        <f t="shared" si="99"/>
        <v>0</v>
      </c>
      <c r="AQ473">
        <f t="shared" si="100"/>
        <v>0</v>
      </c>
      <c r="AR473">
        <f t="shared" si="101"/>
        <v>0</v>
      </c>
      <c r="AS473">
        <f t="shared" si="102"/>
        <v>0</v>
      </c>
      <c r="AT473">
        <f t="shared" si="103"/>
        <v>0</v>
      </c>
      <c r="AU473">
        <f t="shared" si="104"/>
        <v>0</v>
      </c>
      <c r="AV473">
        <f t="shared" si="105"/>
        <v>0</v>
      </c>
      <c r="AW473">
        <f t="shared" si="106"/>
        <v>0</v>
      </c>
      <c r="AX473">
        <f t="shared" si="107"/>
        <v>0</v>
      </c>
      <c r="AY473">
        <f t="shared" si="108"/>
        <v>0</v>
      </c>
      <c r="AZ473">
        <f t="shared" si="109"/>
        <v>0</v>
      </c>
    </row>
    <row r="474" spans="38:52" x14ac:dyDescent="0.35">
      <c r="AL474" s="16" t="s">
        <v>231</v>
      </c>
      <c r="AM474">
        <f t="shared" si="96"/>
        <v>0</v>
      </c>
      <c r="AN474">
        <f t="shared" si="97"/>
        <v>1</v>
      </c>
      <c r="AO474">
        <f t="shared" si="98"/>
        <v>0</v>
      </c>
      <c r="AP474">
        <f t="shared" si="99"/>
        <v>0</v>
      </c>
      <c r="AQ474">
        <f t="shared" si="100"/>
        <v>0</v>
      </c>
      <c r="AR474">
        <f t="shared" si="101"/>
        <v>2</v>
      </c>
      <c r="AS474">
        <f t="shared" si="102"/>
        <v>0</v>
      </c>
      <c r="AT474">
        <f t="shared" si="103"/>
        <v>0</v>
      </c>
      <c r="AU474">
        <f t="shared" si="104"/>
        <v>0</v>
      </c>
      <c r="AV474">
        <f t="shared" si="105"/>
        <v>0</v>
      </c>
      <c r="AW474">
        <f t="shared" si="106"/>
        <v>0</v>
      </c>
      <c r="AX474">
        <f t="shared" si="107"/>
        <v>0</v>
      </c>
      <c r="AY474">
        <f t="shared" si="108"/>
        <v>0</v>
      </c>
      <c r="AZ474">
        <f t="shared" si="109"/>
        <v>0</v>
      </c>
    </row>
    <row r="475" spans="38:52" x14ac:dyDescent="0.35">
      <c r="AL475" s="16" t="s">
        <v>232</v>
      </c>
      <c r="AM475">
        <f t="shared" si="96"/>
        <v>0</v>
      </c>
      <c r="AN475">
        <f t="shared" si="97"/>
        <v>0</v>
      </c>
      <c r="AO475">
        <f t="shared" si="98"/>
        <v>0</v>
      </c>
      <c r="AP475">
        <f t="shared" si="99"/>
        <v>0</v>
      </c>
      <c r="AQ475">
        <f t="shared" si="100"/>
        <v>0</v>
      </c>
      <c r="AR475">
        <f t="shared" si="101"/>
        <v>0</v>
      </c>
      <c r="AS475">
        <f t="shared" si="102"/>
        <v>0</v>
      </c>
      <c r="AT475">
        <f t="shared" si="103"/>
        <v>0</v>
      </c>
      <c r="AU475">
        <f t="shared" si="104"/>
        <v>0</v>
      </c>
      <c r="AV475">
        <f t="shared" si="105"/>
        <v>0</v>
      </c>
      <c r="AW475">
        <f t="shared" si="106"/>
        <v>0</v>
      </c>
      <c r="AX475">
        <f t="shared" si="107"/>
        <v>0</v>
      </c>
      <c r="AY475">
        <f t="shared" si="108"/>
        <v>0</v>
      </c>
      <c r="AZ475">
        <f t="shared" si="109"/>
        <v>0</v>
      </c>
    </row>
    <row r="476" spans="38:52" x14ac:dyDescent="0.35">
      <c r="AL476" s="16" t="s">
        <v>233</v>
      </c>
      <c r="AM476">
        <f t="shared" si="96"/>
        <v>0</v>
      </c>
      <c r="AN476">
        <f t="shared" si="97"/>
        <v>1</v>
      </c>
      <c r="AO476">
        <f t="shared" si="98"/>
        <v>0</v>
      </c>
      <c r="AP476">
        <f t="shared" si="99"/>
        <v>0</v>
      </c>
      <c r="AQ476">
        <f t="shared" si="100"/>
        <v>0</v>
      </c>
      <c r="AR476">
        <f t="shared" si="101"/>
        <v>0</v>
      </c>
      <c r="AS476">
        <f t="shared" si="102"/>
        <v>0</v>
      </c>
      <c r="AT476">
        <f t="shared" si="103"/>
        <v>0</v>
      </c>
      <c r="AU476">
        <f t="shared" si="104"/>
        <v>0</v>
      </c>
      <c r="AV476">
        <f t="shared" si="105"/>
        <v>0</v>
      </c>
      <c r="AW476">
        <f t="shared" si="106"/>
        <v>0</v>
      </c>
      <c r="AX476">
        <f t="shared" si="107"/>
        <v>0</v>
      </c>
      <c r="AY476">
        <f t="shared" si="108"/>
        <v>0</v>
      </c>
      <c r="AZ476">
        <f t="shared" si="109"/>
        <v>0</v>
      </c>
    </row>
    <row r="477" spans="38:52" x14ac:dyDescent="0.35">
      <c r="AL477" s="16" t="s">
        <v>234</v>
      </c>
      <c r="AM477">
        <f t="shared" si="96"/>
        <v>0</v>
      </c>
      <c r="AN477">
        <f t="shared" si="97"/>
        <v>0</v>
      </c>
      <c r="AO477">
        <f t="shared" si="98"/>
        <v>0</v>
      </c>
      <c r="AP477">
        <f t="shared" si="99"/>
        <v>0</v>
      </c>
      <c r="AQ477">
        <f t="shared" si="100"/>
        <v>0</v>
      </c>
      <c r="AR477">
        <f t="shared" si="101"/>
        <v>0</v>
      </c>
      <c r="AS477">
        <f t="shared" si="102"/>
        <v>0</v>
      </c>
      <c r="AT477">
        <f t="shared" si="103"/>
        <v>0</v>
      </c>
      <c r="AU477">
        <f t="shared" si="104"/>
        <v>0</v>
      </c>
      <c r="AV477">
        <f t="shared" si="105"/>
        <v>0</v>
      </c>
      <c r="AW477">
        <f t="shared" si="106"/>
        <v>0</v>
      </c>
      <c r="AX477">
        <f t="shared" si="107"/>
        <v>0</v>
      </c>
      <c r="AY477">
        <f t="shared" si="108"/>
        <v>0</v>
      </c>
      <c r="AZ477">
        <f t="shared" si="109"/>
        <v>0</v>
      </c>
    </row>
    <row r="478" spans="38:52" x14ac:dyDescent="0.35">
      <c r="AL478" s="16" t="s">
        <v>236</v>
      </c>
      <c r="AM478">
        <f t="shared" si="96"/>
        <v>0</v>
      </c>
      <c r="AN478">
        <f t="shared" si="97"/>
        <v>0</v>
      </c>
      <c r="AO478">
        <f t="shared" si="98"/>
        <v>0</v>
      </c>
      <c r="AP478">
        <f t="shared" si="99"/>
        <v>0</v>
      </c>
      <c r="AQ478">
        <f t="shared" si="100"/>
        <v>0</v>
      </c>
      <c r="AR478">
        <f t="shared" si="101"/>
        <v>0</v>
      </c>
      <c r="AS478">
        <f t="shared" si="102"/>
        <v>0</v>
      </c>
      <c r="AT478">
        <f t="shared" si="103"/>
        <v>0</v>
      </c>
      <c r="AU478">
        <f t="shared" si="104"/>
        <v>0</v>
      </c>
      <c r="AV478">
        <f t="shared" si="105"/>
        <v>0</v>
      </c>
      <c r="AW478">
        <f t="shared" si="106"/>
        <v>0</v>
      </c>
      <c r="AX478">
        <f t="shared" si="107"/>
        <v>0</v>
      </c>
      <c r="AY478">
        <f t="shared" si="108"/>
        <v>0</v>
      </c>
      <c r="AZ478">
        <f t="shared" si="109"/>
        <v>0</v>
      </c>
    </row>
    <row r="479" spans="38:52" x14ac:dyDescent="0.35">
      <c r="AL479" s="16" t="s">
        <v>237</v>
      </c>
      <c r="AM479">
        <f t="shared" si="96"/>
        <v>0</v>
      </c>
      <c r="AN479">
        <f t="shared" si="97"/>
        <v>0</v>
      </c>
      <c r="AO479">
        <f t="shared" si="98"/>
        <v>0</v>
      </c>
      <c r="AP479">
        <f t="shared" si="99"/>
        <v>0</v>
      </c>
      <c r="AQ479">
        <f t="shared" si="100"/>
        <v>0</v>
      </c>
      <c r="AR479">
        <f t="shared" si="101"/>
        <v>0</v>
      </c>
      <c r="AS479">
        <f t="shared" si="102"/>
        <v>0</v>
      </c>
      <c r="AT479">
        <f t="shared" si="103"/>
        <v>0</v>
      </c>
      <c r="AU479">
        <f t="shared" si="104"/>
        <v>0</v>
      </c>
      <c r="AV479">
        <f t="shared" si="105"/>
        <v>0</v>
      </c>
      <c r="AW479">
        <f t="shared" si="106"/>
        <v>0</v>
      </c>
      <c r="AX479">
        <f t="shared" si="107"/>
        <v>0</v>
      </c>
      <c r="AY479">
        <f t="shared" si="108"/>
        <v>0</v>
      </c>
      <c r="AZ479">
        <f t="shared" si="109"/>
        <v>0</v>
      </c>
    </row>
    <row r="480" spans="38:52" x14ac:dyDescent="0.35">
      <c r="AL480" s="16" t="s">
        <v>238</v>
      </c>
      <c r="AM480">
        <f t="shared" si="96"/>
        <v>0</v>
      </c>
      <c r="AN480">
        <f t="shared" si="97"/>
        <v>0</v>
      </c>
      <c r="AO480">
        <f t="shared" si="98"/>
        <v>0</v>
      </c>
      <c r="AP480">
        <f t="shared" si="99"/>
        <v>0</v>
      </c>
      <c r="AQ480">
        <f t="shared" si="100"/>
        <v>0</v>
      </c>
      <c r="AR480">
        <f t="shared" si="101"/>
        <v>0</v>
      </c>
      <c r="AS480">
        <f t="shared" si="102"/>
        <v>0</v>
      </c>
      <c r="AT480">
        <f t="shared" si="103"/>
        <v>0</v>
      </c>
      <c r="AU480">
        <f t="shared" si="104"/>
        <v>0</v>
      </c>
      <c r="AV480">
        <f t="shared" si="105"/>
        <v>0</v>
      </c>
      <c r="AW480">
        <f t="shared" si="106"/>
        <v>0</v>
      </c>
      <c r="AX480">
        <f t="shared" si="107"/>
        <v>0</v>
      </c>
      <c r="AY480">
        <f t="shared" si="108"/>
        <v>0</v>
      </c>
      <c r="AZ480">
        <f t="shared" si="109"/>
        <v>0</v>
      </c>
    </row>
    <row r="481" spans="38:52" x14ac:dyDescent="0.35">
      <c r="AL481" s="16" t="s">
        <v>239</v>
      </c>
      <c r="AM481">
        <f t="shared" si="96"/>
        <v>2</v>
      </c>
      <c r="AN481">
        <f t="shared" si="97"/>
        <v>0</v>
      </c>
      <c r="AO481">
        <f t="shared" si="98"/>
        <v>0</v>
      </c>
      <c r="AP481">
        <f t="shared" si="99"/>
        <v>0</v>
      </c>
      <c r="AQ481">
        <f t="shared" si="100"/>
        <v>0</v>
      </c>
      <c r="AR481">
        <f t="shared" si="101"/>
        <v>0</v>
      </c>
      <c r="AS481">
        <f t="shared" si="102"/>
        <v>0</v>
      </c>
      <c r="AT481">
        <f t="shared" si="103"/>
        <v>0</v>
      </c>
      <c r="AU481">
        <f t="shared" si="104"/>
        <v>0</v>
      </c>
      <c r="AV481">
        <f t="shared" si="105"/>
        <v>0</v>
      </c>
      <c r="AW481">
        <f t="shared" si="106"/>
        <v>0</v>
      </c>
      <c r="AX481">
        <f t="shared" si="107"/>
        <v>0</v>
      </c>
      <c r="AY481">
        <f t="shared" si="108"/>
        <v>0</v>
      </c>
      <c r="AZ481">
        <f t="shared" si="109"/>
        <v>0</v>
      </c>
    </row>
    <row r="482" spans="38:52" x14ac:dyDescent="0.35">
      <c r="AL482" s="16" t="s">
        <v>240</v>
      </c>
      <c r="AM482">
        <f t="shared" si="96"/>
        <v>0</v>
      </c>
      <c r="AN482">
        <f t="shared" si="97"/>
        <v>0</v>
      </c>
      <c r="AO482">
        <f t="shared" si="98"/>
        <v>0</v>
      </c>
      <c r="AP482">
        <f t="shared" si="99"/>
        <v>0</v>
      </c>
      <c r="AQ482">
        <f t="shared" si="100"/>
        <v>0</v>
      </c>
      <c r="AR482">
        <f t="shared" si="101"/>
        <v>0</v>
      </c>
      <c r="AS482">
        <f t="shared" si="102"/>
        <v>0</v>
      </c>
      <c r="AT482">
        <f t="shared" si="103"/>
        <v>1</v>
      </c>
      <c r="AU482">
        <f t="shared" si="104"/>
        <v>0</v>
      </c>
      <c r="AV482">
        <f t="shared" si="105"/>
        <v>0</v>
      </c>
      <c r="AW482">
        <f t="shared" si="106"/>
        <v>0</v>
      </c>
      <c r="AX482">
        <f t="shared" si="107"/>
        <v>0</v>
      </c>
      <c r="AY482">
        <f t="shared" si="108"/>
        <v>0</v>
      </c>
      <c r="AZ482">
        <f t="shared" si="109"/>
        <v>0</v>
      </c>
    </row>
    <row r="483" spans="38:52" x14ac:dyDescent="0.35">
      <c r="AL483" s="16" t="s">
        <v>241</v>
      </c>
      <c r="AM483">
        <f t="shared" si="96"/>
        <v>0</v>
      </c>
      <c r="AN483">
        <f t="shared" si="97"/>
        <v>0</v>
      </c>
      <c r="AO483">
        <f t="shared" si="98"/>
        <v>0</v>
      </c>
      <c r="AP483">
        <f t="shared" si="99"/>
        <v>0</v>
      </c>
      <c r="AQ483">
        <f t="shared" si="100"/>
        <v>0</v>
      </c>
      <c r="AR483">
        <f t="shared" si="101"/>
        <v>0</v>
      </c>
      <c r="AS483">
        <f t="shared" si="102"/>
        <v>0</v>
      </c>
      <c r="AT483">
        <f t="shared" si="103"/>
        <v>0</v>
      </c>
      <c r="AU483">
        <f t="shared" si="104"/>
        <v>0</v>
      </c>
      <c r="AV483">
        <f t="shared" si="105"/>
        <v>0</v>
      </c>
      <c r="AW483">
        <f t="shared" si="106"/>
        <v>0</v>
      </c>
      <c r="AX483">
        <f t="shared" si="107"/>
        <v>0</v>
      </c>
      <c r="AY483">
        <f t="shared" si="108"/>
        <v>0</v>
      </c>
      <c r="AZ483">
        <f t="shared" si="109"/>
        <v>0</v>
      </c>
    </row>
    <row r="484" spans="38:52" x14ac:dyDescent="0.35">
      <c r="AL484" s="16" t="s">
        <v>242</v>
      </c>
      <c r="AM484">
        <f t="shared" si="96"/>
        <v>0</v>
      </c>
      <c r="AN484">
        <f t="shared" si="97"/>
        <v>0</v>
      </c>
      <c r="AO484">
        <f t="shared" si="98"/>
        <v>0</v>
      </c>
      <c r="AP484">
        <f t="shared" si="99"/>
        <v>0</v>
      </c>
      <c r="AQ484">
        <f t="shared" si="100"/>
        <v>0</v>
      </c>
      <c r="AR484">
        <f t="shared" si="101"/>
        <v>0</v>
      </c>
      <c r="AS484">
        <f t="shared" si="102"/>
        <v>0</v>
      </c>
      <c r="AT484">
        <f t="shared" si="103"/>
        <v>0</v>
      </c>
      <c r="AU484">
        <f t="shared" si="104"/>
        <v>0</v>
      </c>
      <c r="AV484">
        <f t="shared" si="105"/>
        <v>0</v>
      </c>
      <c r="AW484">
        <f t="shared" si="106"/>
        <v>0</v>
      </c>
      <c r="AX484">
        <f t="shared" si="107"/>
        <v>0</v>
      </c>
      <c r="AY484">
        <f t="shared" si="108"/>
        <v>0</v>
      </c>
      <c r="AZ484">
        <f t="shared" si="109"/>
        <v>0</v>
      </c>
    </row>
    <row r="485" spans="38:52" x14ac:dyDescent="0.35">
      <c r="AL485" s="16" t="s">
        <v>243</v>
      </c>
      <c r="AM485">
        <f t="shared" si="96"/>
        <v>0</v>
      </c>
      <c r="AN485">
        <f t="shared" si="97"/>
        <v>0</v>
      </c>
      <c r="AO485">
        <f t="shared" si="98"/>
        <v>0</v>
      </c>
      <c r="AP485">
        <f t="shared" si="99"/>
        <v>0</v>
      </c>
      <c r="AQ485">
        <f t="shared" si="100"/>
        <v>0</v>
      </c>
      <c r="AR485">
        <f t="shared" si="101"/>
        <v>0</v>
      </c>
      <c r="AS485">
        <f t="shared" si="102"/>
        <v>0</v>
      </c>
      <c r="AT485">
        <f t="shared" si="103"/>
        <v>0</v>
      </c>
      <c r="AU485">
        <f t="shared" si="104"/>
        <v>0</v>
      </c>
      <c r="AV485">
        <f t="shared" si="105"/>
        <v>0</v>
      </c>
      <c r="AW485">
        <f t="shared" si="106"/>
        <v>0</v>
      </c>
      <c r="AX485">
        <f t="shared" si="107"/>
        <v>0</v>
      </c>
      <c r="AY485">
        <f t="shared" si="108"/>
        <v>0</v>
      </c>
      <c r="AZ485">
        <f t="shared" si="109"/>
        <v>0</v>
      </c>
    </row>
    <row r="486" spans="38:52" x14ac:dyDescent="0.35">
      <c r="AL486" s="16" t="s">
        <v>244</v>
      </c>
      <c r="AM486">
        <f t="shared" si="96"/>
        <v>0</v>
      </c>
      <c r="AN486">
        <f t="shared" si="97"/>
        <v>0</v>
      </c>
      <c r="AO486">
        <f t="shared" si="98"/>
        <v>0</v>
      </c>
      <c r="AP486">
        <f t="shared" si="99"/>
        <v>0</v>
      </c>
      <c r="AQ486">
        <f t="shared" si="100"/>
        <v>0</v>
      </c>
      <c r="AR486">
        <f t="shared" si="101"/>
        <v>0</v>
      </c>
      <c r="AS486">
        <f t="shared" si="102"/>
        <v>0</v>
      </c>
      <c r="AT486">
        <f t="shared" si="103"/>
        <v>0</v>
      </c>
      <c r="AU486">
        <f t="shared" si="104"/>
        <v>0</v>
      </c>
      <c r="AV486">
        <f t="shared" si="105"/>
        <v>0</v>
      </c>
      <c r="AW486">
        <f t="shared" si="106"/>
        <v>0</v>
      </c>
      <c r="AX486">
        <f t="shared" si="107"/>
        <v>0</v>
      </c>
      <c r="AY486">
        <f t="shared" si="108"/>
        <v>0</v>
      </c>
      <c r="AZ486">
        <f t="shared" si="109"/>
        <v>0</v>
      </c>
    </row>
    <row r="487" spans="38:52" x14ac:dyDescent="0.35">
      <c r="AL487" s="16" t="s">
        <v>245</v>
      </c>
      <c r="AM487">
        <f t="shared" si="96"/>
        <v>0</v>
      </c>
      <c r="AN487">
        <f t="shared" si="97"/>
        <v>0</v>
      </c>
      <c r="AO487">
        <f t="shared" si="98"/>
        <v>0</v>
      </c>
      <c r="AP487">
        <f t="shared" si="99"/>
        <v>0</v>
      </c>
      <c r="AQ487">
        <f t="shared" si="100"/>
        <v>0</v>
      </c>
      <c r="AR487">
        <f t="shared" si="101"/>
        <v>0</v>
      </c>
      <c r="AS487">
        <f t="shared" si="102"/>
        <v>0</v>
      </c>
      <c r="AT487">
        <f t="shared" si="103"/>
        <v>0</v>
      </c>
      <c r="AU487">
        <f t="shared" si="104"/>
        <v>0</v>
      </c>
      <c r="AV487">
        <f t="shared" si="105"/>
        <v>0</v>
      </c>
      <c r="AW487">
        <f t="shared" si="106"/>
        <v>0</v>
      </c>
      <c r="AX487">
        <f t="shared" si="107"/>
        <v>0</v>
      </c>
      <c r="AY487">
        <f t="shared" si="108"/>
        <v>0</v>
      </c>
      <c r="AZ487">
        <f t="shared" si="109"/>
        <v>0</v>
      </c>
    </row>
    <row r="488" spans="38:52" x14ac:dyDescent="0.35">
      <c r="AL488" s="16" t="s">
        <v>246</v>
      </c>
      <c r="AM488">
        <f t="shared" si="96"/>
        <v>0</v>
      </c>
      <c r="AN488">
        <f t="shared" si="97"/>
        <v>0</v>
      </c>
      <c r="AO488">
        <f t="shared" si="98"/>
        <v>0</v>
      </c>
      <c r="AP488">
        <f t="shared" si="99"/>
        <v>0</v>
      </c>
      <c r="AQ488">
        <f t="shared" si="100"/>
        <v>0</v>
      </c>
      <c r="AR488">
        <f t="shared" si="101"/>
        <v>0</v>
      </c>
      <c r="AS488">
        <f t="shared" si="102"/>
        <v>0</v>
      </c>
      <c r="AT488">
        <f t="shared" si="103"/>
        <v>0</v>
      </c>
      <c r="AU488">
        <f t="shared" si="104"/>
        <v>0</v>
      </c>
      <c r="AV488">
        <f t="shared" si="105"/>
        <v>0</v>
      </c>
      <c r="AW488">
        <f t="shared" si="106"/>
        <v>0</v>
      </c>
      <c r="AX488">
        <f t="shared" si="107"/>
        <v>0</v>
      </c>
      <c r="AY488">
        <f t="shared" si="108"/>
        <v>0</v>
      </c>
      <c r="AZ488">
        <f t="shared" si="109"/>
        <v>0</v>
      </c>
    </row>
    <row r="489" spans="38:52" x14ac:dyDescent="0.35">
      <c r="AL489" s="16" t="s">
        <v>247</v>
      </c>
      <c r="AM489">
        <f t="shared" si="96"/>
        <v>0</v>
      </c>
      <c r="AN489">
        <f t="shared" si="97"/>
        <v>0</v>
      </c>
      <c r="AO489">
        <f t="shared" si="98"/>
        <v>0</v>
      </c>
      <c r="AP489">
        <f t="shared" si="99"/>
        <v>0</v>
      </c>
      <c r="AQ489">
        <f t="shared" si="100"/>
        <v>0</v>
      </c>
      <c r="AR489">
        <f t="shared" si="101"/>
        <v>0</v>
      </c>
      <c r="AS489">
        <f t="shared" si="102"/>
        <v>0</v>
      </c>
      <c r="AT489">
        <f t="shared" si="103"/>
        <v>0</v>
      </c>
      <c r="AU489">
        <f t="shared" si="104"/>
        <v>0</v>
      </c>
      <c r="AV489">
        <f t="shared" si="105"/>
        <v>0</v>
      </c>
      <c r="AW489">
        <f t="shared" si="106"/>
        <v>0</v>
      </c>
      <c r="AX489">
        <f t="shared" si="107"/>
        <v>0</v>
      </c>
      <c r="AY489">
        <f t="shared" si="108"/>
        <v>0</v>
      </c>
      <c r="AZ489">
        <f t="shared" si="109"/>
        <v>0</v>
      </c>
    </row>
    <row r="490" spans="38:52" x14ac:dyDescent="0.35">
      <c r="AL490" s="16" t="s">
        <v>248</v>
      </c>
      <c r="AM490">
        <f t="shared" si="96"/>
        <v>0</v>
      </c>
      <c r="AN490">
        <f t="shared" si="97"/>
        <v>0</v>
      </c>
      <c r="AO490">
        <f t="shared" si="98"/>
        <v>0</v>
      </c>
      <c r="AP490">
        <f t="shared" si="99"/>
        <v>0</v>
      </c>
      <c r="AQ490">
        <f t="shared" si="100"/>
        <v>0</v>
      </c>
      <c r="AR490">
        <f t="shared" si="101"/>
        <v>0</v>
      </c>
      <c r="AS490">
        <f t="shared" si="102"/>
        <v>0</v>
      </c>
      <c r="AT490">
        <f t="shared" si="103"/>
        <v>0</v>
      </c>
      <c r="AU490">
        <f t="shared" si="104"/>
        <v>0</v>
      </c>
      <c r="AV490">
        <f t="shared" si="105"/>
        <v>0</v>
      </c>
      <c r="AW490">
        <f t="shared" si="106"/>
        <v>0</v>
      </c>
      <c r="AX490">
        <f t="shared" si="107"/>
        <v>0</v>
      </c>
      <c r="AY490">
        <f t="shared" si="108"/>
        <v>0</v>
      </c>
      <c r="AZ490">
        <f t="shared" si="109"/>
        <v>0</v>
      </c>
    </row>
    <row r="491" spans="38:52" x14ac:dyDescent="0.35">
      <c r="AL491" s="16" t="s">
        <v>249</v>
      </c>
      <c r="AM491">
        <f t="shared" si="96"/>
        <v>0</v>
      </c>
      <c r="AN491">
        <f t="shared" si="97"/>
        <v>0</v>
      </c>
      <c r="AO491">
        <f t="shared" si="98"/>
        <v>0</v>
      </c>
      <c r="AP491">
        <f t="shared" si="99"/>
        <v>0</v>
      </c>
      <c r="AQ491">
        <f t="shared" si="100"/>
        <v>0</v>
      </c>
      <c r="AR491">
        <f t="shared" si="101"/>
        <v>0</v>
      </c>
      <c r="AS491">
        <f t="shared" si="102"/>
        <v>0</v>
      </c>
      <c r="AT491">
        <f t="shared" si="103"/>
        <v>0</v>
      </c>
      <c r="AU491">
        <f t="shared" si="104"/>
        <v>0</v>
      </c>
      <c r="AV491">
        <f t="shared" si="105"/>
        <v>0</v>
      </c>
      <c r="AW491">
        <f t="shared" si="106"/>
        <v>0</v>
      </c>
      <c r="AX491">
        <f t="shared" si="107"/>
        <v>0</v>
      </c>
      <c r="AY491">
        <f t="shared" si="108"/>
        <v>0</v>
      </c>
      <c r="AZ491">
        <f t="shared" si="109"/>
        <v>0</v>
      </c>
    </row>
    <row r="492" spans="38:52" x14ac:dyDescent="0.35">
      <c r="AL492" s="16" t="s">
        <v>250</v>
      </c>
      <c r="AM492">
        <f t="shared" si="96"/>
        <v>0</v>
      </c>
      <c r="AN492">
        <f t="shared" si="97"/>
        <v>0</v>
      </c>
      <c r="AO492">
        <f t="shared" si="98"/>
        <v>0</v>
      </c>
      <c r="AP492">
        <f t="shared" si="99"/>
        <v>0</v>
      </c>
      <c r="AQ492">
        <f t="shared" si="100"/>
        <v>0</v>
      </c>
      <c r="AR492">
        <f t="shared" si="101"/>
        <v>0</v>
      </c>
      <c r="AS492">
        <f t="shared" si="102"/>
        <v>0</v>
      </c>
      <c r="AT492">
        <f t="shared" si="103"/>
        <v>0</v>
      </c>
      <c r="AU492">
        <f t="shared" si="104"/>
        <v>0</v>
      </c>
      <c r="AV492">
        <f t="shared" si="105"/>
        <v>0</v>
      </c>
      <c r="AW492">
        <f t="shared" si="106"/>
        <v>0</v>
      </c>
      <c r="AX492">
        <f t="shared" si="107"/>
        <v>0</v>
      </c>
      <c r="AY492">
        <f t="shared" si="108"/>
        <v>0</v>
      </c>
      <c r="AZ492">
        <f t="shared" si="109"/>
        <v>0</v>
      </c>
    </row>
    <row r="493" spans="38:52" x14ac:dyDescent="0.35">
      <c r="AL493" s="16" t="s">
        <v>251</v>
      </c>
      <c r="AM493">
        <f t="shared" si="96"/>
        <v>0</v>
      </c>
      <c r="AN493">
        <f t="shared" si="97"/>
        <v>0</v>
      </c>
      <c r="AO493">
        <f t="shared" si="98"/>
        <v>0</v>
      </c>
      <c r="AP493">
        <f t="shared" si="99"/>
        <v>0</v>
      </c>
      <c r="AQ493">
        <f t="shared" si="100"/>
        <v>0</v>
      </c>
      <c r="AR493">
        <f t="shared" si="101"/>
        <v>0</v>
      </c>
      <c r="AS493">
        <f t="shared" si="102"/>
        <v>0</v>
      </c>
      <c r="AT493">
        <f t="shared" si="103"/>
        <v>0</v>
      </c>
      <c r="AU493">
        <f t="shared" si="104"/>
        <v>0</v>
      </c>
      <c r="AV493">
        <f t="shared" si="105"/>
        <v>0</v>
      </c>
      <c r="AW493">
        <f t="shared" si="106"/>
        <v>0</v>
      </c>
      <c r="AX493">
        <f t="shared" si="107"/>
        <v>0</v>
      </c>
      <c r="AY493">
        <f t="shared" si="108"/>
        <v>0</v>
      </c>
      <c r="AZ493">
        <f t="shared" si="109"/>
        <v>0</v>
      </c>
    </row>
    <row r="494" spans="38:52" x14ac:dyDescent="0.35">
      <c r="AL494" s="16" t="s">
        <v>252</v>
      </c>
      <c r="AM494">
        <f t="shared" si="96"/>
        <v>0</v>
      </c>
      <c r="AN494">
        <f t="shared" si="97"/>
        <v>0</v>
      </c>
      <c r="AO494">
        <f t="shared" si="98"/>
        <v>0</v>
      </c>
      <c r="AP494">
        <f t="shared" si="99"/>
        <v>0</v>
      </c>
      <c r="AQ494">
        <f t="shared" si="100"/>
        <v>0</v>
      </c>
      <c r="AR494">
        <f t="shared" si="101"/>
        <v>0</v>
      </c>
      <c r="AS494">
        <f t="shared" si="102"/>
        <v>0</v>
      </c>
      <c r="AT494">
        <f t="shared" si="103"/>
        <v>0</v>
      </c>
      <c r="AU494">
        <f t="shared" si="104"/>
        <v>0</v>
      </c>
      <c r="AV494">
        <f t="shared" si="105"/>
        <v>0</v>
      </c>
      <c r="AW494">
        <f t="shared" si="106"/>
        <v>0</v>
      </c>
      <c r="AX494">
        <f t="shared" si="107"/>
        <v>0</v>
      </c>
      <c r="AY494">
        <f t="shared" si="108"/>
        <v>0</v>
      </c>
      <c r="AZ494">
        <f t="shared" si="109"/>
        <v>0</v>
      </c>
    </row>
    <row r="495" spans="38:52" x14ac:dyDescent="0.35">
      <c r="AL495" s="16" t="s">
        <v>253</v>
      </c>
      <c r="AM495">
        <f t="shared" si="96"/>
        <v>0</v>
      </c>
      <c r="AN495">
        <f t="shared" si="97"/>
        <v>0</v>
      </c>
      <c r="AO495">
        <f t="shared" si="98"/>
        <v>0</v>
      </c>
      <c r="AP495">
        <f t="shared" si="99"/>
        <v>0</v>
      </c>
      <c r="AQ495">
        <f t="shared" si="100"/>
        <v>0</v>
      </c>
      <c r="AR495">
        <f t="shared" si="101"/>
        <v>0</v>
      </c>
      <c r="AS495">
        <f t="shared" si="102"/>
        <v>0</v>
      </c>
      <c r="AT495">
        <f t="shared" si="103"/>
        <v>0</v>
      </c>
      <c r="AU495">
        <f t="shared" si="104"/>
        <v>0</v>
      </c>
      <c r="AV495">
        <f t="shared" si="105"/>
        <v>0</v>
      </c>
      <c r="AW495">
        <f t="shared" si="106"/>
        <v>0</v>
      </c>
      <c r="AX495">
        <f t="shared" si="107"/>
        <v>0</v>
      </c>
      <c r="AY495">
        <f t="shared" si="108"/>
        <v>0</v>
      </c>
      <c r="AZ495">
        <f t="shared" si="109"/>
        <v>0</v>
      </c>
    </row>
    <row r="496" spans="38:52" x14ac:dyDescent="0.35">
      <c r="AL496" s="16" t="s">
        <v>254</v>
      </c>
      <c r="AM496">
        <f t="shared" si="96"/>
        <v>0</v>
      </c>
      <c r="AN496">
        <f t="shared" si="97"/>
        <v>0</v>
      </c>
      <c r="AO496">
        <f t="shared" si="98"/>
        <v>0</v>
      </c>
      <c r="AP496">
        <f t="shared" si="99"/>
        <v>0</v>
      </c>
      <c r="AQ496">
        <f t="shared" si="100"/>
        <v>0</v>
      </c>
      <c r="AR496">
        <f t="shared" si="101"/>
        <v>0</v>
      </c>
      <c r="AS496">
        <f t="shared" si="102"/>
        <v>0</v>
      </c>
      <c r="AT496">
        <f t="shared" si="103"/>
        <v>0</v>
      </c>
      <c r="AU496">
        <f t="shared" si="104"/>
        <v>0</v>
      </c>
      <c r="AV496">
        <f t="shared" si="105"/>
        <v>0</v>
      </c>
      <c r="AW496">
        <f t="shared" si="106"/>
        <v>0</v>
      </c>
      <c r="AX496">
        <f t="shared" si="107"/>
        <v>0</v>
      </c>
      <c r="AY496">
        <f t="shared" si="108"/>
        <v>0</v>
      </c>
      <c r="AZ496">
        <f t="shared" si="109"/>
        <v>0</v>
      </c>
    </row>
    <row r="497" spans="38:52" x14ac:dyDescent="0.35">
      <c r="AL497" s="16" t="s">
        <v>255</v>
      </c>
      <c r="AM497">
        <f t="shared" si="96"/>
        <v>0</v>
      </c>
      <c r="AN497">
        <f t="shared" si="97"/>
        <v>0</v>
      </c>
      <c r="AO497">
        <f t="shared" si="98"/>
        <v>0</v>
      </c>
      <c r="AP497">
        <f t="shared" si="99"/>
        <v>0</v>
      </c>
      <c r="AQ497">
        <f t="shared" si="100"/>
        <v>0</v>
      </c>
      <c r="AR497">
        <f t="shared" si="101"/>
        <v>0</v>
      </c>
      <c r="AS497">
        <f t="shared" si="102"/>
        <v>0</v>
      </c>
      <c r="AT497">
        <f t="shared" si="103"/>
        <v>0</v>
      </c>
      <c r="AU497">
        <f t="shared" si="104"/>
        <v>0</v>
      </c>
      <c r="AV497">
        <f t="shared" si="105"/>
        <v>0</v>
      </c>
      <c r="AW497">
        <f t="shared" si="106"/>
        <v>0</v>
      </c>
      <c r="AX497">
        <f t="shared" si="107"/>
        <v>0</v>
      </c>
      <c r="AY497">
        <f t="shared" si="108"/>
        <v>0</v>
      </c>
      <c r="AZ497">
        <f t="shared" si="109"/>
        <v>0</v>
      </c>
    </row>
    <row r="498" spans="38:52" x14ac:dyDescent="0.35">
      <c r="AL498" s="16" t="s">
        <v>256</v>
      </c>
      <c r="AM498">
        <f t="shared" ref="AM498:AM561" si="110">COUNTIF($AM73:$AS73,"&gt;=100%")</f>
        <v>0</v>
      </c>
      <c r="AN498">
        <f t="shared" ref="AN498:AN561" si="111">COUNTIF($AU73:$BA73,"&gt;=100%")</f>
        <v>0</v>
      </c>
      <c r="AO498">
        <f t="shared" ref="AO498:AO561" si="112">COUNTIF($BC73:$BI73,"&gt;=100%")</f>
        <v>0</v>
      </c>
      <c r="AP498">
        <f t="shared" ref="AP498:AP561" si="113">COUNTIF($BK73:$BQ73,"&gt;=100%")</f>
        <v>0</v>
      </c>
      <c r="AQ498">
        <f t="shared" ref="AQ498:AQ561" si="114">COUNTIF($BS73:$BY73,"&gt;=100%")</f>
        <v>0</v>
      </c>
      <c r="AR498">
        <f t="shared" ref="AR498:AR561" si="115">COUNTIF($CA73:$CG73,"&gt;=100%")</f>
        <v>0</v>
      </c>
      <c r="AS498">
        <f t="shared" ref="AS498:AS561" si="116">COUNTIF($CI73:$CO73,"&gt;=100%")</f>
        <v>0</v>
      </c>
      <c r="AT498">
        <f t="shared" ref="AT498:AT561" si="117">COUNTIF($CQ73:$CW73,"&gt;=100%")</f>
        <v>0</v>
      </c>
      <c r="AU498">
        <f t="shared" ref="AU498:AU561" si="118">COUNTIF($CY73:$DE73,"&gt;=100%")</f>
        <v>0</v>
      </c>
      <c r="AV498">
        <f t="shared" ref="AV498:AV561" si="119">COUNTIF($DG73:$DM73,"&gt;=100%")</f>
        <v>0</v>
      </c>
      <c r="AW498">
        <f t="shared" ref="AW498:AW561" si="120">COUNTIF($DO73:$DU73,"&gt;=100%")</f>
        <v>0</v>
      </c>
      <c r="AX498">
        <f t="shared" ref="AX498:AX561" si="121">COUNTIF($DW73:$EC73,"&gt;=100%")</f>
        <v>0</v>
      </c>
      <c r="AY498">
        <f t="shared" ref="AY498:AY561" si="122">COUNTIF($EE73:$EK73,"&gt;=100%")</f>
        <v>0</v>
      </c>
      <c r="AZ498">
        <f t="shared" ref="AZ498:AZ561" si="123">COUNTIF($EM73:$ES73,"&gt;=100%")</f>
        <v>0</v>
      </c>
    </row>
    <row r="499" spans="38:52" x14ac:dyDescent="0.35">
      <c r="AL499" s="16" t="s">
        <v>257</v>
      </c>
      <c r="AM499">
        <f t="shared" si="110"/>
        <v>7</v>
      </c>
      <c r="AN499">
        <f t="shared" si="111"/>
        <v>5</v>
      </c>
      <c r="AO499">
        <f t="shared" si="112"/>
        <v>7</v>
      </c>
      <c r="AP499">
        <f t="shared" si="113"/>
        <v>7</v>
      </c>
      <c r="AQ499">
        <f t="shared" si="114"/>
        <v>3</v>
      </c>
      <c r="AR499">
        <f t="shared" si="115"/>
        <v>0</v>
      </c>
      <c r="AS499">
        <f t="shared" si="116"/>
        <v>0</v>
      </c>
      <c r="AT499">
        <f t="shared" si="117"/>
        <v>0</v>
      </c>
      <c r="AU499">
        <f t="shared" si="118"/>
        <v>0</v>
      </c>
      <c r="AV499">
        <f t="shared" si="119"/>
        <v>0</v>
      </c>
      <c r="AW499">
        <f t="shared" si="120"/>
        <v>0</v>
      </c>
      <c r="AX499">
        <f t="shared" si="121"/>
        <v>0</v>
      </c>
      <c r="AY499">
        <f t="shared" si="122"/>
        <v>0</v>
      </c>
      <c r="AZ499">
        <f t="shared" si="123"/>
        <v>0</v>
      </c>
    </row>
    <row r="500" spans="38:52" x14ac:dyDescent="0.35">
      <c r="AL500" s="16" t="s">
        <v>258</v>
      </c>
      <c r="AM500">
        <f t="shared" si="110"/>
        <v>0</v>
      </c>
      <c r="AN500">
        <f t="shared" si="111"/>
        <v>0</v>
      </c>
      <c r="AO500">
        <f t="shared" si="112"/>
        <v>0</v>
      </c>
      <c r="AP500">
        <f t="shared" si="113"/>
        <v>0</v>
      </c>
      <c r="AQ500">
        <f t="shared" si="114"/>
        <v>0</v>
      </c>
      <c r="AR500">
        <f t="shared" si="115"/>
        <v>0</v>
      </c>
      <c r="AS500">
        <f t="shared" si="116"/>
        <v>0</v>
      </c>
      <c r="AT500">
        <f t="shared" si="117"/>
        <v>0</v>
      </c>
      <c r="AU500">
        <f t="shared" si="118"/>
        <v>0</v>
      </c>
      <c r="AV500">
        <f t="shared" si="119"/>
        <v>0</v>
      </c>
      <c r="AW500">
        <f t="shared" si="120"/>
        <v>0</v>
      </c>
      <c r="AX500">
        <f t="shared" si="121"/>
        <v>0</v>
      </c>
      <c r="AY500">
        <f t="shared" si="122"/>
        <v>0</v>
      </c>
      <c r="AZ500">
        <f t="shared" si="123"/>
        <v>0</v>
      </c>
    </row>
    <row r="501" spans="38:52" x14ac:dyDescent="0.35">
      <c r="AL501" s="16" t="s">
        <v>259</v>
      </c>
      <c r="AM501">
        <f t="shared" si="110"/>
        <v>0</v>
      </c>
      <c r="AN501">
        <f t="shared" si="111"/>
        <v>0</v>
      </c>
      <c r="AO501">
        <f t="shared" si="112"/>
        <v>0</v>
      </c>
      <c r="AP501">
        <f t="shared" si="113"/>
        <v>0</v>
      </c>
      <c r="AQ501">
        <f t="shared" si="114"/>
        <v>0</v>
      </c>
      <c r="AR501">
        <f t="shared" si="115"/>
        <v>0</v>
      </c>
      <c r="AS501">
        <f t="shared" si="116"/>
        <v>0</v>
      </c>
      <c r="AT501">
        <f t="shared" si="117"/>
        <v>0</v>
      </c>
      <c r="AU501">
        <f t="shared" si="118"/>
        <v>0</v>
      </c>
      <c r="AV501">
        <f t="shared" si="119"/>
        <v>0</v>
      </c>
      <c r="AW501">
        <f t="shared" si="120"/>
        <v>0</v>
      </c>
      <c r="AX501">
        <f t="shared" si="121"/>
        <v>0</v>
      </c>
      <c r="AY501">
        <f t="shared" si="122"/>
        <v>0</v>
      </c>
      <c r="AZ501">
        <f t="shared" si="123"/>
        <v>0</v>
      </c>
    </row>
    <row r="502" spans="38:52" x14ac:dyDescent="0.35">
      <c r="AL502" s="16" t="s">
        <v>260</v>
      </c>
      <c r="AM502">
        <f t="shared" si="110"/>
        <v>0</v>
      </c>
      <c r="AN502">
        <f t="shared" si="111"/>
        <v>0</v>
      </c>
      <c r="AO502">
        <f t="shared" si="112"/>
        <v>0</v>
      </c>
      <c r="AP502">
        <f t="shared" si="113"/>
        <v>0</v>
      </c>
      <c r="AQ502">
        <f t="shared" si="114"/>
        <v>0</v>
      </c>
      <c r="AR502">
        <f t="shared" si="115"/>
        <v>0</v>
      </c>
      <c r="AS502">
        <f t="shared" si="116"/>
        <v>0</v>
      </c>
      <c r="AT502">
        <f t="shared" si="117"/>
        <v>0</v>
      </c>
      <c r="AU502">
        <f t="shared" si="118"/>
        <v>0</v>
      </c>
      <c r="AV502">
        <f t="shared" si="119"/>
        <v>0</v>
      </c>
      <c r="AW502">
        <f t="shared" si="120"/>
        <v>0</v>
      </c>
      <c r="AX502">
        <f t="shared" si="121"/>
        <v>0</v>
      </c>
      <c r="AY502">
        <f t="shared" si="122"/>
        <v>0</v>
      </c>
      <c r="AZ502">
        <f t="shared" si="123"/>
        <v>0</v>
      </c>
    </row>
    <row r="503" spans="38:52" x14ac:dyDescent="0.35">
      <c r="AL503" s="16" t="s">
        <v>261</v>
      </c>
      <c r="AM503">
        <f t="shared" si="110"/>
        <v>0</v>
      </c>
      <c r="AN503">
        <f t="shared" si="111"/>
        <v>0</v>
      </c>
      <c r="AO503">
        <f t="shared" si="112"/>
        <v>0</v>
      </c>
      <c r="AP503">
        <f t="shared" si="113"/>
        <v>0</v>
      </c>
      <c r="AQ503">
        <f t="shared" si="114"/>
        <v>0</v>
      </c>
      <c r="AR503">
        <f t="shared" si="115"/>
        <v>0</v>
      </c>
      <c r="AS503">
        <f t="shared" si="116"/>
        <v>0</v>
      </c>
      <c r="AT503">
        <f t="shared" si="117"/>
        <v>0</v>
      </c>
      <c r="AU503">
        <f t="shared" si="118"/>
        <v>0</v>
      </c>
      <c r="AV503">
        <f t="shared" si="119"/>
        <v>0</v>
      </c>
      <c r="AW503">
        <f t="shared" si="120"/>
        <v>0</v>
      </c>
      <c r="AX503">
        <f t="shared" si="121"/>
        <v>0</v>
      </c>
      <c r="AY503">
        <f t="shared" si="122"/>
        <v>0</v>
      </c>
      <c r="AZ503">
        <f t="shared" si="123"/>
        <v>0</v>
      </c>
    </row>
    <row r="504" spans="38:52" x14ac:dyDescent="0.35">
      <c r="AL504" s="16" t="s">
        <v>262</v>
      </c>
      <c r="AM504">
        <f t="shared" si="110"/>
        <v>0</v>
      </c>
      <c r="AN504">
        <f t="shared" si="111"/>
        <v>0</v>
      </c>
      <c r="AO504">
        <f t="shared" si="112"/>
        <v>0</v>
      </c>
      <c r="AP504">
        <f t="shared" si="113"/>
        <v>0</v>
      </c>
      <c r="AQ504">
        <f t="shared" si="114"/>
        <v>0</v>
      </c>
      <c r="AR504">
        <f t="shared" si="115"/>
        <v>0</v>
      </c>
      <c r="AS504">
        <f t="shared" si="116"/>
        <v>0</v>
      </c>
      <c r="AT504">
        <f t="shared" si="117"/>
        <v>0</v>
      </c>
      <c r="AU504">
        <f t="shared" si="118"/>
        <v>0</v>
      </c>
      <c r="AV504">
        <f t="shared" si="119"/>
        <v>0</v>
      </c>
      <c r="AW504">
        <f t="shared" si="120"/>
        <v>0</v>
      </c>
      <c r="AX504">
        <f t="shared" si="121"/>
        <v>0</v>
      </c>
      <c r="AY504">
        <f t="shared" si="122"/>
        <v>0</v>
      </c>
      <c r="AZ504">
        <f t="shared" si="123"/>
        <v>0</v>
      </c>
    </row>
    <row r="505" spans="38:52" x14ac:dyDescent="0.35">
      <c r="AL505" s="16" t="s">
        <v>263</v>
      </c>
      <c r="AM505">
        <f t="shared" si="110"/>
        <v>0</v>
      </c>
      <c r="AN505">
        <f t="shared" si="111"/>
        <v>0</v>
      </c>
      <c r="AO505">
        <f t="shared" si="112"/>
        <v>0</v>
      </c>
      <c r="AP505">
        <f t="shared" si="113"/>
        <v>0</v>
      </c>
      <c r="AQ505">
        <f t="shared" si="114"/>
        <v>0</v>
      </c>
      <c r="AR505">
        <f t="shared" si="115"/>
        <v>0</v>
      </c>
      <c r="AS505">
        <f t="shared" si="116"/>
        <v>0</v>
      </c>
      <c r="AT505">
        <f t="shared" si="117"/>
        <v>0</v>
      </c>
      <c r="AU505">
        <f t="shared" si="118"/>
        <v>0</v>
      </c>
      <c r="AV505">
        <f t="shared" si="119"/>
        <v>0</v>
      </c>
      <c r="AW505">
        <f t="shared" si="120"/>
        <v>0</v>
      </c>
      <c r="AX505">
        <f t="shared" si="121"/>
        <v>0</v>
      </c>
      <c r="AY505">
        <f t="shared" si="122"/>
        <v>0</v>
      </c>
      <c r="AZ505">
        <f t="shared" si="123"/>
        <v>0</v>
      </c>
    </row>
    <row r="506" spans="38:52" x14ac:dyDescent="0.35">
      <c r="AL506" s="16" t="s">
        <v>264</v>
      </c>
      <c r="AM506">
        <f t="shared" si="110"/>
        <v>0</v>
      </c>
      <c r="AN506">
        <f t="shared" si="111"/>
        <v>0</v>
      </c>
      <c r="AO506">
        <f t="shared" si="112"/>
        <v>0</v>
      </c>
      <c r="AP506">
        <f t="shared" si="113"/>
        <v>0</v>
      </c>
      <c r="AQ506">
        <f t="shared" si="114"/>
        <v>0</v>
      </c>
      <c r="AR506">
        <f t="shared" si="115"/>
        <v>0</v>
      </c>
      <c r="AS506">
        <f t="shared" si="116"/>
        <v>0</v>
      </c>
      <c r="AT506">
        <f t="shared" si="117"/>
        <v>0</v>
      </c>
      <c r="AU506">
        <f t="shared" si="118"/>
        <v>0</v>
      </c>
      <c r="AV506">
        <f t="shared" si="119"/>
        <v>0</v>
      </c>
      <c r="AW506">
        <f t="shared" si="120"/>
        <v>0</v>
      </c>
      <c r="AX506">
        <f t="shared" si="121"/>
        <v>0</v>
      </c>
      <c r="AY506">
        <f t="shared" si="122"/>
        <v>0</v>
      </c>
      <c r="AZ506">
        <f t="shared" si="123"/>
        <v>0</v>
      </c>
    </row>
    <row r="507" spans="38:52" x14ac:dyDescent="0.35">
      <c r="AL507" s="16" t="s">
        <v>265</v>
      </c>
      <c r="AM507">
        <f t="shared" si="110"/>
        <v>0</v>
      </c>
      <c r="AN507">
        <f t="shared" si="111"/>
        <v>0</v>
      </c>
      <c r="AO507">
        <f t="shared" si="112"/>
        <v>0</v>
      </c>
      <c r="AP507">
        <f t="shared" si="113"/>
        <v>0</v>
      </c>
      <c r="AQ507">
        <f t="shared" si="114"/>
        <v>0</v>
      </c>
      <c r="AR507">
        <f t="shared" si="115"/>
        <v>0</v>
      </c>
      <c r="AS507">
        <f t="shared" si="116"/>
        <v>0</v>
      </c>
      <c r="AT507">
        <f t="shared" si="117"/>
        <v>0</v>
      </c>
      <c r="AU507">
        <f t="shared" si="118"/>
        <v>0</v>
      </c>
      <c r="AV507">
        <f t="shared" si="119"/>
        <v>0</v>
      </c>
      <c r="AW507">
        <f t="shared" si="120"/>
        <v>0</v>
      </c>
      <c r="AX507">
        <f t="shared" si="121"/>
        <v>0</v>
      </c>
      <c r="AY507">
        <f t="shared" si="122"/>
        <v>0</v>
      </c>
      <c r="AZ507">
        <f t="shared" si="123"/>
        <v>0</v>
      </c>
    </row>
    <row r="508" spans="38:52" x14ac:dyDescent="0.35">
      <c r="AL508" s="16" t="s">
        <v>266</v>
      </c>
      <c r="AM508">
        <f t="shared" si="110"/>
        <v>0</v>
      </c>
      <c r="AN508">
        <f t="shared" si="111"/>
        <v>0</v>
      </c>
      <c r="AO508">
        <f t="shared" si="112"/>
        <v>0</v>
      </c>
      <c r="AP508">
        <f t="shared" si="113"/>
        <v>0</v>
      </c>
      <c r="AQ508">
        <f t="shared" si="114"/>
        <v>0</v>
      </c>
      <c r="AR508">
        <f t="shared" si="115"/>
        <v>0</v>
      </c>
      <c r="AS508">
        <f t="shared" si="116"/>
        <v>0</v>
      </c>
      <c r="AT508">
        <f t="shared" si="117"/>
        <v>0</v>
      </c>
      <c r="AU508">
        <f t="shared" si="118"/>
        <v>0</v>
      </c>
      <c r="AV508">
        <f t="shared" si="119"/>
        <v>0</v>
      </c>
      <c r="AW508">
        <f t="shared" si="120"/>
        <v>0</v>
      </c>
      <c r="AX508">
        <f t="shared" si="121"/>
        <v>0</v>
      </c>
      <c r="AY508">
        <f t="shared" si="122"/>
        <v>0</v>
      </c>
      <c r="AZ508">
        <f t="shared" si="123"/>
        <v>0</v>
      </c>
    </row>
    <row r="509" spans="38:52" x14ac:dyDescent="0.35">
      <c r="AL509" s="16" t="s">
        <v>267</v>
      </c>
      <c r="AM509">
        <f t="shared" si="110"/>
        <v>0</v>
      </c>
      <c r="AN509">
        <f t="shared" si="111"/>
        <v>0</v>
      </c>
      <c r="AO509">
        <f t="shared" si="112"/>
        <v>0</v>
      </c>
      <c r="AP509">
        <f t="shared" si="113"/>
        <v>0</v>
      </c>
      <c r="AQ509">
        <f t="shared" si="114"/>
        <v>0</v>
      </c>
      <c r="AR509">
        <f t="shared" si="115"/>
        <v>0</v>
      </c>
      <c r="AS509">
        <f t="shared" si="116"/>
        <v>0</v>
      </c>
      <c r="AT509">
        <f t="shared" si="117"/>
        <v>0</v>
      </c>
      <c r="AU509">
        <f t="shared" si="118"/>
        <v>0</v>
      </c>
      <c r="AV509">
        <f t="shared" si="119"/>
        <v>0</v>
      </c>
      <c r="AW509">
        <f t="shared" si="120"/>
        <v>0</v>
      </c>
      <c r="AX509">
        <f t="shared" si="121"/>
        <v>0</v>
      </c>
      <c r="AY509">
        <f t="shared" si="122"/>
        <v>0</v>
      </c>
      <c r="AZ509">
        <f t="shared" si="123"/>
        <v>0</v>
      </c>
    </row>
    <row r="510" spans="38:52" x14ac:dyDescent="0.35">
      <c r="AL510" s="16" t="s">
        <v>268</v>
      </c>
      <c r="AM510">
        <f t="shared" si="110"/>
        <v>0</v>
      </c>
      <c r="AN510">
        <f t="shared" si="111"/>
        <v>0</v>
      </c>
      <c r="AO510">
        <f t="shared" si="112"/>
        <v>0</v>
      </c>
      <c r="AP510">
        <f t="shared" si="113"/>
        <v>0</v>
      </c>
      <c r="AQ510">
        <f t="shared" si="114"/>
        <v>0</v>
      </c>
      <c r="AR510">
        <f t="shared" si="115"/>
        <v>0</v>
      </c>
      <c r="AS510">
        <f t="shared" si="116"/>
        <v>0</v>
      </c>
      <c r="AT510">
        <f t="shared" si="117"/>
        <v>0</v>
      </c>
      <c r="AU510">
        <f t="shared" si="118"/>
        <v>0</v>
      </c>
      <c r="AV510">
        <f t="shared" si="119"/>
        <v>0</v>
      </c>
      <c r="AW510">
        <f t="shared" si="120"/>
        <v>0</v>
      </c>
      <c r="AX510">
        <f t="shared" si="121"/>
        <v>0</v>
      </c>
      <c r="AY510">
        <f t="shared" si="122"/>
        <v>0</v>
      </c>
      <c r="AZ510">
        <f t="shared" si="123"/>
        <v>0</v>
      </c>
    </row>
    <row r="511" spans="38:52" x14ac:dyDescent="0.35">
      <c r="AL511" s="16" t="s">
        <v>269</v>
      </c>
      <c r="AM511">
        <f t="shared" si="110"/>
        <v>0</v>
      </c>
      <c r="AN511">
        <f t="shared" si="111"/>
        <v>0</v>
      </c>
      <c r="AO511">
        <f t="shared" si="112"/>
        <v>0</v>
      </c>
      <c r="AP511">
        <f t="shared" si="113"/>
        <v>0</v>
      </c>
      <c r="AQ511">
        <f t="shared" si="114"/>
        <v>0</v>
      </c>
      <c r="AR511">
        <f t="shared" si="115"/>
        <v>0</v>
      </c>
      <c r="AS511">
        <f t="shared" si="116"/>
        <v>0</v>
      </c>
      <c r="AT511">
        <f t="shared" si="117"/>
        <v>0</v>
      </c>
      <c r="AU511">
        <f t="shared" si="118"/>
        <v>0</v>
      </c>
      <c r="AV511">
        <f t="shared" si="119"/>
        <v>0</v>
      </c>
      <c r="AW511">
        <f t="shared" si="120"/>
        <v>0</v>
      </c>
      <c r="AX511">
        <f t="shared" si="121"/>
        <v>0</v>
      </c>
      <c r="AY511">
        <f t="shared" si="122"/>
        <v>0</v>
      </c>
      <c r="AZ511">
        <f t="shared" si="123"/>
        <v>0</v>
      </c>
    </row>
    <row r="512" spans="38:52" x14ac:dyDescent="0.35">
      <c r="AL512" s="16" t="s">
        <v>270</v>
      </c>
      <c r="AM512">
        <f t="shared" si="110"/>
        <v>0</v>
      </c>
      <c r="AN512">
        <f t="shared" si="111"/>
        <v>0</v>
      </c>
      <c r="AO512">
        <f t="shared" si="112"/>
        <v>0</v>
      </c>
      <c r="AP512">
        <f t="shared" si="113"/>
        <v>0</v>
      </c>
      <c r="AQ512">
        <f t="shared" si="114"/>
        <v>0</v>
      </c>
      <c r="AR512">
        <f t="shared" si="115"/>
        <v>0</v>
      </c>
      <c r="AS512">
        <f t="shared" si="116"/>
        <v>0</v>
      </c>
      <c r="AT512">
        <f t="shared" si="117"/>
        <v>0</v>
      </c>
      <c r="AU512">
        <f t="shared" si="118"/>
        <v>0</v>
      </c>
      <c r="AV512">
        <f t="shared" si="119"/>
        <v>0</v>
      </c>
      <c r="AW512">
        <f t="shared" si="120"/>
        <v>0</v>
      </c>
      <c r="AX512">
        <f t="shared" si="121"/>
        <v>0</v>
      </c>
      <c r="AY512">
        <f t="shared" si="122"/>
        <v>0</v>
      </c>
      <c r="AZ512">
        <f t="shared" si="123"/>
        <v>0</v>
      </c>
    </row>
    <row r="513" spans="38:52" x14ac:dyDescent="0.35">
      <c r="AL513" s="16" t="s">
        <v>271</v>
      </c>
      <c r="AM513">
        <f t="shared" si="110"/>
        <v>0</v>
      </c>
      <c r="AN513">
        <f t="shared" si="111"/>
        <v>0</v>
      </c>
      <c r="AO513">
        <f t="shared" si="112"/>
        <v>0</v>
      </c>
      <c r="AP513">
        <f t="shared" si="113"/>
        <v>0</v>
      </c>
      <c r="AQ513">
        <f t="shared" si="114"/>
        <v>0</v>
      </c>
      <c r="AR513">
        <f t="shared" si="115"/>
        <v>0</v>
      </c>
      <c r="AS513">
        <f t="shared" si="116"/>
        <v>0</v>
      </c>
      <c r="AT513">
        <f t="shared" si="117"/>
        <v>0</v>
      </c>
      <c r="AU513">
        <f t="shared" si="118"/>
        <v>0</v>
      </c>
      <c r="AV513">
        <f t="shared" si="119"/>
        <v>0</v>
      </c>
      <c r="AW513">
        <f t="shared" si="120"/>
        <v>0</v>
      </c>
      <c r="AX513">
        <f t="shared" si="121"/>
        <v>0</v>
      </c>
      <c r="AY513">
        <f t="shared" si="122"/>
        <v>0</v>
      </c>
      <c r="AZ513">
        <f t="shared" si="123"/>
        <v>0</v>
      </c>
    </row>
    <row r="514" spans="38:52" x14ac:dyDescent="0.35">
      <c r="AL514" s="16" t="s">
        <v>272</v>
      </c>
      <c r="AM514">
        <f t="shared" si="110"/>
        <v>2</v>
      </c>
      <c r="AN514">
        <f t="shared" si="111"/>
        <v>1</v>
      </c>
      <c r="AO514">
        <f t="shared" si="112"/>
        <v>0</v>
      </c>
      <c r="AP514">
        <f t="shared" si="113"/>
        <v>0</v>
      </c>
      <c r="AQ514">
        <f t="shared" si="114"/>
        <v>0</v>
      </c>
      <c r="AR514">
        <f t="shared" si="115"/>
        <v>0</v>
      </c>
      <c r="AS514">
        <f t="shared" si="116"/>
        <v>0</v>
      </c>
      <c r="AT514">
        <f t="shared" si="117"/>
        <v>0</v>
      </c>
      <c r="AU514">
        <f t="shared" si="118"/>
        <v>0</v>
      </c>
      <c r="AV514">
        <f t="shared" si="119"/>
        <v>0</v>
      </c>
      <c r="AW514">
        <f t="shared" si="120"/>
        <v>0</v>
      </c>
      <c r="AX514">
        <f t="shared" si="121"/>
        <v>0</v>
      </c>
      <c r="AY514">
        <f t="shared" si="122"/>
        <v>0</v>
      </c>
      <c r="AZ514">
        <f t="shared" si="123"/>
        <v>0</v>
      </c>
    </row>
    <row r="515" spans="38:52" x14ac:dyDescent="0.35">
      <c r="AL515" s="16" t="s">
        <v>273</v>
      </c>
      <c r="AM515">
        <f t="shared" si="110"/>
        <v>0</v>
      </c>
      <c r="AN515">
        <f t="shared" si="111"/>
        <v>4</v>
      </c>
      <c r="AO515">
        <f t="shared" si="112"/>
        <v>1</v>
      </c>
      <c r="AP515">
        <f t="shared" si="113"/>
        <v>0</v>
      </c>
      <c r="AQ515">
        <f t="shared" si="114"/>
        <v>0</v>
      </c>
      <c r="AR515">
        <f t="shared" si="115"/>
        <v>0</v>
      </c>
      <c r="AS515">
        <f t="shared" si="116"/>
        <v>0</v>
      </c>
      <c r="AT515">
        <f t="shared" si="117"/>
        <v>0</v>
      </c>
      <c r="AU515">
        <f t="shared" si="118"/>
        <v>0</v>
      </c>
      <c r="AV515">
        <f t="shared" si="119"/>
        <v>0</v>
      </c>
      <c r="AW515">
        <f t="shared" si="120"/>
        <v>0</v>
      </c>
      <c r="AX515">
        <f t="shared" si="121"/>
        <v>0</v>
      </c>
      <c r="AY515">
        <f t="shared" si="122"/>
        <v>0</v>
      </c>
      <c r="AZ515">
        <f t="shared" si="123"/>
        <v>0</v>
      </c>
    </row>
    <row r="516" spans="38:52" x14ac:dyDescent="0.35">
      <c r="AL516" s="16" t="s">
        <v>274</v>
      </c>
      <c r="AM516">
        <f t="shared" si="110"/>
        <v>0</v>
      </c>
      <c r="AN516">
        <f t="shared" si="111"/>
        <v>0</v>
      </c>
      <c r="AO516">
        <f t="shared" si="112"/>
        <v>0</v>
      </c>
      <c r="AP516">
        <f t="shared" si="113"/>
        <v>0</v>
      </c>
      <c r="AQ516">
        <f t="shared" si="114"/>
        <v>0</v>
      </c>
      <c r="AR516">
        <f t="shared" si="115"/>
        <v>0</v>
      </c>
      <c r="AS516">
        <f t="shared" si="116"/>
        <v>0</v>
      </c>
      <c r="AT516">
        <f t="shared" si="117"/>
        <v>0</v>
      </c>
      <c r="AU516">
        <f t="shared" si="118"/>
        <v>0</v>
      </c>
      <c r="AV516">
        <f t="shared" si="119"/>
        <v>0</v>
      </c>
      <c r="AW516">
        <f t="shared" si="120"/>
        <v>0</v>
      </c>
      <c r="AX516">
        <f t="shared" si="121"/>
        <v>0</v>
      </c>
      <c r="AY516">
        <f t="shared" si="122"/>
        <v>0</v>
      </c>
      <c r="AZ516">
        <f t="shared" si="123"/>
        <v>0</v>
      </c>
    </row>
    <row r="517" spans="38:52" x14ac:dyDescent="0.35">
      <c r="AL517" s="16" t="s">
        <v>275</v>
      </c>
      <c r="AM517">
        <f t="shared" si="110"/>
        <v>0</v>
      </c>
      <c r="AN517">
        <f t="shared" si="111"/>
        <v>0</v>
      </c>
      <c r="AO517">
        <f t="shared" si="112"/>
        <v>0</v>
      </c>
      <c r="AP517">
        <f t="shared" si="113"/>
        <v>0</v>
      </c>
      <c r="AQ517">
        <f t="shared" si="114"/>
        <v>0</v>
      </c>
      <c r="AR517">
        <f t="shared" si="115"/>
        <v>0</v>
      </c>
      <c r="AS517">
        <f t="shared" si="116"/>
        <v>0</v>
      </c>
      <c r="AT517">
        <f t="shared" si="117"/>
        <v>0</v>
      </c>
      <c r="AU517">
        <f t="shared" si="118"/>
        <v>0</v>
      </c>
      <c r="AV517">
        <f t="shared" si="119"/>
        <v>0</v>
      </c>
      <c r="AW517">
        <f t="shared" si="120"/>
        <v>0</v>
      </c>
      <c r="AX517">
        <f t="shared" si="121"/>
        <v>0</v>
      </c>
      <c r="AY517">
        <f t="shared" si="122"/>
        <v>0</v>
      </c>
      <c r="AZ517">
        <f t="shared" si="123"/>
        <v>0</v>
      </c>
    </row>
    <row r="518" spans="38:52" x14ac:dyDescent="0.35">
      <c r="AL518" s="16" t="s">
        <v>276</v>
      </c>
      <c r="AM518">
        <f t="shared" si="110"/>
        <v>0</v>
      </c>
      <c r="AN518">
        <f t="shared" si="111"/>
        <v>0</v>
      </c>
      <c r="AO518">
        <f t="shared" si="112"/>
        <v>0</v>
      </c>
      <c r="AP518">
        <f t="shared" si="113"/>
        <v>0</v>
      </c>
      <c r="AQ518">
        <f t="shared" si="114"/>
        <v>0</v>
      </c>
      <c r="AR518">
        <f t="shared" si="115"/>
        <v>0</v>
      </c>
      <c r="AS518">
        <f t="shared" si="116"/>
        <v>0</v>
      </c>
      <c r="AT518">
        <f t="shared" si="117"/>
        <v>0</v>
      </c>
      <c r="AU518">
        <f t="shared" si="118"/>
        <v>0</v>
      </c>
      <c r="AV518">
        <f t="shared" si="119"/>
        <v>0</v>
      </c>
      <c r="AW518">
        <f t="shared" si="120"/>
        <v>0</v>
      </c>
      <c r="AX518">
        <f t="shared" si="121"/>
        <v>0</v>
      </c>
      <c r="AY518">
        <f t="shared" si="122"/>
        <v>0</v>
      </c>
      <c r="AZ518">
        <f t="shared" si="123"/>
        <v>0</v>
      </c>
    </row>
    <row r="519" spans="38:52" x14ac:dyDescent="0.35">
      <c r="AL519" s="16" t="s">
        <v>277</v>
      </c>
      <c r="AM519">
        <f t="shared" si="110"/>
        <v>0</v>
      </c>
      <c r="AN519">
        <f t="shared" si="111"/>
        <v>0</v>
      </c>
      <c r="AO519">
        <f t="shared" si="112"/>
        <v>0</v>
      </c>
      <c r="AP519">
        <f t="shared" si="113"/>
        <v>0</v>
      </c>
      <c r="AQ519">
        <f t="shared" si="114"/>
        <v>0</v>
      </c>
      <c r="AR519">
        <f t="shared" si="115"/>
        <v>0</v>
      </c>
      <c r="AS519">
        <f t="shared" si="116"/>
        <v>0</v>
      </c>
      <c r="AT519">
        <f t="shared" si="117"/>
        <v>0</v>
      </c>
      <c r="AU519">
        <f t="shared" si="118"/>
        <v>0</v>
      </c>
      <c r="AV519">
        <f t="shared" si="119"/>
        <v>0</v>
      </c>
      <c r="AW519">
        <f t="shared" si="120"/>
        <v>0</v>
      </c>
      <c r="AX519">
        <f t="shared" si="121"/>
        <v>0</v>
      </c>
      <c r="AY519">
        <f t="shared" si="122"/>
        <v>0</v>
      </c>
      <c r="AZ519">
        <f t="shared" si="123"/>
        <v>0</v>
      </c>
    </row>
    <row r="520" spans="38:52" x14ac:dyDescent="0.35">
      <c r="AL520" s="16" t="s">
        <v>278</v>
      </c>
      <c r="AM520">
        <f t="shared" si="110"/>
        <v>0</v>
      </c>
      <c r="AN520">
        <f t="shared" si="111"/>
        <v>0</v>
      </c>
      <c r="AO520">
        <f t="shared" si="112"/>
        <v>0</v>
      </c>
      <c r="AP520">
        <f t="shared" si="113"/>
        <v>0</v>
      </c>
      <c r="AQ520">
        <f t="shared" si="114"/>
        <v>0</v>
      </c>
      <c r="AR520">
        <f t="shared" si="115"/>
        <v>0</v>
      </c>
      <c r="AS520">
        <f t="shared" si="116"/>
        <v>0</v>
      </c>
      <c r="AT520">
        <f t="shared" si="117"/>
        <v>0</v>
      </c>
      <c r="AU520">
        <f t="shared" si="118"/>
        <v>0</v>
      </c>
      <c r="AV520">
        <f t="shared" si="119"/>
        <v>0</v>
      </c>
      <c r="AW520">
        <f t="shared" si="120"/>
        <v>0</v>
      </c>
      <c r="AX520">
        <f t="shared" si="121"/>
        <v>0</v>
      </c>
      <c r="AY520">
        <f t="shared" si="122"/>
        <v>0</v>
      </c>
      <c r="AZ520">
        <f t="shared" si="123"/>
        <v>0</v>
      </c>
    </row>
    <row r="521" spans="38:52" x14ac:dyDescent="0.35">
      <c r="AL521" s="16" t="s">
        <v>279</v>
      </c>
      <c r="AM521">
        <f t="shared" si="110"/>
        <v>0</v>
      </c>
      <c r="AN521">
        <f t="shared" si="111"/>
        <v>0</v>
      </c>
      <c r="AO521">
        <f t="shared" si="112"/>
        <v>0</v>
      </c>
      <c r="AP521">
        <f t="shared" si="113"/>
        <v>0</v>
      </c>
      <c r="AQ521">
        <f t="shared" si="114"/>
        <v>0</v>
      </c>
      <c r="AR521">
        <f t="shared" si="115"/>
        <v>0</v>
      </c>
      <c r="AS521">
        <f t="shared" si="116"/>
        <v>0</v>
      </c>
      <c r="AT521">
        <f t="shared" si="117"/>
        <v>0</v>
      </c>
      <c r="AU521">
        <f t="shared" si="118"/>
        <v>0</v>
      </c>
      <c r="AV521">
        <f t="shared" si="119"/>
        <v>0</v>
      </c>
      <c r="AW521">
        <f t="shared" si="120"/>
        <v>0</v>
      </c>
      <c r="AX521">
        <f t="shared" si="121"/>
        <v>0</v>
      </c>
      <c r="AY521">
        <f t="shared" si="122"/>
        <v>0</v>
      </c>
      <c r="AZ521">
        <f t="shared" si="123"/>
        <v>0</v>
      </c>
    </row>
    <row r="522" spans="38:52" x14ac:dyDescent="0.35">
      <c r="AL522" s="16" t="s">
        <v>280</v>
      </c>
      <c r="AM522">
        <f t="shared" si="110"/>
        <v>0</v>
      </c>
      <c r="AN522">
        <f t="shared" si="111"/>
        <v>0</v>
      </c>
      <c r="AO522">
        <f t="shared" si="112"/>
        <v>0</v>
      </c>
      <c r="AP522">
        <f t="shared" si="113"/>
        <v>0</v>
      </c>
      <c r="AQ522">
        <f t="shared" si="114"/>
        <v>0</v>
      </c>
      <c r="AR522">
        <f t="shared" si="115"/>
        <v>0</v>
      </c>
      <c r="AS522">
        <f t="shared" si="116"/>
        <v>0</v>
      </c>
      <c r="AT522">
        <f t="shared" si="117"/>
        <v>0</v>
      </c>
      <c r="AU522">
        <f t="shared" si="118"/>
        <v>0</v>
      </c>
      <c r="AV522">
        <f t="shared" si="119"/>
        <v>0</v>
      </c>
      <c r="AW522">
        <f t="shared" si="120"/>
        <v>0</v>
      </c>
      <c r="AX522">
        <f t="shared" si="121"/>
        <v>0</v>
      </c>
      <c r="AY522">
        <f t="shared" si="122"/>
        <v>0</v>
      </c>
      <c r="AZ522">
        <f t="shared" si="123"/>
        <v>0</v>
      </c>
    </row>
    <row r="523" spans="38:52" x14ac:dyDescent="0.35">
      <c r="AL523" s="16" t="s">
        <v>281</v>
      </c>
      <c r="AM523">
        <f t="shared" si="110"/>
        <v>0</v>
      </c>
      <c r="AN523">
        <f t="shared" si="111"/>
        <v>0</v>
      </c>
      <c r="AO523">
        <f t="shared" si="112"/>
        <v>0</v>
      </c>
      <c r="AP523">
        <f t="shared" si="113"/>
        <v>0</v>
      </c>
      <c r="AQ523">
        <f t="shared" si="114"/>
        <v>0</v>
      </c>
      <c r="AR523">
        <f t="shared" si="115"/>
        <v>0</v>
      </c>
      <c r="AS523">
        <f t="shared" si="116"/>
        <v>0</v>
      </c>
      <c r="AT523">
        <f t="shared" si="117"/>
        <v>0</v>
      </c>
      <c r="AU523">
        <f t="shared" si="118"/>
        <v>0</v>
      </c>
      <c r="AV523">
        <f t="shared" si="119"/>
        <v>0</v>
      </c>
      <c r="AW523">
        <f t="shared" si="120"/>
        <v>0</v>
      </c>
      <c r="AX523">
        <f t="shared" si="121"/>
        <v>0</v>
      </c>
      <c r="AY523">
        <f t="shared" si="122"/>
        <v>0</v>
      </c>
      <c r="AZ523">
        <f t="shared" si="123"/>
        <v>0</v>
      </c>
    </row>
    <row r="524" spans="38:52" x14ac:dyDescent="0.35">
      <c r="AL524" s="16" t="s">
        <v>282</v>
      </c>
      <c r="AM524">
        <f t="shared" si="110"/>
        <v>0</v>
      </c>
      <c r="AN524">
        <f t="shared" si="111"/>
        <v>0</v>
      </c>
      <c r="AO524">
        <f t="shared" si="112"/>
        <v>0</v>
      </c>
      <c r="AP524">
        <f t="shared" si="113"/>
        <v>0</v>
      </c>
      <c r="AQ524">
        <f t="shared" si="114"/>
        <v>0</v>
      </c>
      <c r="AR524">
        <f t="shared" si="115"/>
        <v>0</v>
      </c>
      <c r="AS524">
        <f t="shared" si="116"/>
        <v>0</v>
      </c>
      <c r="AT524">
        <f t="shared" si="117"/>
        <v>0</v>
      </c>
      <c r="AU524">
        <f t="shared" si="118"/>
        <v>0</v>
      </c>
      <c r="AV524">
        <f t="shared" si="119"/>
        <v>0</v>
      </c>
      <c r="AW524">
        <f t="shared" si="120"/>
        <v>0</v>
      </c>
      <c r="AX524">
        <f t="shared" si="121"/>
        <v>0</v>
      </c>
      <c r="AY524">
        <f t="shared" si="122"/>
        <v>0</v>
      </c>
      <c r="AZ524">
        <f t="shared" si="123"/>
        <v>0</v>
      </c>
    </row>
    <row r="525" spans="38:52" x14ac:dyDescent="0.35">
      <c r="AL525" s="16" t="s">
        <v>283</v>
      </c>
      <c r="AM525">
        <f t="shared" si="110"/>
        <v>0</v>
      </c>
      <c r="AN525">
        <f t="shared" si="111"/>
        <v>0</v>
      </c>
      <c r="AO525">
        <f t="shared" si="112"/>
        <v>0</v>
      </c>
      <c r="AP525">
        <f t="shared" si="113"/>
        <v>0</v>
      </c>
      <c r="AQ525">
        <f t="shared" si="114"/>
        <v>0</v>
      </c>
      <c r="AR525">
        <f t="shared" si="115"/>
        <v>0</v>
      </c>
      <c r="AS525">
        <f t="shared" si="116"/>
        <v>0</v>
      </c>
      <c r="AT525">
        <f t="shared" si="117"/>
        <v>0</v>
      </c>
      <c r="AU525">
        <f t="shared" si="118"/>
        <v>0</v>
      </c>
      <c r="AV525">
        <f t="shared" si="119"/>
        <v>0</v>
      </c>
      <c r="AW525">
        <f t="shared" si="120"/>
        <v>0</v>
      </c>
      <c r="AX525">
        <f t="shared" si="121"/>
        <v>0</v>
      </c>
      <c r="AY525">
        <f t="shared" si="122"/>
        <v>0</v>
      </c>
      <c r="AZ525">
        <f t="shared" si="123"/>
        <v>0</v>
      </c>
    </row>
    <row r="526" spans="38:52" x14ac:dyDescent="0.35">
      <c r="AL526" s="16" t="s">
        <v>284</v>
      </c>
      <c r="AM526">
        <f t="shared" si="110"/>
        <v>0</v>
      </c>
      <c r="AN526">
        <f t="shared" si="111"/>
        <v>0</v>
      </c>
      <c r="AO526">
        <f t="shared" si="112"/>
        <v>0</v>
      </c>
      <c r="AP526">
        <f t="shared" si="113"/>
        <v>0</v>
      </c>
      <c r="AQ526">
        <f t="shared" si="114"/>
        <v>0</v>
      </c>
      <c r="AR526">
        <f t="shared" si="115"/>
        <v>0</v>
      </c>
      <c r="AS526">
        <f t="shared" si="116"/>
        <v>0</v>
      </c>
      <c r="AT526">
        <f t="shared" si="117"/>
        <v>0</v>
      </c>
      <c r="AU526">
        <f t="shared" si="118"/>
        <v>0</v>
      </c>
      <c r="AV526">
        <f t="shared" si="119"/>
        <v>0</v>
      </c>
      <c r="AW526">
        <f t="shared" si="120"/>
        <v>0</v>
      </c>
      <c r="AX526">
        <f t="shared" si="121"/>
        <v>0</v>
      </c>
      <c r="AY526">
        <f t="shared" si="122"/>
        <v>0</v>
      </c>
      <c r="AZ526">
        <f t="shared" si="123"/>
        <v>0</v>
      </c>
    </row>
    <row r="527" spans="38:52" x14ac:dyDescent="0.35">
      <c r="AL527" s="16" t="s">
        <v>285</v>
      </c>
      <c r="AM527">
        <f t="shared" si="110"/>
        <v>0</v>
      </c>
      <c r="AN527">
        <f t="shared" si="111"/>
        <v>0</v>
      </c>
      <c r="AO527">
        <f t="shared" si="112"/>
        <v>0</v>
      </c>
      <c r="AP527">
        <f t="shared" si="113"/>
        <v>0</v>
      </c>
      <c r="AQ527">
        <f t="shared" si="114"/>
        <v>0</v>
      </c>
      <c r="AR527">
        <f t="shared" si="115"/>
        <v>0</v>
      </c>
      <c r="AS527">
        <f t="shared" si="116"/>
        <v>0</v>
      </c>
      <c r="AT527">
        <f t="shared" si="117"/>
        <v>0</v>
      </c>
      <c r="AU527">
        <f t="shared" si="118"/>
        <v>0</v>
      </c>
      <c r="AV527">
        <f t="shared" si="119"/>
        <v>0</v>
      </c>
      <c r="AW527">
        <f t="shared" si="120"/>
        <v>0</v>
      </c>
      <c r="AX527">
        <f t="shared" si="121"/>
        <v>0</v>
      </c>
      <c r="AY527">
        <f t="shared" si="122"/>
        <v>0</v>
      </c>
      <c r="AZ527">
        <f t="shared" si="123"/>
        <v>0</v>
      </c>
    </row>
    <row r="528" spans="38:52" x14ac:dyDescent="0.35">
      <c r="AL528" s="16" t="s">
        <v>286</v>
      </c>
      <c r="AM528">
        <f t="shared" si="110"/>
        <v>0</v>
      </c>
      <c r="AN528">
        <f t="shared" si="111"/>
        <v>0</v>
      </c>
      <c r="AO528">
        <f t="shared" si="112"/>
        <v>0</v>
      </c>
      <c r="AP528">
        <f t="shared" si="113"/>
        <v>0</v>
      </c>
      <c r="AQ528">
        <f t="shared" si="114"/>
        <v>0</v>
      </c>
      <c r="AR528">
        <f t="shared" si="115"/>
        <v>0</v>
      </c>
      <c r="AS528">
        <f t="shared" si="116"/>
        <v>0</v>
      </c>
      <c r="AT528">
        <f t="shared" si="117"/>
        <v>0</v>
      </c>
      <c r="AU528">
        <f t="shared" si="118"/>
        <v>0</v>
      </c>
      <c r="AV528">
        <f t="shared" si="119"/>
        <v>0</v>
      </c>
      <c r="AW528">
        <f t="shared" si="120"/>
        <v>0</v>
      </c>
      <c r="AX528">
        <f t="shared" si="121"/>
        <v>0</v>
      </c>
      <c r="AY528">
        <f t="shared" si="122"/>
        <v>0</v>
      </c>
      <c r="AZ528">
        <f t="shared" si="123"/>
        <v>0</v>
      </c>
    </row>
    <row r="529" spans="38:52" x14ac:dyDescent="0.35">
      <c r="AL529" s="16" t="s">
        <v>287</v>
      </c>
      <c r="AM529">
        <f t="shared" si="110"/>
        <v>0</v>
      </c>
      <c r="AN529">
        <f t="shared" si="111"/>
        <v>0</v>
      </c>
      <c r="AO529">
        <f t="shared" si="112"/>
        <v>0</v>
      </c>
      <c r="AP529">
        <f t="shared" si="113"/>
        <v>0</v>
      </c>
      <c r="AQ529">
        <f t="shared" si="114"/>
        <v>0</v>
      </c>
      <c r="AR529">
        <f t="shared" si="115"/>
        <v>0</v>
      </c>
      <c r="AS529">
        <f t="shared" si="116"/>
        <v>0</v>
      </c>
      <c r="AT529">
        <f t="shared" si="117"/>
        <v>0</v>
      </c>
      <c r="AU529">
        <f t="shared" si="118"/>
        <v>0</v>
      </c>
      <c r="AV529">
        <f t="shared" si="119"/>
        <v>0</v>
      </c>
      <c r="AW529">
        <f t="shared" si="120"/>
        <v>0</v>
      </c>
      <c r="AX529">
        <f t="shared" si="121"/>
        <v>0</v>
      </c>
      <c r="AY529">
        <f t="shared" si="122"/>
        <v>0</v>
      </c>
      <c r="AZ529">
        <f t="shared" si="123"/>
        <v>0</v>
      </c>
    </row>
    <row r="530" spans="38:52" x14ac:dyDescent="0.35">
      <c r="AL530" s="16" t="s">
        <v>288</v>
      </c>
      <c r="AM530">
        <f t="shared" si="110"/>
        <v>0</v>
      </c>
      <c r="AN530">
        <f t="shared" si="111"/>
        <v>0</v>
      </c>
      <c r="AO530">
        <f t="shared" si="112"/>
        <v>0</v>
      </c>
      <c r="AP530">
        <f t="shared" si="113"/>
        <v>0</v>
      </c>
      <c r="AQ530">
        <f t="shared" si="114"/>
        <v>0</v>
      </c>
      <c r="AR530">
        <f t="shared" si="115"/>
        <v>0</v>
      </c>
      <c r="AS530">
        <f t="shared" si="116"/>
        <v>0</v>
      </c>
      <c r="AT530">
        <f t="shared" si="117"/>
        <v>0</v>
      </c>
      <c r="AU530">
        <f t="shared" si="118"/>
        <v>0</v>
      </c>
      <c r="AV530">
        <f t="shared" si="119"/>
        <v>0</v>
      </c>
      <c r="AW530">
        <f t="shared" si="120"/>
        <v>0</v>
      </c>
      <c r="AX530">
        <f t="shared" si="121"/>
        <v>0</v>
      </c>
      <c r="AY530">
        <f t="shared" si="122"/>
        <v>0</v>
      </c>
      <c r="AZ530">
        <f t="shared" si="123"/>
        <v>0</v>
      </c>
    </row>
    <row r="531" spans="38:52" x14ac:dyDescent="0.35">
      <c r="AL531" s="16" t="s">
        <v>289</v>
      </c>
      <c r="AM531">
        <f t="shared" si="110"/>
        <v>0</v>
      </c>
      <c r="AN531">
        <f t="shared" si="111"/>
        <v>0</v>
      </c>
      <c r="AO531">
        <f t="shared" si="112"/>
        <v>0</v>
      </c>
      <c r="AP531">
        <f t="shared" si="113"/>
        <v>1</v>
      </c>
      <c r="AQ531">
        <f t="shared" si="114"/>
        <v>0</v>
      </c>
      <c r="AR531">
        <f t="shared" si="115"/>
        <v>0</v>
      </c>
      <c r="AS531">
        <f t="shared" si="116"/>
        <v>0</v>
      </c>
      <c r="AT531">
        <f t="shared" si="117"/>
        <v>0</v>
      </c>
      <c r="AU531">
        <f t="shared" si="118"/>
        <v>0</v>
      </c>
      <c r="AV531">
        <f t="shared" si="119"/>
        <v>0</v>
      </c>
      <c r="AW531">
        <f t="shared" si="120"/>
        <v>0</v>
      </c>
      <c r="AX531">
        <f t="shared" si="121"/>
        <v>0</v>
      </c>
      <c r="AY531">
        <f t="shared" si="122"/>
        <v>0</v>
      </c>
      <c r="AZ531">
        <f t="shared" si="123"/>
        <v>0</v>
      </c>
    </row>
    <row r="532" spans="38:52" x14ac:dyDescent="0.35">
      <c r="AL532" s="16" t="s">
        <v>290</v>
      </c>
      <c r="AM532">
        <f t="shared" si="110"/>
        <v>0</v>
      </c>
      <c r="AN532">
        <f t="shared" si="111"/>
        <v>1</v>
      </c>
      <c r="AO532">
        <f t="shared" si="112"/>
        <v>0</v>
      </c>
      <c r="AP532">
        <f t="shared" si="113"/>
        <v>0</v>
      </c>
      <c r="AQ532">
        <f t="shared" si="114"/>
        <v>0</v>
      </c>
      <c r="AR532">
        <f t="shared" si="115"/>
        <v>0</v>
      </c>
      <c r="AS532">
        <f t="shared" si="116"/>
        <v>0</v>
      </c>
      <c r="AT532">
        <f t="shared" si="117"/>
        <v>1</v>
      </c>
      <c r="AU532">
        <f t="shared" si="118"/>
        <v>0</v>
      </c>
      <c r="AV532">
        <f t="shared" si="119"/>
        <v>0</v>
      </c>
      <c r="AW532">
        <f t="shared" si="120"/>
        <v>0</v>
      </c>
      <c r="AX532">
        <f t="shared" si="121"/>
        <v>0</v>
      </c>
      <c r="AY532">
        <f t="shared" si="122"/>
        <v>0</v>
      </c>
      <c r="AZ532">
        <f t="shared" si="123"/>
        <v>0</v>
      </c>
    </row>
    <row r="533" spans="38:52" x14ac:dyDescent="0.35">
      <c r="AL533" s="16" t="s">
        <v>291</v>
      </c>
      <c r="AM533">
        <f t="shared" si="110"/>
        <v>0</v>
      </c>
      <c r="AN533">
        <f t="shared" si="111"/>
        <v>0</v>
      </c>
      <c r="AO533">
        <f t="shared" si="112"/>
        <v>0</v>
      </c>
      <c r="AP533">
        <f t="shared" si="113"/>
        <v>0</v>
      </c>
      <c r="AQ533">
        <f t="shared" si="114"/>
        <v>0</v>
      </c>
      <c r="AR533">
        <f t="shared" si="115"/>
        <v>0</v>
      </c>
      <c r="AS533">
        <f t="shared" si="116"/>
        <v>0</v>
      </c>
      <c r="AT533">
        <f t="shared" si="117"/>
        <v>0</v>
      </c>
      <c r="AU533">
        <f t="shared" si="118"/>
        <v>0</v>
      </c>
      <c r="AV533">
        <f t="shared" si="119"/>
        <v>0</v>
      </c>
      <c r="AW533">
        <f t="shared" si="120"/>
        <v>0</v>
      </c>
      <c r="AX533">
        <f t="shared" si="121"/>
        <v>0</v>
      </c>
      <c r="AY533">
        <f t="shared" si="122"/>
        <v>0</v>
      </c>
      <c r="AZ533">
        <f t="shared" si="123"/>
        <v>0</v>
      </c>
    </row>
    <row r="534" spans="38:52" x14ac:dyDescent="0.35">
      <c r="AL534" s="16" t="s">
        <v>292</v>
      </c>
      <c r="AM534">
        <f t="shared" si="110"/>
        <v>0</v>
      </c>
      <c r="AN534">
        <f t="shared" si="111"/>
        <v>0</v>
      </c>
      <c r="AO534">
        <f t="shared" si="112"/>
        <v>0</v>
      </c>
      <c r="AP534">
        <f t="shared" si="113"/>
        <v>0</v>
      </c>
      <c r="AQ534">
        <f t="shared" si="114"/>
        <v>0</v>
      </c>
      <c r="AR534">
        <f t="shared" si="115"/>
        <v>0</v>
      </c>
      <c r="AS534">
        <f t="shared" si="116"/>
        <v>0</v>
      </c>
      <c r="AT534">
        <f t="shared" si="117"/>
        <v>0</v>
      </c>
      <c r="AU534">
        <f t="shared" si="118"/>
        <v>0</v>
      </c>
      <c r="AV534">
        <f t="shared" si="119"/>
        <v>0</v>
      </c>
      <c r="AW534">
        <f t="shared" si="120"/>
        <v>0</v>
      </c>
      <c r="AX534">
        <f t="shared" si="121"/>
        <v>0</v>
      </c>
      <c r="AY534">
        <f t="shared" si="122"/>
        <v>0</v>
      </c>
      <c r="AZ534">
        <f t="shared" si="123"/>
        <v>0</v>
      </c>
    </row>
    <row r="535" spans="38:52" x14ac:dyDescent="0.35">
      <c r="AL535" s="16" t="s">
        <v>293</v>
      </c>
      <c r="AM535">
        <f t="shared" si="110"/>
        <v>0</v>
      </c>
      <c r="AN535">
        <f t="shared" si="111"/>
        <v>0</v>
      </c>
      <c r="AO535">
        <f t="shared" si="112"/>
        <v>0</v>
      </c>
      <c r="AP535">
        <f t="shared" si="113"/>
        <v>0</v>
      </c>
      <c r="AQ535">
        <f t="shared" si="114"/>
        <v>0</v>
      </c>
      <c r="AR535">
        <f t="shared" si="115"/>
        <v>0</v>
      </c>
      <c r="AS535">
        <f t="shared" si="116"/>
        <v>0</v>
      </c>
      <c r="AT535">
        <f t="shared" si="117"/>
        <v>0</v>
      </c>
      <c r="AU535">
        <f t="shared" si="118"/>
        <v>0</v>
      </c>
      <c r="AV535">
        <f t="shared" si="119"/>
        <v>0</v>
      </c>
      <c r="AW535">
        <f t="shared" si="120"/>
        <v>0</v>
      </c>
      <c r="AX535">
        <f t="shared" si="121"/>
        <v>0</v>
      </c>
      <c r="AY535">
        <f t="shared" si="122"/>
        <v>0</v>
      </c>
      <c r="AZ535">
        <f t="shared" si="123"/>
        <v>0</v>
      </c>
    </row>
    <row r="536" spans="38:52" x14ac:dyDescent="0.35">
      <c r="AL536" s="16" t="s">
        <v>294</v>
      </c>
      <c r="AM536">
        <f t="shared" si="110"/>
        <v>4</v>
      </c>
      <c r="AN536">
        <f t="shared" si="111"/>
        <v>2</v>
      </c>
      <c r="AO536">
        <f t="shared" si="112"/>
        <v>1</v>
      </c>
      <c r="AP536">
        <f t="shared" si="113"/>
        <v>0</v>
      </c>
      <c r="AQ536">
        <f t="shared" si="114"/>
        <v>1</v>
      </c>
      <c r="AR536">
        <f t="shared" si="115"/>
        <v>0</v>
      </c>
      <c r="AS536">
        <f t="shared" si="116"/>
        <v>1</v>
      </c>
      <c r="AT536">
        <f t="shared" si="117"/>
        <v>0</v>
      </c>
      <c r="AU536">
        <f t="shared" si="118"/>
        <v>0</v>
      </c>
      <c r="AV536">
        <f t="shared" si="119"/>
        <v>0</v>
      </c>
      <c r="AW536">
        <f t="shared" si="120"/>
        <v>0</v>
      </c>
      <c r="AX536">
        <f t="shared" si="121"/>
        <v>0</v>
      </c>
      <c r="AY536">
        <f t="shared" si="122"/>
        <v>0</v>
      </c>
      <c r="AZ536">
        <f t="shared" si="123"/>
        <v>0</v>
      </c>
    </row>
    <row r="537" spans="38:52" x14ac:dyDescent="0.35">
      <c r="AL537" s="16" t="s">
        <v>295</v>
      </c>
      <c r="AM537">
        <f t="shared" si="110"/>
        <v>0</v>
      </c>
      <c r="AN537">
        <f t="shared" si="111"/>
        <v>0</v>
      </c>
      <c r="AO537">
        <f t="shared" si="112"/>
        <v>0</v>
      </c>
      <c r="AP537">
        <f t="shared" si="113"/>
        <v>0</v>
      </c>
      <c r="AQ537">
        <f t="shared" si="114"/>
        <v>0</v>
      </c>
      <c r="AR537">
        <f t="shared" si="115"/>
        <v>0</v>
      </c>
      <c r="AS537">
        <f t="shared" si="116"/>
        <v>0</v>
      </c>
      <c r="AT537">
        <f t="shared" si="117"/>
        <v>0</v>
      </c>
      <c r="AU537">
        <f t="shared" si="118"/>
        <v>0</v>
      </c>
      <c r="AV537">
        <f t="shared" si="119"/>
        <v>0</v>
      </c>
      <c r="AW537">
        <f t="shared" si="120"/>
        <v>0</v>
      </c>
      <c r="AX537">
        <f t="shared" si="121"/>
        <v>0</v>
      </c>
      <c r="AY537">
        <f t="shared" si="122"/>
        <v>0</v>
      </c>
      <c r="AZ537">
        <f t="shared" si="123"/>
        <v>0</v>
      </c>
    </row>
    <row r="538" spans="38:52" x14ac:dyDescent="0.35">
      <c r="AL538" s="16" t="s">
        <v>296</v>
      </c>
      <c r="AM538">
        <f t="shared" si="110"/>
        <v>0</v>
      </c>
      <c r="AN538">
        <f t="shared" si="111"/>
        <v>0</v>
      </c>
      <c r="AO538">
        <f t="shared" si="112"/>
        <v>0</v>
      </c>
      <c r="AP538">
        <f t="shared" si="113"/>
        <v>0</v>
      </c>
      <c r="AQ538">
        <f t="shared" si="114"/>
        <v>0</v>
      </c>
      <c r="AR538">
        <f t="shared" si="115"/>
        <v>0</v>
      </c>
      <c r="AS538">
        <f t="shared" si="116"/>
        <v>0</v>
      </c>
      <c r="AT538">
        <f t="shared" si="117"/>
        <v>0</v>
      </c>
      <c r="AU538">
        <f t="shared" si="118"/>
        <v>0</v>
      </c>
      <c r="AV538">
        <f t="shared" si="119"/>
        <v>0</v>
      </c>
      <c r="AW538">
        <f t="shared" si="120"/>
        <v>0</v>
      </c>
      <c r="AX538">
        <f t="shared" si="121"/>
        <v>0</v>
      </c>
      <c r="AY538">
        <f t="shared" si="122"/>
        <v>0</v>
      </c>
      <c r="AZ538">
        <f t="shared" si="123"/>
        <v>0</v>
      </c>
    </row>
    <row r="539" spans="38:52" x14ac:dyDescent="0.35">
      <c r="AL539" s="16" t="s">
        <v>297</v>
      </c>
      <c r="AM539">
        <f t="shared" si="110"/>
        <v>0</v>
      </c>
      <c r="AN539">
        <f t="shared" si="111"/>
        <v>0</v>
      </c>
      <c r="AO539">
        <f t="shared" si="112"/>
        <v>0</v>
      </c>
      <c r="AP539">
        <f t="shared" si="113"/>
        <v>0</v>
      </c>
      <c r="AQ539">
        <f t="shared" si="114"/>
        <v>0</v>
      </c>
      <c r="AR539">
        <f t="shared" si="115"/>
        <v>0</v>
      </c>
      <c r="AS539">
        <f t="shared" si="116"/>
        <v>0</v>
      </c>
      <c r="AT539">
        <f t="shared" si="117"/>
        <v>0</v>
      </c>
      <c r="AU539">
        <f t="shared" si="118"/>
        <v>0</v>
      </c>
      <c r="AV539">
        <f t="shared" si="119"/>
        <v>0</v>
      </c>
      <c r="AW539">
        <f t="shared" si="120"/>
        <v>0</v>
      </c>
      <c r="AX539">
        <f t="shared" si="121"/>
        <v>0</v>
      </c>
      <c r="AY539">
        <f t="shared" si="122"/>
        <v>0</v>
      </c>
      <c r="AZ539">
        <f t="shared" si="123"/>
        <v>0</v>
      </c>
    </row>
    <row r="540" spans="38:52" x14ac:dyDescent="0.35">
      <c r="AL540" s="16" t="s">
        <v>298</v>
      </c>
      <c r="AM540">
        <f t="shared" si="110"/>
        <v>0</v>
      </c>
      <c r="AN540">
        <f t="shared" si="111"/>
        <v>0</v>
      </c>
      <c r="AO540">
        <f t="shared" si="112"/>
        <v>0</v>
      </c>
      <c r="AP540">
        <f t="shared" si="113"/>
        <v>0</v>
      </c>
      <c r="AQ540">
        <f t="shared" si="114"/>
        <v>0</v>
      </c>
      <c r="AR540">
        <f t="shared" si="115"/>
        <v>0</v>
      </c>
      <c r="AS540">
        <f t="shared" si="116"/>
        <v>0</v>
      </c>
      <c r="AT540">
        <f t="shared" si="117"/>
        <v>0</v>
      </c>
      <c r="AU540">
        <f t="shared" si="118"/>
        <v>0</v>
      </c>
      <c r="AV540">
        <f t="shared" si="119"/>
        <v>0</v>
      </c>
      <c r="AW540">
        <f t="shared" si="120"/>
        <v>0</v>
      </c>
      <c r="AX540">
        <f t="shared" si="121"/>
        <v>0</v>
      </c>
      <c r="AY540">
        <f t="shared" si="122"/>
        <v>0</v>
      </c>
      <c r="AZ540">
        <f t="shared" si="123"/>
        <v>0</v>
      </c>
    </row>
    <row r="541" spans="38:52" x14ac:dyDescent="0.35">
      <c r="AL541" s="16" t="s">
        <v>299</v>
      </c>
      <c r="AM541">
        <f t="shared" si="110"/>
        <v>0</v>
      </c>
      <c r="AN541">
        <f t="shared" si="111"/>
        <v>0</v>
      </c>
      <c r="AO541">
        <f t="shared" si="112"/>
        <v>0</v>
      </c>
      <c r="AP541">
        <f t="shared" si="113"/>
        <v>0</v>
      </c>
      <c r="AQ541">
        <f t="shared" si="114"/>
        <v>0</v>
      </c>
      <c r="AR541">
        <f t="shared" si="115"/>
        <v>0</v>
      </c>
      <c r="AS541">
        <f t="shared" si="116"/>
        <v>0</v>
      </c>
      <c r="AT541">
        <f t="shared" si="117"/>
        <v>0</v>
      </c>
      <c r="AU541">
        <f t="shared" si="118"/>
        <v>0</v>
      </c>
      <c r="AV541">
        <f t="shared" si="119"/>
        <v>0</v>
      </c>
      <c r="AW541">
        <f t="shared" si="120"/>
        <v>0</v>
      </c>
      <c r="AX541">
        <f t="shared" si="121"/>
        <v>0</v>
      </c>
      <c r="AY541">
        <f t="shared" si="122"/>
        <v>0</v>
      </c>
      <c r="AZ541">
        <f t="shared" si="123"/>
        <v>0</v>
      </c>
    </row>
    <row r="542" spans="38:52" x14ac:dyDescent="0.35">
      <c r="AL542" s="16" t="s">
        <v>300</v>
      </c>
      <c r="AM542">
        <f t="shared" si="110"/>
        <v>0</v>
      </c>
      <c r="AN542">
        <f t="shared" si="111"/>
        <v>0</v>
      </c>
      <c r="AO542">
        <f t="shared" si="112"/>
        <v>0</v>
      </c>
      <c r="AP542">
        <f t="shared" si="113"/>
        <v>0</v>
      </c>
      <c r="AQ542">
        <f t="shared" si="114"/>
        <v>0</v>
      </c>
      <c r="AR542">
        <f t="shared" si="115"/>
        <v>0</v>
      </c>
      <c r="AS542">
        <f t="shared" si="116"/>
        <v>0</v>
      </c>
      <c r="AT542">
        <f t="shared" si="117"/>
        <v>0</v>
      </c>
      <c r="AU542">
        <f t="shared" si="118"/>
        <v>0</v>
      </c>
      <c r="AV542">
        <f t="shared" si="119"/>
        <v>0</v>
      </c>
      <c r="AW542">
        <f t="shared" si="120"/>
        <v>0</v>
      </c>
      <c r="AX542">
        <f t="shared" si="121"/>
        <v>0</v>
      </c>
      <c r="AY542">
        <f t="shared" si="122"/>
        <v>0</v>
      </c>
      <c r="AZ542">
        <f t="shared" si="123"/>
        <v>0</v>
      </c>
    </row>
    <row r="543" spans="38:52" x14ac:dyDescent="0.35">
      <c r="AL543" s="16" t="s">
        <v>301</v>
      </c>
      <c r="AM543">
        <f t="shared" si="110"/>
        <v>0</v>
      </c>
      <c r="AN543">
        <f t="shared" si="111"/>
        <v>0</v>
      </c>
      <c r="AO543">
        <f t="shared" si="112"/>
        <v>0</v>
      </c>
      <c r="AP543">
        <f t="shared" si="113"/>
        <v>0</v>
      </c>
      <c r="AQ543">
        <f t="shared" si="114"/>
        <v>0</v>
      </c>
      <c r="AR543">
        <f t="shared" si="115"/>
        <v>0</v>
      </c>
      <c r="AS543">
        <f t="shared" si="116"/>
        <v>0</v>
      </c>
      <c r="AT543">
        <f t="shared" si="117"/>
        <v>0</v>
      </c>
      <c r="AU543">
        <f t="shared" si="118"/>
        <v>0</v>
      </c>
      <c r="AV543">
        <f t="shared" si="119"/>
        <v>0</v>
      </c>
      <c r="AW543">
        <f t="shared" si="120"/>
        <v>0</v>
      </c>
      <c r="AX543">
        <f t="shared" si="121"/>
        <v>0</v>
      </c>
      <c r="AY543">
        <f t="shared" si="122"/>
        <v>0</v>
      </c>
      <c r="AZ543">
        <f t="shared" si="123"/>
        <v>0</v>
      </c>
    </row>
    <row r="544" spans="38:52" x14ac:dyDescent="0.35">
      <c r="AL544" s="16" t="s">
        <v>302</v>
      </c>
      <c r="AM544">
        <f t="shared" si="110"/>
        <v>0</v>
      </c>
      <c r="AN544">
        <f t="shared" si="111"/>
        <v>0</v>
      </c>
      <c r="AO544">
        <f t="shared" si="112"/>
        <v>0</v>
      </c>
      <c r="AP544">
        <f t="shared" si="113"/>
        <v>0</v>
      </c>
      <c r="AQ544">
        <f t="shared" si="114"/>
        <v>0</v>
      </c>
      <c r="AR544">
        <f t="shared" si="115"/>
        <v>0</v>
      </c>
      <c r="AS544">
        <f t="shared" si="116"/>
        <v>0</v>
      </c>
      <c r="AT544">
        <f t="shared" si="117"/>
        <v>0</v>
      </c>
      <c r="AU544">
        <f t="shared" si="118"/>
        <v>0</v>
      </c>
      <c r="AV544">
        <f t="shared" si="119"/>
        <v>0</v>
      </c>
      <c r="AW544">
        <f t="shared" si="120"/>
        <v>0</v>
      </c>
      <c r="AX544">
        <f t="shared" si="121"/>
        <v>0</v>
      </c>
      <c r="AY544">
        <f t="shared" si="122"/>
        <v>0</v>
      </c>
      <c r="AZ544">
        <f t="shared" si="123"/>
        <v>0</v>
      </c>
    </row>
    <row r="545" spans="38:52" x14ac:dyDescent="0.35">
      <c r="AL545" s="16" t="s">
        <v>303</v>
      </c>
      <c r="AM545">
        <f t="shared" si="110"/>
        <v>0</v>
      </c>
      <c r="AN545">
        <f t="shared" si="111"/>
        <v>0</v>
      </c>
      <c r="AO545">
        <f t="shared" si="112"/>
        <v>0</v>
      </c>
      <c r="AP545">
        <f t="shared" si="113"/>
        <v>0</v>
      </c>
      <c r="AQ545">
        <f t="shared" si="114"/>
        <v>0</v>
      </c>
      <c r="AR545">
        <f t="shared" si="115"/>
        <v>0</v>
      </c>
      <c r="AS545">
        <f t="shared" si="116"/>
        <v>0</v>
      </c>
      <c r="AT545">
        <f t="shared" si="117"/>
        <v>0</v>
      </c>
      <c r="AU545">
        <f t="shared" si="118"/>
        <v>0</v>
      </c>
      <c r="AV545">
        <f t="shared" si="119"/>
        <v>0</v>
      </c>
      <c r="AW545">
        <f t="shared" si="120"/>
        <v>0</v>
      </c>
      <c r="AX545">
        <f t="shared" si="121"/>
        <v>0</v>
      </c>
      <c r="AY545">
        <f t="shared" si="122"/>
        <v>0</v>
      </c>
      <c r="AZ545">
        <f t="shared" si="123"/>
        <v>0</v>
      </c>
    </row>
    <row r="546" spans="38:52" x14ac:dyDescent="0.35">
      <c r="AL546" s="16" t="s">
        <v>304</v>
      </c>
      <c r="AM546">
        <f t="shared" si="110"/>
        <v>0</v>
      </c>
      <c r="AN546">
        <f t="shared" si="111"/>
        <v>0</v>
      </c>
      <c r="AO546">
        <f t="shared" si="112"/>
        <v>0</v>
      </c>
      <c r="AP546">
        <f t="shared" si="113"/>
        <v>0</v>
      </c>
      <c r="AQ546">
        <f t="shared" si="114"/>
        <v>0</v>
      </c>
      <c r="AR546">
        <f t="shared" si="115"/>
        <v>0</v>
      </c>
      <c r="AS546">
        <f t="shared" si="116"/>
        <v>0</v>
      </c>
      <c r="AT546">
        <f t="shared" si="117"/>
        <v>0</v>
      </c>
      <c r="AU546">
        <f t="shared" si="118"/>
        <v>0</v>
      </c>
      <c r="AV546">
        <f t="shared" si="119"/>
        <v>0</v>
      </c>
      <c r="AW546">
        <f t="shared" si="120"/>
        <v>0</v>
      </c>
      <c r="AX546">
        <f t="shared" si="121"/>
        <v>0</v>
      </c>
      <c r="AY546">
        <f t="shared" si="122"/>
        <v>0</v>
      </c>
      <c r="AZ546">
        <f t="shared" si="123"/>
        <v>0</v>
      </c>
    </row>
    <row r="547" spans="38:52" x14ac:dyDescent="0.35">
      <c r="AL547" s="16" t="s">
        <v>305</v>
      </c>
      <c r="AM547">
        <f t="shared" si="110"/>
        <v>0</v>
      </c>
      <c r="AN547">
        <f t="shared" si="111"/>
        <v>0</v>
      </c>
      <c r="AO547">
        <f t="shared" si="112"/>
        <v>0</v>
      </c>
      <c r="AP547">
        <f t="shared" si="113"/>
        <v>0</v>
      </c>
      <c r="AQ547">
        <f t="shared" si="114"/>
        <v>0</v>
      </c>
      <c r="AR547">
        <f t="shared" si="115"/>
        <v>0</v>
      </c>
      <c r="AS547">
        <f t="shared" si="116"/>
        <v>0</v>
      </c>
      <c r="AT547">
        <f t="shared" si="117"/>
        <v>0</v>
      </c>
      <c r="AU547">
        <f t="shared" si="118"/>
        <v>0</v>
      </c>
      <c r="AV547">
        <f t="shared" si="119"/>
        <v>0</v>
      </c>
      <c r="AW547">
        <f t="shared" si="120"/>
        <v>0</v>
      </c>
      <c r="AX547">
        <f t="shared" si="121"/>
        <v>0</v>
      </c>
      <c r="AY547">
        <f t="shared" si="122"/>
        <v>0</v>
      </c>
      <c r="AZ547">
        <f t="shared" si="123"/>
        <v>0</v>
      </c>
    </row>
    <row r="548" spans="38:52" x14ac:dyDescent="0.35">
      <c r="AL548" s="16" t="s">
        <v>306</v>
      </c>
      <c r="AM548">
        <f t="shared" si="110"/>
        <v>0</v>
      </c>
      <c r="AN548">
        <f t="shared" si="111"/>
        <v>0</v>
      </c>
      <c r="AO548">
        <f t="shared" si="112"/>
        <v>0</v>
      </c>
      <c r="AP548">
        <f t="shared" si="113"/>
        <v>0</v>
      </c>
      <c r="AQ548">
        <f t="shared" si="114"/>
        <v>0</v>
      </c>
      <c r="AR548">
        <f t="shared" si="115"/>
        <v>0</v>
      </c>
      <c r="AS548">
        <f t="shared" si="116"/>
        <v>0</v>
      </c>
      <c r="AT548">
        <f t="shared" si="117"/>
        <v>0</v>
      </c>
      <c r="AU548">
        <f t="shared" si="118"/>
        <v>0</v>
      </c>
      <c r="AV548">
        <f t="shared" si="119"/>
        <v>0</v>
      </c>
      <c r="AW548">
        <f t="shared" si="120"/>
        <v>0</v>
      </c>
      <c r="AX548">
        <f t="shared" si="121"/>
        <v>0</v>
      </c>
      <c r="AY548">
        <f t="shared" si="122"/>
        <v>0</v>
      </c>
      <c r="AZ548">
        <f t="shared" si="123"/>
        <v>0</v>
      </c>
    </row>
    <row r="549" spans="38:52" x14ac:dyDescent="0.35">
      <c r="AL549" s="16" t="s">
        <v>307</v>
      </c>
      <c r="AM549">
        <f t="shared" si="110"/>
        <v>0</v>
      </c>
      <c r="AN549">
        <f t="shared" si="111"/>
        <v>0</v>
      </c>
      <c r="AO549">
        <f t="shared" si="112"/>
        <v>0</v>
      </c>
      <c r="AP549">
        <f t="shared" si="113"/>
        <v>0</v>
      </c>
      <c r="AQ549">
        <f t="shared" si="114"/>
        <v>0</v>
      </c>
      <c r="AR549">
        <f t="shared" si="115"/>
        <v>0</v>
      </c>
      <c r="AS549">
        <f t="shared" si="116"/>
        <v>0</v>
      </c>
      <c r="AT549">
        <f t="shared" si="117"/>
        <v>0</v>
      </c>
      <c r="AU549">
        <f t="shared" si="118"/>
        <v>0</v>
      </c>
      <c r="AV549">
        <f t="shared" si="119"/>
        <v>0</v>
      </c>
      <c r="AW549">
        <f t="shared" si="120"/>
        <v>0</v>
      </c>
      <c r="AX549">
        <f t="shared" si="121"/>
        <v>0</v>
      </c>
      <c r="AY549">
        <f t="shared" si="122"/>
        <v>0</v>
      </c>
      <c r="AZ549">
        <f t="shared" si="123"/>
        <v>0</v>
      </c>
    </row>
    <row r="550" spans="38:52" x14ac:dyDescent="0.35">
      <c r="AL550" s="16" t="s">
        <v>308</v>
      </c>
      <c r="AM550">
        <f t="shared" si="110"/>
        <v>0</v>
      </c>
      <c r="AN550">
        <f t="shared" si="111"/>
        <v>0</v>
      </c>
      <c r="AO550">
        <f t="shared" si="112"/>
        <v>0</v>
      </c>
      <c r="AP550">
        <f t="shared" si="113"/>
        <v>0</v>
      </c>
      <c r="AQ550">
        <f t="shared" si="114"/>
        <v>0</v>
      </c>
      <c r="AR550">
        <f t="shared" si="115"/>
        <v>0</v>
      </c>
      <c r="AS550">
        <f t="shared" si="116"/>
        <v>0</v>
      </c>
      <c r="AT550">
        <f t="shared" si="117"/>
        <v>0</v>
      </c>
      <c r="AU550">
        <f t="shared" si="118"/>
        <v>0</v>
      </c>
      <c r="AV550">
        <f t="shared" si="119"/>
        <v>0</v>
      </c>
      <c r="AW550">
        <f t="shared" si="120"/>
        <v>0</v>
      </c>
      <c r="AX550">
        <f t="shared" si="121"/>
        <v>0</v>
      </c>
      <c r="AY550">
        <f t="shared" si="122"/>
        <v>0</v>
      </c>
      <c r="AZ550">
        <f t="shared" si="123"/>
        <v>0</v>
      </c>
    </row>
    <row r="551" spans="38:52" x14ac:dyDescent="0.35">
      <c r="AL551" s="16" t="s">
        <v>309</v>
      </c>
      <c r="AM551">
        <f t="shared" si="110"/>
        <v>0</v>
      </c>
      <c r="AN551">
        <f t="shared" si="111"/>
        <v>0</v>
      </c>
      <c r="AO551">
        <f t="shared" si="112"/>
        <v>0</v>
      </c>
      <c r="AP551">
        <f t="shared" si="113"/>
        <v>0</v>
      </c>
      <c r="AQ551">
        <f t="shared" si="114"/>
        <v>0</v>
      </c>
      <c r="AR551">
        <f t="shared" si="115"/>
        <v>0</v>
      </c>
      <c r="AS551">
        <f t="shared" si="116"/>
        <v>0</v>
      </c>
      <c r="AT551">
        <f t="shared" si="117"/>
        <v>0</v>
      </c>
      <c r="AU551">
        <f t="shared" si="118"/>
        <v>0</v>
      </c>
      <c r="AV551">
        <f t="shared" si="119"/>
        <v>0</v>
      </c>
      <c r="AW551">
        <f t="shared" si="120"/>
        <v>0</v>
      </c>
      <c r="AX551">
        <f t="shared" si="121"/>
        <v>0</v>
      </c>
      <c r="AY551">
        <f t="shared" si="122"/>
        <v>0</v>
      </c>
      <c r="AZ551">
        <f t="shared" si="123"/>
        <v>0</v>
      </c>
    </row>
    <row r="552" spans="38:52" x14ac:dyDescent="0.35">
      <c r="AL552" s="16" t="s">
        <v>310</v>
      </c>
      <c r="AM552">
        <f t="shared" si="110"/>
        <v>0</v>
      </c>
      <c r="AN552">
        <f t="shared" si="111"/>
        <v>0</v>
      </c>
      <c r="AO552">
        <f t="shared" si="112"/>
        <v>0</v>
      </c>
      <c r="AP552">
        <f t="shared" si="113"/>
        <v>0</v>
      </c>
      <c r="AQ552">
        <f t="shared" si="114"/>
        <v>0</v>
      </c>
      <c r="AR552">
        <f t="shared" si="115"/>
        <v>0</v>
      </c>
      <c r="AS552">
        <f t="shared" si="116"/>
        <v>0</v>
      </c>
      <c r="AT552">
        <f t="shared" si="117"/>
        <v>0</v>
      </c>
      <c r="AU552">
        <f t="shared" si="118"/>
        <v>0</v>
      </c>
      <c r="AV552">
        <f t="shared" si="119"/>
        <v>0</v>
      </c>
      <c r="AW552">
        <f t="shared" si="120"/>
        <v>0</v>
      </c>
      <c r="AX552">
        <f t="shared" si="121"/>
        <v>0</v>
      </c>
      <c r="AY552">
        <f t="shared" si="122"/>
        <v>0</v>
      </c>
      <c r="AZ552">
        <f t="shared" si="123"/>
        <v>0</v>
      </c>
    </row>
    <row r="553" spans="38:52" x14ac:dyDescent="0.35">
      <c r="AL553" s="16" t="s">
        <v>311</v>
      </c>
      <c r="AM553">
        <f t="shared" si="110"/>
        <v>0</v>
      </c>
      <c r="AN553">
        <f t="shared" si="111"/>
        <v>0</v>
      </c>
      <c r="AO553">
        <f t="shared" si="112"/>
        <v>0</v>
      </c>
      <c r="AP553">
        <f t="shared" si="113"/>
        <v>0</v>
      </c>
      <c r="AQ553">
        <f t="shared" si="114"/>
        <v>0</v>
      </c>
      <c r="AR553">
        <f t="shared" si="115"/>
        <v>0</v>
      </c>
      <c r="AS553">
        <f t="shared" si="116"/>
        <v>0</v>
      </c>
      <c r="AT553">
        <f t="shared" si="117"/>
        <v>0</v>
      </c>
      <c r="AU553">
        <f t="shared" si="118"/>
        <v>0</v>
      </c>
      <c r="AV553">
        <f t="shared" si="119"/>
        <v>0</v>
      </c>
      <c r="AW553">
        <f t="shared" si="120"/>
        <v>0</v>
      </c>
      <c r="AX553">
        <f t="shared" si="121"/>
        <v>0</v>
      </c>
      <c r="AY553">
        <f t="shared" si="122"/>
        <v>0</v>
      </c>
      <c r="AZ553">
        <f t="shared" si="123"/>
        <v>0</v>
      </c>
    </row>
    <row r="554" spans="38:52" x14ac:dyDescent="0.35">
      <c r="AL554" s="16" t="s">
        <v>312</v>
      </c>
      <c r="AM554">
        <f t="shared" si="110"/>
        <v>0</v>
      </c>
      <c r="AN554">
        <f t="shared" si="111"/>
        <v>0</v>
      </c>
      <c r="AO554">
        <f t="shared" si="112"/>
        <v>0</v>
      </c>
      <c r="AP554">
        <f t="shared" si="113"/>
        <v>0</v>
      </c>
      <c r="AQ554">
        <f t="shared" si="114"/>
        <v>0</v>
      </c>
      <c r="AR554">
        <f t="shared" si="115"/>
        <v>0</v>
      </c>
      <c r="AS554">
        <f t="shared" si="116"/>
        <v>0</v>
      </c>
      <c r="AT554">
        <f t="shared" si="117"/>
        <v>0</v>
      </c>
      <c r="AU554">
        <f t="shared" si="118"/>
        <v>0</v>
      </c>
      <c r="AV554">
        <f t="shared" si="119"/>
        <v>0</v>
      </c>
      <c r="AW554">
        <f t="shared" si="120"/>
        <v>0</v>
      </c>
      <c r="AX554">
        <f t="shared" si="121"/>
        <v>0</v>
      </c>
      <c r="AY554">
        <f t="shared" si="122"/>
        <v>0</v>
      </c>
      <c r="AZ554">
        <f t="shared" si="123"/>
        <v>0</v>
      </c>
    </row>
    <row r="555" spans="38:52" x14ac:dyDescent="0.35">
      <c r="AL555" s="16" t="s">
        <v>313</v>
      </c>
      <c r="AM555">
        <f t="shared" si="110"/>
        <v>0</v>
      </c>
      <c r="AN555">
        <f t="shared" si="111"/>
        <v>0</v>
      </c>
      <c r="AO555">
        <f t="shared" si="112"/>
        <v>0</v>
      </c>
      <c r="AP555">
        <f t="shared" si="113"/>
        <v>0</v>
      </c>
      <c r="AQ555">
        <f t="shared" si="114"/>
        <v>0</v>
      </c>
      <c r="AR555">
        <f t="shared" si="115"/>
        <v>0</v>
      </c>
      <c r="AS555">
        <f t="shared" si="116"/>
        <v>0</v>
      </c>
      <c r="AT555">
        <f t="shared" si="117"/>
        <v>0</v>
      </c>
      <c r="AU555">
        <f t="shared" si="118"/>
        <v>0</v>
      </c>
      <c r="AV555">
        <f t="shared" si="119"/>
        <v>0</v>
      </c>
      <c r="AW555">
        <f t="shared" si="120"/>
        <v>0</v>
      </c>
      <c r="AX555">
        <f t="shared" si="121"/>
        <v>0</v>
      </c>
      <c r="AY555">
        <f t="shared" si="122"/>
        <v>0</v>
      </c>
      <c r="AZ555">
        <f t="shared" si="123"/>
        <v>0</v>
      </c>
    </row>
    <row r="556" spans="38:52" x14ac:dyDescent="0.35">
      <c r="AL556" s="16" t="s">
        <v>314</v>
      </c>
      <c r="AM556">
        <f t="shared" si="110"/>
        <v>0</v>
      </c>
      <c r="AN556">
        <f t="shared" si="111"/>
        <v>0</v>
      </c>
      <c r="AO556">
        <f t="shared" si="112"/>
        <v>0</v>
      </c>
      <c r="AP556">
        <f t="shared" si="113"/>
        <v>0</v>
      </c>
      <c r="AQ556">
        <f t="shared" si="114"/>
        <v>0</v>
      </c>
      <c r="AR556">
        <f t="shared" si="115"/>
        <v>0</v>
      </c>
      <c r="AS556">
        <f t="shared" si="116"/>
        <v>0</v>
      </c>
      <c r="AT556">
        <f t="shared" si="117"/>
        <v>0</v>
      </c>
      <c r="AU556">
        <f t="shared" si="118"/>
        <v>0</v>
      </c>
      <c r="AV556">
        <f t="shared" si="119"/>
        <v>0</v>
      </c>
      <c r="AW556">
        <f t="shared" si="120"/>
        <v>0</v>
      </c>
      <c r="AX556">
        <f t="shared" si="121"/>
        <v>0</v>
      </c>
      <c r="AY556">
        <f t="shared" si="122"/>
        <v>0</v>
      </c>
      <c r="AZ556">
        <f t="shared" si="123"/>
        <v>0</v>
      </c>
    </row>
    <row r="557" spans="38:52" x14ac:dyDescent="0.35">
      <c r="AL557" s="16" t="s">
        <v>315</v>
      </c>
      <c r="AM557">
        <f t="shared" si="110"/>
        <v>0</v>
      </c>
      <c r="AN557">
        <f t="shared" si="111"/>
        <v>0</v>
      </c>
      <c r="AO557">
        <f t="shared" si="112"/>
        <v>0</v>
      </c>
      <c r="AP557">
        <f t="shared" si="113"/>
        <v>0</v>
      </c>
      <c r="AQ557">
        <f t="shared" si="114"/>
        <v>0</v>
      </c>
      <c r="AR557">
        <f t="shared" si="115"/>
        <v>0</v>
      </c>
      <c r="AS557">
        <f t="shared" si="116"/>
        <v>0</v>
      </c>
      <c r="AT557">
        <f t="shared" si="117"/>
        <v>0</v>
      </c>
      <c r="AU557">
        <f t="shared" si="118"/>
        <v>0</v>
      </c>
      <c r="AV557">
        <f t="shared" si="119"/>
        <v>0</v>
      </c>
      <c r="AW557">
        <f t="shared" si="120"/>
        <v>0</v>
      </c>
      <c r="AX557">
        <f t="shared" si="121"/>
        <v>0</v>
      </c>
      <c r="AY557">
        <f t="shared" si="122"/>
        <v>0</v>
      </c>
      <c r="AZ557">
        <f t="shared" si="123"/>
        <v>0</v>
      </c>
    </row>
    <row r="558" spans="38:52" x14ac:dyDescent="0.35">
      <c r="AL558" s="16" t="s">
        <v>316</v>
      </c>
      <c r="AM558">
        <f t="shared" si="110"/>
        <v>0</v>
      </c>
      <c r="AN558">
        <f t="shared" si="111"/>
        <v>0</v>
      </c>
      <c r="AO558">
        <f t="shared" si="112"/>
        <v>0</v>
      </c>
      <c r="AP558">
        <f t="shared" si="113"/>
        <v>0</v>
      </c>
      <c r="AQ558">
        <f t="shared" si="114"/>
        <v>0</v>
      </c>
      <c r="AR558">
        <f t="shared" si="115"/>
        <v>0</v>
      </c>
      <c r="AS558">
        <f t="shared" si="116"/>
        <v>0</v>
      </c>
      <c r="AT558">
        <f t="shared" si="117"/>
        <v>0</v>
      </c>
      <c r="AU558">
        <f t="shared" si="118"/>
        <v>0</v>
      </c>
      <c r="AV558">
        <f t="shared" si="119"/>
        <v>0</v>
      </c>
      <c r="AW558">
        <f t="shared" si="120"/>
        <v>0</v>
      </c>
      <c r="AX558">
        <f t="shared" si="121"/>
        <v>0</v>
      </c>
      <c r="AY558">
        <f t="shared" si="122"/>
        <v>0</v>
      </c>
      <c r="AZ558">
        <f t="shared" si="123"/>
        <v>0</v>
      </c>
    </row>
    <row r="559" spans="38:52" x14ac:dyDescent="0.35">
      <c r="AL559" s="16" t="s">
        <v>317</v>
      </c>
      <c r="AM559">
        <f t="shared" si="110"/>
        <v>0</v>
      </c>
      <c r="AN559">
        <f t="shared" si="111"/>
        <v>0</v>
      </c>
      <c r="AO559">
        <f t="shared" si="112"/>
        <v>0</v>
      </c>
      <c r="AP559">
        <f t="shared" si="113"/>
        <v>1</v>
      </c>
      <c r="AQ559">
        <f t="shared" si="114"/>
        <v>0</v>
      </c>
      <c r="AR559">
        <f t="shared" si="115"/>
        <v>0</v>
      </c>
      <c r="AS559">
        <f t="shared" si="116"/>
        <v>0</v>
      </c>
      <c r="AT559">
        <f t="shared" si="117"/>
        <v>0</v>
      </c>
      <c r="AU559">
        <f t="shared" si="118"/>
        <v>0</v>
      </c>
      <c r="AV559">
        <f t="shared" si="119"/>
        <v>0</v>
      </c>
      <c r="AW559">
        <f t="shared" si="120"/>
        <v>0</v>
      </c>
      <c r="AX559">
        <f t="shared" si="121"/>
        <v>0</v>
      </c>
      <c r="AY559">
        <f t="shared" si="122"/>
        <v>0</v>
      </c>
      <c r="AZ559">
        <f t="shared" si="123"/>
        <v>0</v>
      </c>
    </row>
    <row r="560" spans="38:52" x14ac:dyDescent="0.35">
      <c r="AL560" s="16" t="s">
        <v>318</v>
      </c>
      <c r="AM560">
        <f t="shared" si="110"/>
        <v>0</v>
      </c>
      <c r="AN560">
        <f t="shared" si="111"/>
        <v>0</v>
      </c>
      <c r="AO560">
        <f t="shared" si="112"/>
        <v>0</v>
      </c>
      <c r="AP560">
        <f t="shared" si="113"/>
        <v>0</v>
      </c>
      <c r="AQ560">
        <f t="shared" si="114"/>
        <v>0</v>
      </c>
      <c r="AR560">
        <f t="shared" si="115"/>
        <v>0</v>
      </c>
      <c r="AS560">
        <f t="shared" si="116"/>
        <v>0</v>
      </c>
      <c r="AT560">
        <f t="shared" si="117"/>
        <v>0</v>
      </c>
      <c r="AU560">
        <f t="shared" si="118"/>
        <v>0</v>
      </c>
      <c r="AV560">
        <f t="shared" si="119"/>
        <v>0</v>
      </c>
      <c r="AW560">
        <f t="shared" si="120"/>
        <v>0</v>
      </c>
      <c r="AX560">
        <f t="shared" si="121"/>
        <v>0</v>
      </c>
      <c r="AY560">
        <f t="shared" si="122"/>
        <v>0</v>
      </c>
      <c r="AZ560">
        <f t="shared" si="123"/>
        <v>0</v>
      </c>
    </row>
    <row r="561" spans="38:52" x14ac:dyDescent="0.35">
      <c r="AL561" s="16" t="s">
        <v>319</v>
      </c>
      <c r="AM561">
        <f t="shared" si="110"/>
        <v>0</v>
      </c>
      <c r="AN561">
        <f t="shared" si="111"/>
        <v>0</v>
      </c>
      <c r="AO561">
        <f t="shared" si="112"/>
        <v>0</v>
      </c>
      <c r="AP561">
        <f t="shared" si="113"/>
        <v>0</v>
      </c>
      <c r="AQ561">
        <f t="shared" si="114"/>
        <v>0</v>
      </c>
      <c r="AR561">
        <f t="shared" si="115"/>
        <v>0</v>
      </c>
      <c r="AS561">
        <f t="shared" si="116"/>
        <v>0</v>
      </c>
      <c r="AT561">
        <f t="shared" si="117"/>
        <v>0</v>
      </c>
      <c r="AU561">
        <f t="shared" si="118"/>
        <v>0</v>
      </c>
      <c r="AV561">
        <f t="shared" si="119"/>
        <v>0</v>
      </c>
      <c r="AW561">
        <f t="shared" si="120"/>
        <v>0</v>
      </c>
      <c r="AX561">
        <f t="shared" si="121"/>
        <v>0</v>
      </c>
      <c r="AY561">
        <f t="shared" si="122"/>
        <v>0</v>
      </c>
      <c r="AZ561">
        <f t="shared" si="123"/>
        <v>0</v>
      </c>
    </row>
    <row r="562" spans="38:52" x14ac:dyDescent="0.35">
      <c r="AL562" s="16" t="s">
        <v>320</v>
      </c>
      <c r="AM562">
        <f t="shared" ref="AM562:AM567" si="124">COUNTIF($AM137:$AS137,"&gt;=100%")</f>
        <v>0</v>
      </c>
      <c r="AN562">
        <f t="shared" ref="AN562:AN567" si="125">COUNTIF($AU137:$BA137,"&gt;=100%")</f>
        <v>0</v>
      </c>
      <c r="AO562">
        <f t="shared" ref="AO562:AO567" si="126">COUNTIF($BC137:$BI137,"&gt;=100%")</f>
        <v>0</v>
      </c>
      <c r="AP562">
        <f t="shared" ref="AP562:AP567" si="127">COUNTIF($BK137:$BQ137,"&gt;=100%")</f>
        <v>0</v>
      </c>
      <c r="AQ562">
        <f t="shared" ref="AQ562:AQ567" si="128">COUNTIF($BS137:$BY137,"&gt;=100%")</f>
        <v>0</v>
      </c>
      <c r="AR562">
        <f t="shared" ref="AR562:AR567" si="129">COUNTIF($CA137:$CG137,"&gt;=100%")</f>
        <v>0</v>
      </c>
      <c r="AS562">
        <f t="shared" ref="AS562:AS567" si="130">COUNTIF($CI137:$CO137,"&gt;=100%")</f>
        <v>0</v>
      </c>
      <c r="AT562">
        <f t="shared" ref="AT562:AT567" si="131">COUNTIF($CQ137:$CW137,"&gt;=100%")</f>
        <v>0</v>
      </c>
      <c r="AU562">
        <f t="shared" ref="AU562:AU567" si="132">COUNTIF($CY137:$DE137,"&gt;=100%")</f>
        <v>0</v>
      </c>
      <c r="AV562">
        <f t="shared" ref="AV562:AV567" si="133">COUNTIF($DG137:$DM137,"&gt;=100%")</f>
        <v>0</v>
      </c>
      <c r="AW562">
        <f t="shared" ref="AW562:AW567" si="134">COUNTIF($DO137:$DU137,"&gt;=100%")</f>
        <v>0</v>
      </c>
      <c r="AX562">
        <f t="shared" ref="AX562:AX567" si="135">COUNTIF($DW137:$EC137,"&gt;=100%")</f>
        <v>0</v>
      </c>
      <c r="AY562">
        <f t="shared" ref="AY562:AY567" si="136">COUNTIF($EE137:$EK137,"&gt;=100%")</f>
        <v>0</v>
      </c>
      <c r="AZ562">
        <f t="shared" ref="AZ562:AZ567" si="137">COUNTIF($EM137:$ES137,"&gt;=100%")</f>
        <v>0</v>
      </c>
    </row>
    <row r="563" spans="38:52" x14ac:dyDescent="0.35">
      <c r="AL563" s="16" t="s">
        <v>321</v>
      </c>
      <c r="AM563">
        <f t="shared" si="124"/>
        <v>3</v>
      </c>
      <c r="AN563">
        <f t="shared" si="125"/>
        <v>5</v>
      </c>
      <c r="AO563">
        <f t="shared" si="126"/>
        <v>2</v>
      </c>
      <c r="AP563">
        <f t="shared" si="127"/>
        <v>0</v>
      </c>
      <c r="AQ563">
        <f t="shared" si="128"/>
        <v>0</v>
      </c>
      <c r="AR563">
        <f t="shared" si="129"/>
        <v>0</v>
      </c>
      <c r="AS563">
        <f t="shared" si="130"/>
        <v>0</v>
      </c>
      <c r="AT563">
        <f t="shared" si="131"/>
        <v>0</v>
      </c>
      <c r="AU563">
        <f t="shared" si="132"/>
        <v>0</v>
      </c>
      <c r="AV563">
        <f t="shared" si="133"/>
        <v>0</v>
      </c>
      <c r="AW563">
        <f t="shared" si="134"/>
        <v>0</v>
      </c>
      <c r="AX563">
        <f t="shared" si="135"/>
        <v>0</v>
      </c>
      <c r="AY563">
        <f t="shared" si="136"/>
        <v>0</v>
      </c>
      <c r="AZ563">
        <f t="shared" si="137"/>
        <v>0</v>
      </c>
    </row>
    <row r="564" spans="38:52" x14ac:dyDescent="0.35">
      <c r="AL564" s="16" t="s">
        <v>322</v>
      </c>
      <c r="AM564">
        <f t="shared" si="124"/>
        <v>0</v>
      </c>
      <c r="AN564">
        <f t="shared" si="125"/>
        <v>0</v>
      </c>
      <c r="AO564">
        <f t="shared" si="126"/>
        <v>0</v>
      </c>
      <c r="AP564">
        <f t="shared" si="127"/>
        <v>0</v>
      </c>
      <c r="AQ564">
        <f t="shared" si="128"/>
        <v>0</v>
      </c>
      <c r="AR564">
        <f t="shared" si="129"/>
        <v>0</v>
      </c>
      <c r="AS564">
        <f t="shared" si="130"/>
        <v>0</v>
      </c>
      <c r="AT564">
        <f t="shared" si="131"/>
        <v>0</v>
      </c>
      <c r="AU564">
        <f t="shared" si="132"/>
        <v>0</v>
      </c>
      <c r="AV564">
        <f t="shared" si="133"/>
        <v>0</v>
      </c>
      <c r="AW564">
        <f t="shared" si="134"/>
        <v>0</v>
      </c>
      <c r="AX564">
        <f t="shared" si="135"/>
        <v>0</v>
      </c>
      <c r="AY564">
        <f t="shared" si="136"/>
        <v>0</v>
      </c>
      <c r="AZ564">
        <f t="shared" si="137"/>
        <v>0</v>
      </c>
    </row>
    <row r="565" spans="38:52" x14ac:dyDescent="0.35">
      <c r="AL565" s="16" t="s">
        <v>323</v>
      </c>
      <c r="AM565">
        <f t="shared" si="124"/>
        <v>0</v>
      </c>
      <c r="AN565">
        <f t="shared" si="125"/>
        <v>0</v>
      </c>
      <c r="AO565">
        <f t="shared" si="126"/>
        <v>0</v>
      </c>
      <c r="AP565">
        <f t="shared" si="127"/>
        <v>0</v>
      </c>
      <c r="AQ565">
        <f t="shared" si="128"/>
        <v>0</v>
      </c>
      <c r="AR565">
        <f t="shared" si="129"/>
        <v>0</v>
      </c>
      <c r="AS565">
        <f t="shared" si="130"/>
        <v>0</v>
      </c>
      <c r="AT565">
        <f t="shared" si="131"/>
        <v>0</v>
      </c>
      <c r="AU565">
        <f t="shared" si="132"/>
        <v>0</v>
      </c>
      <c r="AV565">
        <f t="shared" si="133"/>
        <v>0</v>
      </c>
      <c r="AW565">
        <f t="shared" si="134"/>
        <v>0</v>
      </c>
      <c r="AX565">
        <f t="shared" si="135"/>
        <v>0</v>
      </c>
      <c r="AY565">
        <f t="shared" si="136"/>
        <v>0</v>
      </c>
      <c r="AZ565">
        <f t="shared" si="137"/>
        <v>0</v>
      </c>
    </row>
    <row r="566" spans="38:52" x14ac:dyDescent="0.35">
      <c r="AL566" s="16" t="s">
        <v>324</v>
      </c>
      <c r="AM566">
        <f t="shared" si="124"/>
        <v>7</v>
      </c>
      <c r="AN566">
        <f t="shared" si="125"/>
        <v>7</v>
      </c>
      <c r="AO566">
        <f t="shared" si="126"/>
        <v>7</v>
      </c>
      <c r="AP566">
        <f t="shared" si="127"/>
        <v>0</v>
      </c>
      <c r="AQ566">
        <f t="shared" si="128"/>
        <v>0</v>
      </c>
      <c r="AR566">
        <f t="shared" si="129"/>
        <v>0</v>
      </c>
      <c r="AS566">
        <f t="shared" si="130"/>
        <v>0</v>
      </c>
      <c r="AT566">
        <f t="shared" si="131"/>
        <v>0</v>
      </c>
      <c r="AU566">
        <f t="shared" si="132"/>
        <v>0</v>
      </c>
      <c r="AV566">
        <f t="shared" si="133"/>
        <v>0</v>
      </c>
      <c r="AW566">
        <f t="shared" si="134"/>
        <v>0</v>
      </c>
      <c r="AX566">
        <f t="shared" si="135"/>
        <v>0</v>
      </c>
      <c r="AY566">
        <f t="shared" si="136"/>
        <v>0</v>
      </c>
      <c r="AZ566">
        <f t="shared" si="137"/>
        <v>0</v>
      </c>
    </row>
    <row r="567" spans="38:52" x14ac:dyDescent="0.35">
      <c r="AL567" s="16" t="s">
        <v>325</v>
      </c>
      <c r="AM567">
        <f t="shared" si="124"/>
        <v>6</v>
      </c>
      <c r="AN567">
        <f t="shared" si="125"/>
        <v>5</v>
      </c>
      <c r="AO567">
        <f t="shared" si="126"/>
        <v>3</v>
      </c>
      <c r="AP567">
        <f t="shared" si="127"/>
        <v>5</v>
      </c>
      <c r="AQ567">
        <f t="shared" si="128"/>
        <v>3</v>
      </c>
      <c r="AR567">
        <f t="shared" si="129"/>
        <v>6</v>
      </c>
      <c r="AS567">
        <f t="shared" si="130"/>
        <v>6</v>
      </c>
      <c r="AT567">
        <f t="shared" si="131"/>
        <v>4</v>
      </c>
      <c r="AU567">
        <f t="shared" si="132"/>
        <v>0</v>
      </c>
      <c r="AV567">
        <f t="shared" si="133"/>
        <v>0</v>
      </c>
      <c r="AW567">
        <f t="shared" si="134"/>
        <v>0</v>
      </c>
      <c r="AX567">
        <f t="shared" si="135"/>
        <v>0</v>
      </c>
      <c r="AY567">
        <f t="shared" si="136"/>
        <v>0</v>
      </c>
      <c r="AZ567">
        <f t="shared" si="137"/>
        <v>0</v>
      </c>
    </row>
    <row r="568" spans="38:52" x14ac:dyDescent="0.35">
      <c r="AL568" s="16"/>
    </row>
    <row r="569" spans="38:52" x14ac:dyDescent="0.35">
      <c r="AL569" s="16"/>
    </row>
  </sheetData>
  <mergeCells count="1">
    <mergeCell ref="I1:AD1"/>
  </mergeCells>
  <phoneticPr fontId="20" type="noConversion"/>
  <pageMargins left="0.7" right="0.7" top="0.75" bottom="0.75" header="0.3" footer="0.3"/>
  <pageSetup paperSize="9" orientation="portrait" r:id="rId4"/>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B1:BJ44"/>
  <sheetViews>
    <sheetView zoomScale="70" zoomScaleNormal="70" workbookViewId="0">
      <selection activeCell="B3" sqref="B3"/>
    </sheetView>
  </sheetViews>
  <sheetFormatPr defaultRowHeight="14.5" x14ac:dyDescent="0.35"/>
  <cols>
    <col min="1" max="1" width="3.54296875" customWidth="1"/>
    <col min="2" max="2" width="24.453125" bestFit="1" customWidth="1"/>
    <col min="3" max="3" width="15.81640625" bestFit="1" customWidth="1"/>
    <col min="4" max="4" width="7.1796875" bestFit="1" customWidth="1"/>
    <col min="5" max="5" width="8.54296875" bestFit="1" customWidth="1"/>
    <col min="6" max="6" width="22" bestFit="1" customWidth="1"/>
    <col min="7" max="7" width="10.54296875" bestFit="1" customWidth="1"/>
    <col min="8" max="8" width="9.7265625" bestFit="1" customWidth="1"/>
    <col min="9" max="9" width="10.54296875" bestFit="1" customWidth="1"/>
    <col min="10" max="10" width="10.7265625" bestFit="1" customWidth="1"/>
    <col min="11" max="11" width="20.26953125" bestFit="1" customWidth="1"/>
    <col min="12" max="12" width="9.7265625" bestFit="1" customWidth="1"/>
    <col min="13" max="13" width="19.1796875" bestFit="1" customWidth="1"/>
    <col min="14" max="14" width="15.1796875" bestFit="1" customWidth="1"/>
    <col min="15" max="15" width="10.54296875" bestFit="1" customWidth="1"/>
    <col min="16" max="16" width="20" bestFit="1" customWidth="1"/>
    <col min="17" max="17" width="10.7265625" bestFit="1" customWidth="1"/>
    <col min="22" max="22" width="25.54296875" bestFit="1" customWidth="1"/>
    <col min="23" max="23" width="15.81640625" bestFit="1" customWidth="1"/>
    <col min="24" max="24" width="7.1796875" bestFit="1" customWidth="1"/>
    <col min="25" max="25" width="8.54296875" bestFit="1" customWidth="1"/>
    <col min="26" max="26" width="22" bestFit="1" customWidth="1"/>
    <col min="27" max="27" width="10.54296875" bestFit="1" customWidth="1"/>
    <col min="28" max="28" width="9.7265625" bestFit="1" customWidth="1"/>
    <col min="29" max="29" width="10.54296875" bestFit="1" customWidth="1"/>
    <col min="30" max="30" width="10.7265625" bestFit="1" customWidth="1"/>
    <col min="31" max="31" width="20.26953125" bestFit="1" customWidth="1"/>
    <col min="32" max="32" width="9.7265625" bestFit="1" customWidth="1"/>
    <col min="33" max="33" width="19.1796875" bestFit="1" customWidth="1"/>
    <col min="34" max="34" width="15.1796875" bestFit="1" customWidth="1"/>
    <col min="35" max="35" width="10.54296875" bestFit="1" customWidth="1"/>
    <col min="36" max="36" width="20" bestFit="1" customWidth="1"/>
    <col min="37" max="37" width="10.7265625" bestFit="1" customWidth="1"/>
    <col min="43" max="43" width="27" bestFit="1" customWidth="1"/>
    <col min="44" max="44" width="15.81640625" bestFit="1" customWidth="1"/>
    <col min="45" max="45" width="7.1796875" bestFit="1" customWidth="1"/>
    <col min="46" max="46" width="8.54296875" bestFit="1" customWidth="1"/>
    <col min="47" max="47" width="22" bestFit="1" customWidth="1"/>
    <col min="48" max="48" width="10.54296875" bestFit="1" customWidth="1"/>
    <col min="49" max="49" width="9.7265625" bestFit="1" customWidth="1"/>
    <col min="50" max="50" width="10.54296875" bestFit="1" customWidth="1"/>
    <col min="51" max="51" width="10.7265625" bestFit="1" customWidth="1"/>
    <col min="52" max="52" width="9.7265625" bestFit="1" customWidth="1"/>
    <col min="53" max="53" width="19.1796875" bestFit="1" customWidth="1"/>
    <col min="54" max="54" width="10.54296875" bestFit="1" customWidth="1"/>
    <col min="55" max="55" width="20" bestFit="1" customWidth="1"/>
    <col min="56" max="56" width="11.81640625" bestFit="1" customWidth="1"/>
  </cols>
  <sheetData>
    <row r="1" spans="2:62" x14ac:dyDescent="0.35">
      <c r="B1" s="172" t="s">
        <v>328</v>
      </c>
      <c r="C1" s="172"/>
      <c r="D1" s="172"/>
      <c r="E1" s="172"/>
      <c r="F1" s="172"/>
      <c r="G1" s="172"/>
      <c r="H1" s="172"/>
      <c r="I1" s="172"/>
      <c r="J1" s="172"/>
      <c r="K1" s="172"/>
      <c r="L1" s="172"/>
      <c r="M1" s="172"/>
      <c r="N1" s="172"/>
      <c r="O1" s="172"/>
      <c r="P1" s="172"/>
      <c r="Q1" s="172"/>
      <c r="V1" s="170" t="s">
        <v>329</v>
      </c>
      <c r="W1" s="170"/>
      <c r="X1" s="170"/>
      <c r="Y1" s="170"/>
      <c r="Z1" s="170"/>
      <c r="AA1" s="170"/>
      <c r="AB1" s="170"/>
      <c r="AC1" s="170"/>
      <c r="AD1" s="170"/>
      <c r="AE1" s="170"/>
      <c r="AF1" s="170"/>
      <c r="AG1" s="170"/>
      <c r="AH1" s="170"/>
      <c r="AI1" s="170"/>
      <c r="AJ1" s="170"/>
      <c r="AK1" s="170"/>
      <c r="AQ1" s="170" t="s">
        <v>330</v>
      </c>
      <c r="AR1" s="170"/>
      <c r="AS1" s="170"/>
      <c r="AT1" s="170"/>
      <c r="AU1" s="170"/>
      <c r="AV1" s="170"/>
      <c r="AW1" s="170"/>
      <c r="AX1" s="170"/>
      <c r="AY1" s="170"/>
      <c r="AZ1" s="170"/>
      <c r="BA1" s="170"/>
      <c r="BB1" s="170"/>
      <c r="BC1" s="170"/>
      <c r="BD1" s="170"/>
      <c r="BE1" s="170"/>
      <c r="BF1" s="170"/>
      <c r="BG1" s="170"/>
    </row>
    <row r="3" spans="2:62" x14ac:dyDescent="0.35">
      <c r="B3" s="15" t="s">
        <v>129</v>
      </c>
      <c r="C3" t="s" vm="1">
        <v>130</v>
      </c>
      <c r="V3" s="15" t="s">
        <v>129</v>
      </c>
      <c r="W3" t="s" vm="1">
        <v>130</v>
      </c>
    </row>
    <row r="4" spans="2:62" x14ac:dyDescent="0.35">
      <c r="M4" t="s">
        <v>132</v>
      </c>
      <c r="N4" t="s">
        <v>21</v>
      </c>
      <c r="O4" t="s">
        <v>22</v>
      </c>
      <c r="P4" t="s">
        <v>25</v>
      </c>
      <c r="Q4" t="s">
        <v>27</v>
      </c>
      <c r="R4" t="s">
        <v>28</v>
      </c>
      <c r="S4" t="s">
        <v>133</v>
      </c>
      <c r="T4" t="s">
        <v>37</v>
      </c>
      <c r="AG4" t="s">
        <v>132</v>
      </c>
      <c r="AH4" t="s">
        <v>21</v>
      </c>
      <c r="AI4" t="s">
        <v>22</v>
      </c>
      <c r="AJ4" t="s">
        <v>25</v>
      </c>
      <c r="AK4" t="s">
        <v>27</v>
      </c>
      <c r="AL4" t="s">
        <v>28</v>
      </c>
      <c r="AM4" t="s">
        <v>133</v>
      </c>
      <c r="AN4" t="s">
        <v>37</v>
      </c>
      <c r="AQ4" s="15" t="s">
        <v>129</v>
      </c>
      <c r="AR4" t="s" vm="1">
        <v>130</v>
      </c>
      <c r="BC4" t="s">
        <v>132</v>
      </c>
      <c r="BD4" t="s">
        <v>21</v>
      </c>
      <c r="BE4" t="s">
        <v>22</v>
      </c>
      <c r="BF4" t="s">
        <v>25</v>
      </c>
      <c r="BG4" t="s">
        <v>27</v>
      </c>
      <c r="BH4" t="s">
        <v>28</v>
      </c>
      <c r="BI4" t="s">
        <v>133</v>
      </c>
      <c r="BJ4" t="s">
        <v>37</v>
      </c>
    </row>
    <row r="5" spans="2:62" x14ac:dyDescent="0.35">
      <c r="B5" s="15" t="s">
        <v>331</v>
      </c>
      <c r="C5" s="15" t="s">
        <v>136</v>
      </c>
      <c r="L5" s="8" t="s">
        <v>1</v>
      </c>
      <c r="M5">
        <f>VLOOKUP($L5,$B$7:$J$1048576,9,FALSE)/7</f>
        <v>47551.571428571428</v>
      </c>
      <c r="N5">
        <f>VLOOKUP($L5,$B$7:$J$1048576,3,FALSE)/7</f>
        <v>7506.4285714285716</v>
      </c>
      <c r="O5">
        <f>VLOOKUP($L5,$B$7:$J$1048576,4,FALSE)/7</f>
        <v>8374.7142857142862</v>
      </c>
      <c r="P5">
        <f>VLOOKUP($L5,$B$7:$J$1048576,5,FALSE)/7</f>
        <v>8338</v>
      </c>
      <c r="Q5">
        <f>VLOOKUP($L5,$B$7:$J$1048576,7,FALSE)/7</f>
        <v>6825</v>
      </c>
      <c r="R5">
        <f>VLOOKUP($L5,$B$7:$J$1048576,8,FALSE)/7</f>
        <v>4391.5714285714284</v>
      </c>
      <c r="S5">
        <f>VLOOKUP($L5,$B$7:$J$1048576,2,FALSE)/7</f>
        <v>5075.1428571428569</v>
      </c>
      <c r="T5">
        <f>VLOOKUP($L5,$B$7:$J$1048576,6,FALSE)/7</f>
        <v>7040.7142857142853</v>
      </c>
      <c r="V5" s="15" t="s">
        <v>332</v>
      </c>
      <c r="W5" s="15" t="s">
        <v>136</v>
      </c>
      <c r="AF5" s="8" t="s">
        <v>1</v>
      </c>
      <c r="AG5">
        <f>VLOOKUP($AF5,$V$7:$AD$1048576,9,FALSE)/7</f>
        <v>17744.714285714286</v>
      </c>
      <c r="AH5">
        <f>VLOOKUP($AF5,$V$7:$AD$1048576,3,FALSE)/7</f>
        <v>3213.8571428571427</v>
      </c>
      <c r="AI5">
        <f>VLOOKUP($AF5,$V$7:$AD$1048576,4,FALSE)/7</f>
        <v>2771.5714285714284</v>
      </c>
      <c r="AJ5">
        <f>VLOOKUP($AF5,$V$7:$AD$1048576,5,FALSE)/7</f>
        <v>3133.5714285714284</v>
      </c>
      <c r="AK5">
        <f>VLOOKUP($AF5,$V$7:$AD$1048576,7,FALSE)/7</f>
        <v>2630</v>
      </c>
      <c r="AL5">
        <f>VLOOKUP($AF5,$V$7:$AD$1048576,8,FALSE)/7</f>
        <v>1542.1428571428571</v>
      </c>
      <c r="AM5">
        <f>VLOOKUP($AF5,$V$7:$AD$1048576,2,FALSE)/7</f>
        <v>1507</v>
      </c>
      <c r="AN5">
        <f>VLOOKUP($AF5,$V$7:$AD$1048576,6,FALSE)/7</f>
        <v>2946.5714285714284</v>
      </c>
      <c r="BB5" s="8" t="s">
        <v>1</v>
      </c>
      <c r="BC5">
        <f>VLOOKUP(BB5, $AQ$8:$AY$1048576, 9, 0)/7</f>
        <v>27286.428571428572</v>
      </c>
      <c r="BD5">
        <f>VLOOKUP(BB5, $AQ$8:$AY$1048576, 3, 0)/7</f>
        <v>4668.1428571428569</v>
      </c>
      <c r="BE5">
        <f>VLOOKUP(BB5, $AQ$8:$AY$1048576, 4, 0)/7</f>
        <v>4559.1428571428569</v>
      </c>
      <c r="BF5">
        <f>VLOOKUP(BB5, $AQ$8:$AY$1048576, 5, 0)/7</f>
        <v>4761.4285714285716</v>
      </c>
      <c r="BG5">
        <f>VLOOKUP(BB5, $AQ$8:$AY$1048576, 7, 0)/7</f>
        <v>4065</v>
      </c>
      <c r="BH5">
        <f>VLOOKUP(BB5, $AQ$8:$AY$1048576, 8, 0)/7</f>
        <v>2406.2857142857142</v>
      </c>
      <c r="BI5">
        <f>VLOOKUP(BB5, $AQ$8:$AY$1048576, 2, 0)/7</f>
        <v>2527.2857142857142</v>
      </c>
      <c r="BJ5">
        <f>VLOOKUP(BB5, $AQ$8:$AY$1048576, 6, 0)/7</f>
        <v>4299.1428571428569</v>
      </c>
    </row>
    <row r="6" spans="2:62" x14ac:dyDescent="0.35">
      <c r="B6" s="15" t="s">
        <v>134</v>
      </c>
      <c r="C6" t="s">
        <v>137</v>
      </c>
      <c r="D6" t="s">
        <v>21</v>
      </c>
      <c r="E6" t="s">
        <v>22</v>
      </c>
      <c r="F6" t="s">
        <v>138</v>
      </c>
      <c r="G6" t="s">
        <v>26</v>
      </c>
      <c r="H6" t="s">
        <v>27</v>
      </c>
      <c r="I6" t="s">
        <v>28</v>
      </c>
      <c r="J6" t="s">
        <v>139</v>
      </c>
      <c r="L6" s="17" t="s">
        <v>2</v>
      </c>
      <c r="M6">
        <f t="shared" ref="M6:M18" si="0">VLOOKUP($L6,$B$7:$J$1048576,9,FALSE)/7</f>
        <v>48160</v>
      </c>
      <c r="N6">
        <f t="shared" ref="N6:N18" si="1">VLOOKUP($L6,$B$7:$J$1048576,3,FALSE)/7</f>
        <v>7601.7142857142853</v>
      </c>
      <c r="O6">
        <f t="shared" ref="O6:O18" si="2">VLOOKUP($L6,$B$7:$J$1048576,4,FALSE)/7</f>
        <v>8613.8571428571431</v>
      </c>
      <c r="P6">
        <f t="shared" ref="P6:P18" si="3">VLOOKUP($L6,$B$7:$J$1048576,5,FALSE)/7</f>
        <v>8486.7142857142862</v>
      </c>
      <c r="Q6">
        <f t="shared" ref="Q6:Q18" si="4">VLOOKUP($L6,$B$7:$J$1048576,7,FALSE)/7</f>
        <v>6902</v>
      </c>
      <c r="R6">
        <f t="shared" ref="R6:R18" si="5">VLOOKUP($L6,$B$7:$J$1048576,8,FALSE)/7</f>
        <v>4478.2857142857147</v>
      </c>
      <c r="S6">
        <f t="shared" ref="S6:S18" si="6">VLOOKUP($L6,$B$7:$J$1048576,2,FALSE)/7</f>
        <v>4962.8571428571431</v>
      </c>
      <c r="T6">
        <f t="shared" ref="T6:T18" si="7">VLOOKUP($L6,$B$7:$J$1048576,6,FALSE)/7</f>
        <v>7114.5714285714284</v>
      </c>
      <c r="V6" s="15" t="s">
        <v>134</v>
      </c>
      <c r="W6" t="s">
        <v>137</v>
      </c>
      <c r="X6" t="s">
        <v>21</v>
      </c>
      <c r="Y6" t="s">
        <v>22</v>
      </c>
      <c r="Z6" t="s">
        <v>138</v>
      </c>
      <c r="AA6" t="s">
        <v>26</v>
      </c>
      <c r="AB6" t="s">
        <v>27</v>
      </c>
      <c r="AC6" t="s">
        <v>28</v>
      </c>
      <c r="AD6" t="s">
        <v>139</v>
      </c>
      <c r="AF6" s="17" t="s">
        <v>2</v>
      </c>
      <c r="AG6">
        <f t="shared" ref="AG6:AG18" si="8">VLOOKUP($AF6,$V$7:$AD$1048576,9,FALSE)/7</f>
        <v>17741.857142857141</v>
      </c>
      <c r="AH6">
        <f t="shared" ref="AH6:AH18" si="9">VLOOKUP($AF6,$V$7:$AD$1048576,3,FALSE)/7</f>
        <v>3270</v>
      </c>
      <c r="AI6">
        <f t="shared" ref="AI6:AI18" si="10">VLOOKUP($AF6,$V$7:$AD$1048576,4,FALSE)/7</f>
        <v>2783.2857142857142</v>
      </c>
      <c r="AJ6">
        <f t="shared" ref="AJ6:AJ18" si="11">VLOOKUP($AF6,$V$7:$AD$1048576,5,FALSE)/7</f>
        <v>3094.1428571428573</v>
      </c>
      <c r="AK6">
        <f t="shared" ref="AK6:AK18" si="12">VLOOKUP($AF6,$V$7:$AD$1048576,7,FALSE)/7</f>
        <v>2626.4285714285716</v>
      </c>
      <c r="AL6">
        <f t="shared" ref="AL6:AL18" si="13">VLOOKUP($AF6,$V$7:$AD$1048576,8,FALSE)/7</f>
        <v>1483</v>
      </c>
      <c r="AM6">
        <f t="shared" ref="AM6:AM18" si="14">VLOOKUP($AF6,$V$7:$AD$1048576,2,FALSE)/7</f>
        <v>1547.2857142857142</v>
      </c>
      <c r="AN6">
        <f t="shared" ref="AN6:AN18" si="15">VLOOKUP($AF6,$V$7:$AD$1048576,6,FALSE)/7</f>
        <v>2937.7142857142858</v>
      </c>
      <c r="AQ6" s="15" t="s">
        <v>333</v>
      </c>
      <c r="AR6" s="15" t="s">
        <v>136</v>
      </c>
      <c r="BB6" s="55" t="s">
        <v>2</v>
      </c>
      <c r="BC6">
        <f t="shared" ref="BC6:BC18" si="16">VLOOKUP(BB6, $AQ$8:$AY$1048576, 9, 0)/7</f>
        <v>27682.571428571428</v>
      </c>
      <c r="BD6">
        <f t="shared" ref="BD6:BD18" si="17">VLOOKUP(BB6, $AQ$8:$AY$1048576, 3, 0)/7</f>
        <v>4736.8571428571431</v>
      </c>
      <c r="BE6">
        <f t="shared" ref="BE6:BE18" si="18">VLOOKUP(BB6, $AQ$8:$AY$1048576, 4, 0)/7</f>
        <v>4581.5714285714284</v>
      </c>
      <c r="BF6">
        <f t="shared" ref="BF6:BF18" si="19">VLOOKUP(BB6, $AQ$8:$AY$1048576, 5, 0)/7</f>
        <v>4841.8571428571431</v>
      </c>
      <c r="BG6">
        <f t="shared" ref="BG6:BG18" si="20">VLOOKUP(BB6, $AQ$8:$AY$1048576, 7, 0)/7</f>
        <v>4063.7142857142858</v>
      </c>
      <c r="BH6">
        <f t="shared" ref="BH6:BH18" si="21">VLOOKUP(BB6, $AQ$8:$AY$1048576, 8, 0)/7</f>
        <v>2444.5714285714284</v>
      </c>
      <c r="BI6">
        <f t="shared" ref="BI6:BI18" si="22">VLOOKUP(BB6, $AQ$8:$AY$1048576, 2, 0)/7</f>
        <v>2665.5714285714284</v>
      </c>
      <c r="BJ6">
        <f t="shared" ref="BJ6:BJ18" si="23">VLOOKUP(BB6, $AQ$8:$AY$1048576, 6, 0)/7</f>
        <v>4348.4285714285716</v>
      </c>
    </row>
    <row r="7" spans="2:62" x14ac:dyDescent="0.35">
      <c r="B7" s="16" t="s">
        <v>1</v>
      </c>
      <c r="C7">
        <v>35526</v>
      </c>
      <c r="D7">
        <v>52545</v>
      </c>
      <c r="E7">
        <v>58623</v>
      </c>
      <c r="F7">
        <v>58366</v>
      </c>
      <c r="G7">
        <v>49285</v>
      </c>
      <c r="H7">
        <v>47775</v>
      </c>
      <c r="I7">
        <v>30741</v>
      </c>
      <c r="J7">
        <v>332861</v>
      </c>
      <c r="L7" s="17" t="s">
        <v>3</v>
      </c>
      <c r="M7">
        <f t="shared" si="0"/>
        <v>48048.857142857145</v>
      </c>
      <c r="N7">
        <f t="shared" si="1"/>
        <v>7559</v>
      </c>
      <c r="O7">
        <f t="shared" si="2"/>
        <v>8554.5714285714294</v>
      </c>
      <c r="P7">
        <f t="shared" si="3"/>
        <v>8370.4285714285706</v>
      </c>
      <c r="Q7">
        <f t="shared" si="4"/>
        <v>6825</v>
      </c>
      <c r="R7">
        <f t="shared" si="5"/>
        <v>4481.8571428571431</v>
      </c>
      <c r="S7">
        <f t="shared" si="6"/>
        <v>4973.5714285714284</v>
      </c>
      <c r="T7">
        <f t="shared" si="7"/>
        <v>7284.4285714285716</v>
      </c>
      <c r="V7" s="16" t="s">
        <v>1</v>
      </c>
      <c r="W7">
        <v>10549</v>
      </c>
      <c r="X7">
        <v>22497</v>
      </c>
      <c r="Y7">
        <v>19401</v>
      </c>
      <c r="Z7">
        <v>21935</v>
      </c>
      <c r="AA7">
        <v>20626</v>
      </c>
      <c r="AB7">
        <v>18410</v>
      </c>
      <c r="AC7">
        <v>10795</v>
      </c>
      <c r="AD7">
        <v>124213</v>
      </c>
      <c r="AF7" s="17" t="s">
        <v>3</v>
      </c>
      <c r="AG7">
        <f t="shared" si="8"/>
        <v>17950.142857142859</v>
      </c>
      <c r="AH7">
        <f t="shared" si="9"/>
        <v>3295.1428571428573</v>
      </c>
      <c r="AI7">
        <f t="shared" si="10"/>
        <v>2804</v>
      </c>
      <c r="AJ7">
        <f t="shared" si="11"/>
        <v>3017.5714285714284</v>
      </c>
      <c r="AK7">
        <f t="shared" si="12"/>
        <v>2579.1428571428573</v>
      </c>
      <c r="AL7">
        <f t="shared" si="13"/>
        <v>1522.1428571428571</v>
      </c>
      <c r="AM7">
        <f t="shared" si="14"/>
        <v>1657.4285714285713</v>
      </c>
      <c r="AN7">
        <f t="shared" si="15"/>
        <v>3074.7142857142858</v>
      </c>
      <c r="AQ7" s="15" t="s">
        <v>134</v>
      </c>
      <c r="AR7" t="s">
        <v>137</v>
      </c>
      <c r="AS7" t="s">
        <v>21</v>
      </c>
      <c r="AT7" t="s">
        <v>22</v>
      </c>
      <c r="AU7" t="s">
        <v>138</v>
      </c>
      <c r="AV7" t="s">
        <v>26</v>
      </c>
      <c r="AW7" t="s">
        <v>27</v>
      </c>
      <c r="AX7" t="s">
        <v>28</v>
      </c>
      <c r="AY7" t="s">
        <v>139</v>
      </c>
      <c r="BB7" s="56" t="s">
        <v>3</v>
      </c>
      <c r="BC7">
        <f t="shared" si="16"/>
        <v>28187.857142857141</v>
      </c>
      <c r="BD7">
        <f t="shared" si="17"/>
        <v>4777.1428571428569</v>
      </c>
      <c r="BE7">
        <f t="shared" si="18"/>
        <v>4726.7142857142853</v>
      </c>
      <c r="BF7">
        <f t="shared" si="19"/>
        <v>4822.2857142857147</v>
      </c>
      <c r="BG7">
        <f t="shared" si="20"/>
        <v>4025.2857142857142</v>
      </c>
      <c r="BH7">
        <f t="shared" si="21"/>
        <v>2503.7142857142858</v>
      </c>
      <c r="BI7">
        <f t="shared" si="22"/>
        <v>2791</v>
      </c>
      <c r="BJ7">
        <f t="shared" si="23"/>
        <v>4541.7142857142853</v>
      </c>
    </row>
    <row r="8" spans="2:62" x14ac:dyDescent="0.35">
      <c r="B8" s="16" t="s">
        <v>2</v>
      </c>
      <c r="C8">
        <v>34740</v>
      </c>
      <c r="D8">
        <v>53212</v>
      </c>
      <c r="E8">
        <v>60297</v>
      </c>
      <c r="F8">
        <v>59407</v>
      </c>
      <c r="G8">
        <v>49802</v>
      </c>
      <c r="H8">
        <v>48314</v>
      </c>
      <c r="I8">
        <v>31348</v>
      </c>
      <c r="J8">
        <v>337120</v>
      </c>
      <c r="L8" s="17" t="s">
        <v>4</v>
      </c>
      <c r="M8">
        <f t="shared" si="0"/>
        <v>46742.857142857145</v>
      </c>
      <c r="N8">
        <f t="shared" si="1"/>
        <v>7326.8571428571431</v>
      </c>
      <c r="O8">
        <f>VLOOKUP($L8,$B$7:$J$1048576,4,FALSE)/7</f>
        <v>8261.8571428571431</v>
      </c>
      <c r="P8">
        <f t="shared" si="3"/>
        <v>8176.2857142857147</v>
      </c>
      <c r="Q8">
        <f t="shared" si="4"/>
        <v>6598.4285714285716</v>
      </c>
      <c r="R8">
        <f t="shared" si="5"/>
        <v>4387.4285714285716</v>
      </c>
      <c r="S8">
        <f t="shared" si="6"/>
        <v>4839.7142857142853</v>
      </c>
      <c r="T8">
        <f t="shared" si="7"/>
        <v>7152.2857142857147</v>
      </c>
      <c r="V8" s="16" t="s">
        <v>2</v>
      </c>
      <c r="W8">
        <v>10831</v>
      </c>
      <c r="X8">
        <v>22890</v>
      </c>
      <c r="Y8">
        <v>19483</v>
      </c>
      <c r="Z8">
        <v>21659</v>
      </c>
      <c r="AA8">
        <v>20564</v>
      </c>
      <c r="AB8">
        <v>18385</v>
      </c>
      <c r="AC8">
        <v>10381</v>
      </c>
      <c r="AD8">
        <v>124193</v>
      </c>
      <c r="AF8" s="17" t="s">
        <v>4</v>
      </c>
      <c r="AG8">
        <f t="shared" si="8"/>
        <v>17770.142857142859</v>
      </c>
      <c r="AH8">
        <f t="shared" si="9"/>
        <v>3210.8571428571427</v>
      </c>
      <c r="AI8">
        <f t="shared" si="10"/>
        <v>2800.8571428571427</v>
      </c>
      <c r="AJ8">
        <f t="shared" si="11"/>
        <v>3030.2857142857142</v>
      </c>
      <c r="AK8">
        <f t="shared" si="12"/>
        <v>2531.8571428571427</v>
      </c>
      <c r="AL8">
        <f t="shared" si="13"/>
        <v>1514.8571428571429</v>
      </c>
      <c r="AM8">
        <f t="shared" si="14"/>
        <v>1642.8571428571429</v>
      </c>
      <c r="AN8">
        <f t="shared" si="15"/>
        <v>3038.5714285714284</v>
      </c>
      <c r="AQ8" s="16" t="s">
        <v>1</v>
      </c>
      <c r="AR8">
        <v>17691</v>
      </c>
      <c r="AS8">
        <v>32677</v>
      </c>
      <c r="AT8">
        <v>31914</v>
      </c>
      <c r="AU8">
        <v>33330</v>
      </c>
      <c r="AV8">
        <v>30094</v>
      </c>
      <c r="AW8">
        <v>28455</v>
      </c>
      <c r="AX8">
        <v>16844</v>
      </c>
      <c r="AY8">
        <v>191005</v>
      </c>
      <c r="BB8" s="56" t="s">
        <v>4</v>
      </c>
      <c r="BC8">
        <f t="shared" si="16"/>
        <v>27341.428571428572</v>
      </c>
      <c r="BD8">
        <f t="shared" si="17"/>
        <v>4570.4285714285716</v>
      </c>
      <c r="BE8">
        <f t="shared" si="18"/>
        <v>4533.4285714285716</v>
      </c>
      <c r="BF8">
        <f t="shared" si="19"/>
        <v>4758</v>
      </c>
      <c r="BG8">
        <f t="shared" si="20"/>
        <v>3941.5714285714284</v>
      </c>
      <c r="BH8">
        <f t="shared" si="21"/>
        <v>2454</v>
      </c>
      <c r="BI8">
        <f t="shared" si="22"/>
        <v>2675.8571428571427</v>
      </c>
      <c r="BJ8">
        <f t="shared" si="23"/>
        <v>4408.1428571428569</v>
      </c>
    </row>
    <row r="9" spans="2:62" x14ac:dyDescent="0.35">
      <c r="B9" s="16" t="s">
        <v>3</v>
      </c>
      <c r="C9">
        <v>34815</v>
      </c>
      <c r="D9">
        <v>52913</v>
      </c>
      <c r="E9">
        <v>59882</v>
      </c>
      <c r="F9">
        <v>58593</v>
      </c>
      <c r="G9">
        <v>50991</v>
      </c>
      <c r="H9">
        <v>47775</v>
      </c>
      <c r="I9">
        <v>31373</v>
      </c>
      <c r="J9">
        <v>336342</v>
      </c>
      <c r="L9" s="17" t="s">
        <v>5</v>
      </c>
      <c r="M9">
        <f t="shared" si="0"/>
        <v>45269.571428571428</v>
      </c>
      <c r="N9">
        <f t="shared" si="1"/>
        <v>6990</v>
      </c>
      <c r="O9">
        <f t="shared" si="2"/>
        <v>8180.1428571428569</v>
      </c>
      <c r="P9">
        <f t="shared" si="3"/>
        <v>7835</v>
      </c>
      <c r="Q9">
        <f t="shared" si="4"/>
        <v>6377.4285714285716</v>
      </c>
      <c r="R9">
        <f>VLOOKUP($L9,$B$7:$J$1048576,8,FALSE)/7</f>
        <v>4268.2857142857147</v>
      </c>
      <c r="S9">
        <f t="shared" si="6"/>
        <v>4726.1428571428569</v>
      </c>
      <c r="T9">
        <f t="shared" si="7"/>
        <v>6892.5714285714284</v>
      </c>
      <c r="V9" s="16" t="s">
        <v>3</v>
      </c>
      <c r="W9">
        <v>11602</v>
      </c>
      <c r="X9">
        <v>23066</v>
      </c>
      <c r="Y9">
        <v>19628</v>
      </c>
      <c r="Z9">
        <v>21123</v>
      </c>
      <c r="AA9">
        <v>21523</v>
      </c>
      <c r="AB9">
        <v>18054</v>
      </c>
      <c r="AC9">
        <v>10655</v>
      </c>
      <c r="AD9">
        <v>125651</v>
      </c>
      <c r="AF9" s="17" t="s">
        <v>5</v>
      </c>
      <c r="AG9">
        <f t="shared" si="8"/>
        <v>16899.714285714286</v>
      </c>
      <c r="AH9">
        <f t="shared" si="9"/>
        <v>2990.8571428571427</v>
      </c>
      <c r="AI9">
        <f t="shared" si="10"/>
        <v>2681</v>
      </c>
      <c r="AJ9">
        <f t="shared" si="11"/>
        <v>2905.8571428571427</v>
      </c>
      <c r="AK9">
        <f t="shared" si="12"/>
        <v>2401.8571428571427</v>
      </c>
      <c r="AL9">
        <f t="shared" si="13"/>
        <v>1471.4285714285713</v>
      </c>
      <c r="AM9">
        <f t="shared" si="14"/>
        <v>1549.8571428571429</v>
      </c>
      <c r="AN9">
        <f t="shared" si="15"/>
        <v>2898.8571428571427</v>
      </c>
      <c r="AQ9" s="16" t="s">
        <v>2</v>
      </c>
      <c r="AR9">
        <v>18659</v>
      </c>
      <c r="AS9">
        <v>33158</v>
      </c>
      <c r="AT9">
        <v>32071</v>
      </c>
      <c r="AU9">
        <v>33893</v>
      </c>
      <c r="AV9">
        <v>30439</v>
      </c>
      <c r="AW9">
        <v>28446</v>
      </c>
      <c r="AX9">
        <v>17112</v>
      </c>
      <c r="AY9">
        <v>193778</v>
      </c>
      <c r="BB9" s="56" t="s">
        <v>5</v>
      </c>
      <c r="BC9">
        <f t="shared" si="16"/>
        <v>26182.142857142859</v>
      </c>
      <c r="BD9">
        <f t="shared" si="17"/>
        <v>4292.5714285714284</v>
      </c>
      <c r="BE9">
        <f t="shared" si="18"/>
        <v>4410.5714285714284</v>
      </c>
      <c r="BF9">
        <f t="shared" si="19"/>
        <v>4522.7142857142853</v>
      </c>
      <c r="BG9">
        <f t="shared" si="20"/>
        <v>3735.2857142857142</v>
      </c>
      <c r="BH9">
        <f t="shared" si="21"/>
        <v>2349.5714285714284</v>
      </c>
      <c r="BI9">
        <f t="shared" si="22"/>
        <v>2603.7142857142858</v>
      </c>
      <c r="BJ9">
        <f t="shared" si="23"/>
        <v>4267.7142857142853</v>
      </c>
    </row>
    <row r="10" spans="2:62" x14ac:dyDescent="0.35">
      <c r="B10" s="16" t="s">
        <v>4</v>
      </c>
      <c r="C10">
        <v>33878</v>
      </c>
      <c r="D10">
        <v>51288</v>
      </c>
      <c r="E10">
        <v>57833</v>
      </c>
      <c r="F10">
        <v>57234</v>
      </c>
      <c r="G10">
        <v>50066</v>
      </c>
      <c r="H10">
        <v>46189</v>
      </c>
      <c r="I10">
        <v>30712</v>
      </c>
      <c r="J10">
        <v>327200</v>
      </c>
      <c r="L10" s="17" t="s">
        <v>6</v>
      </c>
      <c r="M10">
        <f t="shared" si="0"/>
        <v>49667</v>
      </c>
      <c r="N10">
        <f t="shared" si="1"/>
        <v>7498</v>
      </c>
      <c r="O10">
        <f t="shared" si="2"/>
        <v>8871.1428571428569</v>
      </c>
      <c r="P10">
        <f t="shared" si="3"/>
        <v>8621.8571428571431</v>
      </c>
      <c r="Q10">
        <f t="shared" si="4"/>
        <v>7130.1428571428569</v>
      </c>
      <c r="R10">
        <f t="shared" si="5"/>
        <v>4706.2857142857147</v>
      </c>
      <c r="S10">
        <f t="shared" si="6"/>
        <v>5249.1428571428569</v>
      </c>
      <c r="T10">
        <f t="shared" si="7"/>
        <v>7590.4285714285716</v>
      </c>
      <c r="V10" s="16" t="s">
        <v>4</v>
      </c>
      <c r="W10">
        <v>11500</v>
      </c>
      <c r="X10">
        <v>22476</v>
      </c>
      <c r="Y10">
        <v>19606</v>
      </c>
      <c r="Z10">
        <v>21212</v>
      </c>
      <c r="AA10">
        <v>21270</v>
      </c>
      <c r="AB10">
        <v>17723</v>
      </c>
      <c r="AC10">
        <v>10604</v>
      </c>
      <c r="AD10">
        <v>124391</v>
      </c>
      <c r="AF10" s="17" t="s">
        <v>6</v>
      </c>
      <c r="AG10">
        <f t="shared" si="8"/>
        <v>18597.428571428572</v>
      </c>
      <c r="AH10">
        <f t="shared" si="9"/>
        <v>3259</v>
      </c>
      <c r="AI10">
        <f t="shared" si="10"/>
        <v>2891.7142857142858</v>
      </c>
      <c r="AJ10">
        <f t="shared" si="11"/>
        <v>3171.2857142857142</v>
      </c>
      <c r="AK10">
        <f t="shared" si="12"/>
        <v>2658.8571428571427</v>
      </c>
      <c r="AL10">
        <f t="shared" si="13"/>
        <v>1597.7142857142858</v>
      </c>
      <c r="AM10">
        <f t="shared" si="14"/>
        <v>1775</v>
      </c>
      <c r="AN10">
        <f t="shared" si="15"/>
        <v>3243.8571428571427</v>
      </c>
      <c r="AQ10" s="16" t="s">
        <v>3</v>
      </c>
      <c r="AR10">
        <v>19537</v>
      </c>
      <c r="AS10">
        <v>33440</v>
      </c>
      <c r="AT10">
        <v>33087</v>
      </c>
      <c r="AU10">
        <v>33756</v>
      </c>
      <c r="AV10">
        <v>31792</v>
      </c>
      <c r="AW10">
        <v>28177</v>
      </c>
      <c r="AX10">
        <v>17526</v>
      </c>
      <c r="AY10">
        <v>197315</v>
      </c>
      <c r="BB10" s="56" t="s">
        <v>6</v>
      </c>
      <c r="BC10">
        <f t="shared" si="16"/>
        <v>29210.571428571428</v>
      </c>
      <c r="BD10">
        <f t="shared" si="17"/>
        <v>4786.2857142857147</v>
      </c>
      <c r="BE10">
        <f t="shared" si="18"/>
        <v>4851.7142857142853</v>
      </c>
      <c r="BF10">
        <f t="shared" si="19"/>
        <v>4977.8571428571431</v>
      </c>
      <c r="BG10">
        <f t="shared" si="20"/>
        <v>4192.7142857142853</v>
      </c>
      <c r="BH10">
        <f t="shared" si="21"/>
        <v>2668.5714285714284</v>
      </c>
      <c r="BI10">
        <f t="shared" si="22"/>
        <v>2935</v>
      </c>
      <c r="BJ10">
        <f t="shared" si="23"/>
        <v>4798.4285714285716</v>
      </c>
    </row>
    <row r="11" spans="2:62" x14ac:dyDescent="0.35">
      <c r="B11" s="16" t="s">
        <v>5</v>
      </c>
      <c r="C11">
        <v>33083</v>
      </c>
      <c r="D11">
        <v>48930</v>
      </c>
      <c r="E11">
        <v>57261</v>
      </c>
      <c r="F11">
        <v>54845</v>
      </c>
      <c r="G11">
        <v>48248</v>
      </c>
      <c r="H11">
        <v>44642</v>
      </c>
      <c r="I11">
        <v>29878</v>
      </c>
      <c r="J11">
        <v>316887</v>
      </c>
      <c r="L11" s="17" t="s">
        <v>7</v>
      </c>
      <c r="M11">
        <f t="shared" si="0"/>
        <v>50329.142857142855</v>
      </c>
      <c r="N11">
        <f t="shared" si="1"/>
        <v>7597.1428571428569</v>
      </c>
      <c r="O11">
        <f t="shared" si="2"/>
        <v>8897.4285714285706</v>
      </c>
      <c r="P11">
        <f t="shared" si="3"/>
        <v>8990.2857142857138</v>
      </c>
      <c r="Q11">
        <f t="shared" si="4"/>
        <v>7196.7142857142853</v>
      </c>
      <c r="R11">
        <f t="shared" si="5"/>
        <v>4757.1428571428569</v>
      </c>
      <c r="S11">
        <f t="shared" si="6"/>
        <v>5235</v>
      </c>
      <c r="T11">
        <f t="shared" si="7"/>
        <v>7655.4285714285716</v>
      </c>
      <c r="V11" s="16" t="s">
        <v>5</v>
      </c>
      <c r="W11">
        <v>10849</v>
      </c>
      <c r="X11">
        <v>20936</v>
      </c>
      <c r="Y11">
        <v>18767</v>
      </c>
      <c r="Z11">
        <v>20341</v>
      </c>
      <c r="AA11">
        <v>20292</v>
      </c>
      <c r="AB11">
        <v>16813</v>
      </c>
      <c r="AC11">
        <v>10300</v>
      </c>
      <c r="AD11">
        <v>118298</v>
      </c>
      <c r="AF11" s="17" t="s">
        <v>7</v>
      </c>
      <c r="AG11">
        <f t="shared" si="8"/>
        <v>19563.857142857141</v>
      </c>
      <c r="AH11">
        <f t="shared" si="9"/>
        <v>3451.2857142857142</v>
      </c>
      <c r="AI11">
        <f t="shared" si="10"/>
        <v>3020.7142857142858</v>
      </c>
      <c r="AJ11">
        <f t="shared" si="11"/>
        <v>3339.5714285714284</v>
      </c>
      <c r="AK11">
        <f t="shared" si="12"/>
        <v>2770.5714285714284</v>
      </c>
      <c r="AL11">
        <f t="shared" si="13"/>
        <v>1718.7142857142858</v>
      </c>
      <c r="AM11">
        <f t="shared" si="14"/>
        <v>1880.7142857142858</v>
      </c>
      <c r="AN11">
        <f t="shared" si="15"/>
        <v>3382.2857142857142</v>
      </c>
      <c r="AQ11" s="16" t="s">
        <v>4</v>
      </c>
      <c r="AR11">
        <v>18731</v>
      </c>
      <c r="AS11">
        <v>31993</v>
      </c>
      <c r="AT11">
        <v>31734</v>
      </c>
      <c r="AU11">
        <v>33306</v>
      </c>
      <c r="AV11">
        <v>30857</v>
      </c>
      <c r="AW11">
        <v>27591</v>
      </c>
      <c r="AX11">
        <v>17178</v>
      </c>
      <c r="AY11">
        <v>191390</v>
      </c>
      <c r="BB11" s="56" t="s">
        <v>7</v>
      </c>
      <c r="BC11">
        <f t="shared" si="16"/>
        <v>30198</v>
      </c>
      <c r="BD11">
        <f t="shared" si="17"/>
        <v>4857.7142857142853</v>
      </c>
      <c r="BE11">
        <f t="shared" si="18"/>
        <v>5021</v>
      </c>
      <c r="BF11">
        <f t="shared" si="19"/>
        <v>5262</v>
      </c>
      <c r="BG11">
        <f t="shared" si="20"/>
        <v>4318.7142857142853</v>
      </c>
      <c r="BH11">
        <f t="shared" si="21"/>
        <v>2778.4285714285716</v>
      </c>
      <c r="BI11">
        <f t="shared" si="22"/>
        <v>3042.1428571428573</v>
      </c>
      <c r="BJ11">
        <f t="shared" si="23"/>
        <v>4918</v>
      </c>
    </row>
    <row r="12" spans="2:62" x14ac:dyDescent="0.35">
      <c r="B12" s="16" t="s">
        <v>6</v>
      </c>
      <c r="C12">
        <v>36744</v>
      </c>
      <c r="D12">
        <v>52486</v>
      </c>
      <c r="E12">
        <v>62098</v>
      </c>
      <c r="F12">
        <v>60353</v>
      </c>
      <c r="G12">
        <v>53133</v>
      </c>
      <c r="H12">
        <v>49911</v>
      </c>
      <c r="I12">
        <v>32944</v>
      </c>
      <c r="J12">
        <v>347669</v>
      </c>
      <c r="L12" s="17" t="s">
        <v>8</v>
      </c>
      <c r="M12">
        <f t="shared" si="0"/>
        <v>50166.428571428572</v>
      </c>
      <c r="N12">
        <f t="shared" si="1"/>
        <v>7725.2857142857147</v>
      </c>
      <c r="O12">
        <f t="shared" si="2"/>
        <v>9020.2857142857138</v>
      </c>
      <c r="P12">
        <f t="shared" si="3"/>
        <v>8869.7142857142862</v>
      </c>
      <c r="Q12">
        <f t="shared" si="4"/>
        <v>7124.8571428571431</v>
      </c>
      <c r="R12">
        <f t="shared" si="5"/>
        <v>4684</v>
      </c>
      <c r="S12">
        <f t="shared" si="6"/>
        <v>5161</v>
      </c>
      <c r="T12">
        <f t="shared" si="7"/>
        <v>7581.2857142857147</v>
      </c>
      <c r="V12" s="16" t="s">
        <v>6</v>
      </c>
      <c r="W12">
        <v>12425</v>
      </c>
      <c r="X12">
        <v>22813</v>
      </c>
      <c r="Y12">
        <v>20242</v>
      </c>
      <c r="Z12">
        <v>22199</v>
      </c>
      <c r="AA12">
        <v>22707</v>
      </c>
      <c r="AB12">
        <v>18612</v>
      </c>
      <c r="AC12">
        <v>11184</v>
      </c>
      <c r="AD12">
        <v>130182</v>
      </c>
      <c r="AF12" s="17" t="s">
        <v>8</v>
      </c>
      <c r="AG12">
        <f t="shared" si="8"/>
        <v>19585.142857142859</v>
      </c>
      <c r="AH12">
        <f t="shared" si="9"/>
        <v>3417.1428571428573</v>
      </c>
      <c r="AI12">
        <f t="shared" si="10"/>
        <v>3140.2857142857142</v>
      </c>
      <c r="AJ12">
        <f t="shared" si="11"/>
        <v>3357.8571428571427</v>
      </c>
      <c r="AK12">
        <f t="shared" si="12"/>
        <v>2775.5714285714284</v>
      </c>
      <c r="AL12">
        <f t="shared" si="13"/>
        <v>1732.7142857142858</v>
      </c>
      <c r="AM12">
        <f t="shared" si="14"/>
        <v>1856.2857142857142</v>
      </c>
      <c r="AN12">
        <f t="shared" si="15"/>
        <v>3305.2857142857142</v>
      </c>
      <c r="AQ12" s="16" t="s">
        <v>5</v>
      </c>
      <c r="AR12">
        <v>18226</v>
      </c>
      <c r="AS12">
        <v>30048</v>
      </c>
      <c r="AT12">
        <v>30874</v>
      </c>
      <c r="AU12">
        <v>31659</v>
      </c>
      <c r="AV12">
        <v>29874</v>
      </c>
      <c r="AW12">
        <v>26147</v>
      </c>
      <c r="AX12">
        <v>16447</v>
      </c>
      <c r="AY12">
        <v>183275</v>
      </c>
      <c r="BB12" s="56" t="s">
        <v>8</v>
      </c>
      <c r="BC12">
        <f t="shared" si="16"/>
        <v>29728.285714285714</v>
      </c>
      <c r="BD12">
        <f t="shared" si="17"/>
        <v>4813.7142857142853</v>
      </c>
      <c r="BE12">
        <f t="shared" si="18"/>
        <v>5042.2857142857147</v>
      </c>
      <c r="BF12">
        <f t="shared" si="19"/>
        <v>5231.1428571428569</v>
      </c>
      <c r="BG12">
        <f t="shared" si="20"/>
        <v>4265.1428571428569</v>
      </c>
      <c r="BH12">
        <f t="shared" si="21"/>
        <v>2706.4285714285716</v>
      </c>
      <c r="BI12">
        <f t="shared" si="22"/>
        <v>2921.5714285714284</v>
      </c>
      <c r="BJ12">
        <f t="shared" si="23"/>
        <v>4748</v>
      </c>
    </row>
    <row r="13" spans="2:62" x14ac:dyDescent="0.35">
      <c r="B13" s="16" t="s">
        <v>7</v>
      </c>
      <c r="C13">
        <v>36645</v>
      </c>
      <c r="D13">
        <v>53180</v>
      </c>
      <c r="E13">
        <v>62282</v>
      </c>
      <c r="F13">
        <v>62932</v>
      </c>
      <c r="G13">
        <v>53588</v>
      </c>
      <c r="H13">
        <v>50377</v>
      </c>
      <c r="I13">
        <v>33300</v>
      </c>
      <c r="J13">
        <v>352304</v>
      </c>
      <c r="L13" s="17" t="s">
        <v>9</v>
      </c>
      <c r="M13" t="e">
        <f t="shared" si="0"/>
        <v>#N/A</v>
      </c>
      <c r="N13" t="e">
        <f t="shared" si="1"/>
        <v>#N/A</v>
      </c>
      <c r="O13" t="e">
        <f t="shared" si="2"/>
        <v>#N/A</v>
      </c>
      <c r="P13" t="e">
        <f t="shared" si="3"/>
        <v>#N/A</v>
      </c>
      <c r="Q13" t="e">
        <f t="shared" si="4"/>
        <v>#N/A</v>
      </c>
      <c r="R13" t="e">
        <f t="shared" si="5"/>
        <v>#N/A</v>
      </c>
      <c r="S13" t="e">
        <f t="shared" si="6"/>
        <v>#N/A</v>
      </c>
      <c r="T13" t="e">
        <f t="shared" si="7"/>
        <v>#N/A</v>
      </c>
      <c r="V13" s="16" t="s">
        <v>7</v>
      </c>
      <c r="W13">
        <v>13165</v>
      </c>
      <c r="X13">
        <v>24159</v>
      </c>
      <c r="Y13">
        <v>21145</v>
      </c>
      <c r="Z13">
        <v>23377</v>
      </c>
      <c r="AA13">
        <v>23676</v>
      </c>
      <c r="AB13">
        <v>19394</v>
      </c>
      <c r="AC13">
        <v>12031</v>
      </c>
      <c r="AD13">
        <v>136947</v>
      </c>
      <c r="AF13" s="17" t="s">
        <v>9</v>
      </c>
      <c r="AG13" t="e">
        <f t="shared" si="8"/>
        <v>#N/A</v>
      </c>
      <c r="AH13" t="e">
        <f t="shared" si="9"/>
        <v>#N/A</v>
      </c>
      <c r="AI13" t="e">
        <f t="shared" si="10"/>
        <v>#N/A</v>
      </c>
      <c r="AJ13" t="e">
        <f t="shared" si="11"/>
        <v>#N/A</v>
      </c>
      <c r="AK13" t="e">
        <f t="shared" si="12"/>
        <v>#N/A</v>
      </c>
      <c r="AL13" t="e">
        <f t="shared" si="13"/>
        <v>#N/A</v>
      </c>
      <c r="AM13" t="e">
        <f t="shared" si="14"/>
        <v>#N/A</v>
      </c>
      <c r="AN13" t="e">
        <f t="shared" si="15"/>
        <v>#N/A</v>
      </c>
      <c r="AQ13" s="16" t="s">
        <v>6</v>
      </c>
      <c r="AR13">
        <v>20545</v>
      </c>
      <c r="AS13">
        <v>33504</v>
      </c>
      <c r="AT13">
        <v>33962</v>
      </c>
      <c r="AU13">
        <v>34845</v>
      </c>
      <c r="AV13">
        <v>33589</v>
      </c>
      <c r="AW13">
        <v>29349</v>
      </c>
      <c r="AX13">
        <v>18680</v>
      </c>
      <c r="AY13">
        <v>204474</v>
      </c>
      <c r="BB13" s="56" t="s">
        <v>9</v>
      </c>
      <c r="BC13" t="e">
        <f t="shared" si="16"/>
        <v>#N/A</v>
      </c>
      <c r="BD13" t="e">
        <f t="shared" si="17"/>
        <v>#N/A</v>
      </c>
      <c r="BE13" t="e">
        <f t="shared" si="18"/>
        <v>#N/A</v>
      </c>
      <c r="BF13" t="e">
        <f t="shared" si="19"/>
        <v>#N/A</v>
      </c>
      <c r="BG13" t="e">
        <f t="shared" si="20"/>
        <v>#N/A</v>
      </c>
      <c r="BH13" t="e">
        <f t="shared" si="21"/>
        <v>#N/A</v>
      </c>
      <c r="BI13" t="e">
        <f t="shared" si="22"/>
        <v>#N/A</v>
      </c>
      <c r="BJ13" t="e">
        <f t="shared" si="23"/>
        <v>#N/A</v>
      </c>
    </row>
    <row r="14" spans="2:62" x14ac:dyDescent="0.35">
      <c r="B14" s="16" t="s">
        <v>8</v>
      </c>
      <c r="C14">
        <v>36127</v>
      </c>
      <c r="D14">
        <v>54077</v>
      </c>
      <c r="E14">
        <v>63142</v>
      </c>
      <c r="F14">
        <v>62088</v>
      </c>
      <c r="G14">
        <v>53069</v>
      </c>
      <c r="H14">
        <v>49874</v>
      </c>
      <c r="I14">
        <v>32788</v>
      </c>
      <c r="J14">
        <v>351165</v>
      </c>
      <c r="L14" s="17" t="s">
        <v>10</v>
      </c>
      <c r="M14" t="e">
        <f t="shared" si="0"/>
        <v>#N/A</v>
      </c>
      <c r="N14" t="e">
        <f t="shared" si="1"/>
        <v>#N/A</v>
      </c>
      <c r="O14" t="e">
        <f t="shared" si="2"/>
        <v>#N/A</v>
      </c>
      <c r="P14" t="e">
        <f t="shared" si="3"/>
        <v>#N/A</v>
      </c>
      <c r="Q14" t="e">
        <f t="shared" si="4"/>
        <v>#N/A</v>
      </c>
      <c r="R14" t="e">
        <f t="shared" si="5"/>
        <v>#N/A</v>
      </c>
      <c r="S14" t="e">
        <f t="shared" si="6"/>
        <v>#N/A</v>
      </c>
      <c r="T14" t="e">
        <f t="shared" si="7"/>
        <v>#N/A</v>
      </c>
      <c r="V14" s="16" t="s">
        <v>8</v>
      </c>
      <c r="W14">
        <v>12994</v>
      </c>
      <c r="X14">
        <v>23920</v>
      </c>
      <c r="Y14">
        <v>21982</v>
      </c>
      <c r="Z14">
        <v>23505</v>
      </c>
      <c r="AA14">
        <v>23137</v>
      </c>
      <c r="AB14">
        <v>19429</v>
      </c>
      <c r="AC14">
        <v>12129</v>
      </c>
      <c r="AD14">
        <v>137096</v>
      </c>
      <c r="AF14" s="17" t="s">
        <v>10</v>
      </c>
      <c r="AG14" t="e">
        <f t="shared" si="8"/>
        <v>#N/A</v>
      </c>
      <c r="AH14" t="e">
        <f t="shared" si="9"/>
        <v>#N/A</v>
      </c>
      <c r="AI14" t="e">
        <f t="shared" si="10"/>
        <v>#N/A</v>
      </c>
      <c r="AJ14" t="e">
        <f t="shared" si="11"/>
        <v>#N/A</v>
      </c>
      <c r="AK14" t="e">
        <f t="shared" si="12"/>
        <v>#N/A</v>
      </c>
      <c r="AL14" t="e">
        <f t="shared" si="13"/>
        <v>#N/A</v>
      </c>
      <c r="AM14" t="e">
        <f t="shared" si="14"/>
        <v>#N/A</v>
      </c>
      <c r="AN14" t="e">
        <f t="shared" si="15"/>
        <v>#N/A</v>
      </c>
      <c r="AQ14" s="16" t="s">
        <v>7</v>
      </c>
      <c r="AR14">
        <v>21295</v>
      </c>
      <c r="AS14">
        <v>34004</v>
      </c>
      <c r="AT14">
        <v>35147</v>
      </c>
      <c r="AU14">
        <v>36834</v>
      </c>
      <c r="AV14">
        <v>34426</v>
      </c>
      <c r="AW14">
        <v>30231</v>
      </c>
      <c r="AX14">
        <v>19449</v>
      </c>
      <c r="AY14">
        <v>211386</v>
      </c>
      <c r="BB14" s="56" t="s">
        <v>10</v>
      </c>
      <c r="BC14" t="e">
        <f t="shared" si="16"/>
        <v>#N/A</v>
      </c>
      <c r="BD14" t="e">
        <f t="shared" si="17"/>
        <v>#N/A</v>
      </c>
      <c r="BE14" t="e">
        <f t="shared" si="18"/>
        <v>#N/A</v>
      </c>
      <c r="BF14" t="e">
        <f t="shared" si="19"/>
        <v>#N/A</v>
      </c>
      <c r="BG14" t="e">
        <f t="shared" si="20"/>
        <v>#N/A</v>
      </c>
      <c r="BH14" t="e">
        <f t="shared" si="21"/>
        <v>#N/A</v>
      </c>
      <c r="BI14" t="e">
        <f t="shared" si="22"/>
        <v>#N/A</v>
      </c>
      <c r="BJ14" t="e">
        <f t="shared" si="23"/>
        <v>#N/A</v>
      </c>
    </row>
    <row r="15" spans="2:62" x14ac:dyDescent="0.35">
      <c r="B15" s="16" t="s">
        <v>139</v>
      </c>
      <c r="C15">
        <v>281558</v>
      </c>
      <c r="D15">
        <v>418631</v>
      </c>
      <c r="E15">
        <v>481418</v>
      </c>
      <c r="F15">
        <v>473818</v>
      </c>
      <c r="G15">
        <v>408182</v>
      </c>
      <c r="H15">
        <v>384857</v>
      </c>
      <c r="I15">
        <v>253084</v>
      </c>
      <c r="J15">
        <v>2701548</v>
      </c>
      <c r="L15" s="17" t="s">
        <v>11</v>
      </c>
      <c r="M15" t="e">
        <f t="shared" si="0"/>
        <v>#N/A</v>
      </c>
      <c r="N15" t="e">
        <f t="shared" si="1"/>
        <v>#N/A</v>
      </c>
      <c r="O15" t="e">
        <f t="shared" si="2"/>
        <v>#N/A</v>
      </c>
      <c r="P15" t="e">
        <f t="shared" si="3"/>
        <v>#N/A</v>
      </c>
      <c r="Q15" t="e">
        <f t="shared" si="4"/>
        <v>#N/A</v>
      </c>
      <c r="R15" t="e">
        <f t="shared" si="5"/>
        <v>#N/A</v>
      </c>
      <c r="S15" t="e">
        <f t="shared" si="6"/>
        <v>#N/A</v>
      </c>
      <c r="T15" t="e">
        <f t="shared" si="7"/>
        <v>#N/A</v>
      </c>
      <c r="V15" s="16" t="s">
        <v>139</v>
      </c>
      <c r="W15">
        <v>93915</v>
      </c>
      <c r="X15">
        <v>182757</v>
      </c>
      <c r="Y15">
        <v>160254</v>
      </c>
      <c r="Z15">
        <v>175351</v>
      </c>
      <c r="AA15">
        <v>173795</v>
      </c>
      <c r="AB15">
        <v>146820</v>
      </c>
      <c r="AC15">
        <v>88079</v>
      </c>
      <c r="AD15">
        <v>1020971</v>
      </c>
      <c r="AF15" s="17" t="s">
        <v>11</v>
      </c>
      <c r="AG15" t="e">
        <f t="shared" si="8"/>
        <v>#N/A</v>
      </c>
      <c r="AH15" t="e">
        <f t="shared" si="9"/>
        <v>#N/A</v>
      </c>
      <c r="AI15" t="e">
        <f t="shared" si="10"/>
        <v>#N/A</v>
      </c>
      <c r="AJ15" t="e">
        <f t="shared" si="11"/>
        <v>#N/A</v>
      </c>
      <c r="AK15" t="e">
        <f t="shared" si="12"/>
        <v>#N/A</v>
      </c>
      <c r="AL15" t="e">
        <f t="shared" si="13"/>
        <v>#N/A</v>
      </c>
      <c r="AM15" t="e">
        <f t="shared" si="14"/>
        <v>#N/A</v>
      </c>
      <c r="AN15" t="e">
        <f t="shared" si="15"/>
        <v>#N/A</v>
      </c>
      <c r="AQ15" s="16" t="s">
        <v>8</v>
      </c>
      <c r="AR15">
        <v>20451</v>
      </c>
      <c r="AS15">
        <v>33696</v>
      </c>
      <c r="AT15">
        <v>35296</v>
      </c>
      <c r="AU15">
        <v>36618</v>
      </c>
      <c r="AV15">
        <v>33236</v>
      </c>
      <c r="AW15">
        <v>29856</v>
      </c>
      <c r="AX15">
        <v>18945</v>
      </c>
      <c r="AY15">
        <v>208098</v>
      </c>
      <c r="BB15" s="56" t="s">
        <v>11</v>
      </c>
      <c r="BC15" t="e">
        <f t="shared" si="16"/>
        <v>#N/A</v>
      </c>
      <c r="BD15" t="e">
        <f t="shared" si="17"/>
        <v>#N/A</v>
      </c>
      <c r="BE15" t="e">
        <f t="shared" si="18"/>
        <v>#N/A</v>
      </c>
      <c r="BF15" t="e">
        <f t="shared" si="19"/>
        <v>#N/A</v>
      </c>
      <c r="BG15" t="e">
        <f t="shared" si="20"/>
        <v>#N/A</v>
      </c>
      <c r="BH15" t="e">
        <f t="shared" si="21"/>
        <v>#N/A</v>
      </c>
      <c r="BI15" t="e">
        <f t="shared" si="22"/>
        <v>#N/A</v>
      </c>
      <c r="BJ15" t="e">
        <f t="shared" si="23"/>
        <v>#N/A</v>
      </c>
    </row>
    <row r="16" spans="2:62" x14ac:dyDescent="0.35">
      <c r="L16" s="17" t="s">
        <v>12</v>
      </c>
      <c r="M16" t="e">
        <f>VLOOKUP($L16,$B$7:$J$1048576,9,FALSE)/7</f>
        <v>#N/A</v>
      </c>
      <c r="N16" t="e">
        <f t="shared" si="1"/>
        <v>#N/A</v>
      </c>
      <c r="O16" t="e">
        <f t="shared" si="2"/>
        <v>#N/A</v>
      </c>
      <c r="P16" t="e">
        <f t="shared" si="3"/>
        <v>#N/A</v>
      </c>
      <c r="Q16" t="e">
        <f t="shared" si="4"/>
        <v>#N/A</v>
      </c>
      <c r="R16" t="e">
        <f t="shared" si="5"/>
        <v>#N/A</v>
      </c>
      <c r="S16" t="e">
        <f t="shared" si="6"/>
        <v>#N/A</v>
      </c>
      <c r="T16" t="e">
        <f t="shared" si="7"/>
        <v>#N/A</v>
      </c>
      <c r="AF16" s="17" t="s">
        <v>12</v>
      </c>
      <c r="AG16" t="e">
        <f t="shared" si="8"/>
        <v>#N/A</v>
      </c>
      <c r="AH16" t="e">
        <f t="shared" si="9"/>
        <v>#N/A</v>
      </c>
      <c r="AI16" t="e">
        <f t="shared" si="10"/>
        <v>#N/A</v>
      </c>
      <c r="AJ16" t="e">
        <f t="shared" si="11"/>
        <v>#N/A</v>
      </c>
      <c r="AK16" t="e">
        <f t="shared" si="12"/>
        <v>#N/A</v>
      </c>
      <c r="AL16" t="e">
        <f t="shared" si="13"/>
        <v>#N/A</v>
      </c>
      <c r="AM16" t="e">
        <f t="shared" si="14"/>
        <v>#N/A</v>
      </c>
      <c r="AN16" t="e">
        <f t="shared" si="15"/>
        <v>#N/A</v>
      </c>
      <c r="AQ16" s="16" t="s">
        <v>139</v>
      </c>
      <c r="AR16">
        <v>155135</v>
      </c>
      <c r="AS16">
        <v>262520</v>
      </c>
      <c r="AT16">
        <v>264085</v>
      </c>
      <c r="AU16">
        <v>274241</v>
      </c>
      <c r="AV16">
        <v>254307</v>
      </c>
      <c r="AW16">
        <v>228252</v>
      </c>
      <c r="AX16">
        <v>142181</v>
      </c>
      <c r="AY16">
        <v>1580721</v>
      </c>
      <c r="BB16" s="56" t="s">
        <v>12</v>
      </c>
      <c r="BC16" t="e">
        <f t="shared" si="16"/>
        <v>#N/A</v>
      </c>
      <c r="BD16" t="e">
        <f t="shared" si="17"/>
        <v>#N/A</v>
      </c>
      <c r="BE16" t="e">
        <f t="shared" si="18"/>
        <v>#N/A</v>
      </c>
      <c r="BF16" t="e">
        <f t="shared" si="19"/>
        <v>#N/A</v>
      </c>
      <c r="BG16" t="e">
        <f t="shared" si="20"/>
        <v>#N/A</v>
      </c>
      <c r="BH16" t="e">
        <f t="shared" si="21"/>
        <v>#N/A</v>
      </c>
      <c r="BI16" t="e">
        <f t="shared" si="22"/>
        <v>#N/A</v>
      </c>
      <c r="BJ16" t="e">
        <f t="shared" si="23"/>
        <v>#N/A</v>
      </c>
    </row>
    <row r="17" spans="12:62" x14ac:dyDescent="0.35">
      <c r="L17" s="17" t="s">
        <v>13</v>
      </c>
      <c r="M17" t="e">
        <f t="shared" si="0"/>
        <v>#N/A</v>
      </c>
      <c r="N17" t="e">
        <f t="shared" si="1"/>
        <v>#N/A</v>
      </c>
      <c r="O17" t="e">
        <f t="shared" si="2"/>
        <v>#N/A</v>
      </c>
      <c r="P17" t="e">
        <f t="shared" si="3"/>
        <v>#N/A</v>
      </c>
      <c r="Q17" t="e">
        <f t="shared" si="4"/>
        <v>#N/A</v>
      </c>
      <c r="R17" t="e">
        <f t="shared" si="5"/>
        <v>#N/A</v>
      </c>
      <c r="S17" t="e">
        <f t="shared" si="6"/>
        <v>#N/A</v>
      </c>
      <c r="T17" t="e">
        <f t="shared" si="7"/>
        <v>#N/A</v>
      </c>
      <c r="AF17" s="17" t="s">
        <v>13</v>
      </c>
      <c r="AG17" t="e">
        <f t="shared" si="8"/>
        <v>#N/A</v>
      </c>
      <c r="AH17" t="e">
        <f t="shared" si="9"/>
        <v>#N/A</v>
      </c>
      <c r="AI17" t="e">
        <f t="shared" si="10"/>
        <v>#N/A</v>
      </c>
      <c r="AJ17" t="e">
        <f t="shared" si="11"/>
        <v>#N/A</v>
      </c>
      <c r="AK17" t="e">
        <f t="shared" si="12"/>
        <v>#N/A</v>
      </c>
      <c r="AL17" t="e">
        <f t="shared" si="13"/>
        <v>#N/A</v>
      </c>
      <c r="AM17" t="e">
        <f t="shared" si="14"/>
        <v>#N/A</v>
      </c>
      <c r="AN17" t="e">
        <f t="shared" si="15"/>
        <v>#N/A</v>
      </c>
      <c r="BB17" s="56" t="s">
        <v>13</v>
      </c>
      <c r="BC17" t="e">
        <f t="shared" si="16"/>
        <v>#N/A</v>
      </c>
      <c r="BD17" t="e">
        <f t="shared" si="17"/>
        <v>#N/A</v>
      </c>
      <c r="BE17" t="e">
        <f t="shared" si="18"/>
        <v>#N/A</v>
      </c>
      <c r="BF17" t="e">
        <f t="shared" si="19"/>
        <v>#N/A</v>
      </c>
      <c r="BG17" t="e">
        <f t="shared" si="20"/>
        <v>#N/A</v>
      </c>
      <c r="BH17" t="e">
        <f t="shared" si="21"/>
        <v>#N/A</v>
      </c>
      <c r="BI17" t="e">
        <f t="shared" si="22"/>
        <v>#N/A</v>
      </c>
      <c r="BJ17" t="e">
        <f t="shared" si="23"/>
        <v>#N/A</v>
      </c>
    </row>
    <row r="18" spans="12:62" x14ac:dyDescent="0.35">
      <c r="L18" s="17" t="s">
        <v>14</v>
      </c>
      <c r="M18" t="e">
        <f t="shared" si="0"/>
        <v>#N/A</v>
      </c>
      <c r="N18" t="e">
        <f t="shared" si="1"/>
        <v>#N/A</v>
      </c>
      <c r="O18" t="e">
        <f t="shared" si="2"/>
        <v>#N/A</v>
      </c>
      <c r="P18" t="e">
        <f t="shared" si="3"/>
        <v>#N/A</v>
      </c>
      <c r="Q18" t="e">
        <f t="shared" si="4"/>
        <v>#N/A</v>
      </c>
      <c r="R18" t="e">
        <f t="shared" si="5"/>
        <v>#N/A</v>
      </c>
      <c r="S18" t="e">
        <f t="shared" si="6"/>
        <v>#N/A</v>
      </c>
      <c r="T18" t="e">
        <f t="shared" si="7"/>
        <v>#N/A</v>
      </c>
      <c r="AF18" s="17" t="s">
        <v>14</v>
      </c>
      <c r="AG18" t="e">
        <f t="shared" si="8"/>
        <v>#N/A</v>
      </c>
      <c r="AH18" t="e">
        <f t="shared" si="9"/>
        <v>#N/A</v>
      </c>
      <c r="AI18" t="e">
        <f t="shared" si="10"/>
        <v>#N/A</v>
      </c>
      <c r="AJ18" t="e">
        <f t="shared" si="11"/>
        <v>#N/A</v>
      </c>
      <c r="AK18" t="e">
        <f t="shared" si="12"/>
        <v>#N/A</v>
      </c>
      <c r="AL18" t="e">
        <f t="shared" si="13"/>
        <v>#N/A</v>
      </c>
      <c r="AM18" t="e">
        <f t="shared" si="14"/>
        <v>#N/A</v>
      </c>
      <c r="AN18" t="e">
        <f t="shared" si="15"/>
        <v>#N/A</v>
      </c>
      <c r="BB18" s="56" t="s">
        <v>14</v>
      </c>
      <c r="BC18" t="e">
        <f t="shared" si="16"/>
        <v>#N/A</v>
      </c>
      <c r="BD18" t="e">
        <f t="shared" si="17"/>
        <v>#N/A</v>
      </c>
      <c r="BE18" t="e">
        <f t="shared" si="18"/>
        <v>#N/A</v>
      </c>
      <c r="BF18" t="e">
        <f t="shared" si="19"/>
        <v>#N/A</v>
      </c>
      <c r="BG18" t="e">
        <f t="shared" si="20"/>
        <v>#N/A</v>
      </c>
      <c r="BH18" t="e">
        <f t="shared" si="21"/>
        <v>#N/A</v>
      </c>
      <c r="BI18" t="e">
        <f t="shared" si="22"/>
        <v>#N/A</v>
      </c>
      <c r="BJ18" t="e">
        <f t="shared" si="23"/>
        <v>#N/A</v>
      </c>
    </row>
    <row r="30" spans="12:62" x14ac:dyDescent="0.35">
      <c r="AQ30" s="16"/>
    </row>
    <row r="31" spans="12:62" x14ac:dyDescent="0.35">
      <c r="AQ31" s="16"/>
    </row>
    <row r="32" spans="12:62" x14ac:dyDescent="0.35">
      <c r="AQ32" s="16"/>
    </row>
    <row r="33" spans="43:43" x14ac:dyDescent="0.35">
      <c r="AQ33" s="16"/>
    </row>
    <row r="34" spans="43:43" x14ac:dyDescent="0.35">
      <c r="AQ34" s="16"/>
    </row>
    <row r="35" spans="43:43" x14ac:dyDescent="0.35">
      <c r="AQ35" s="16"/>
    </row>
    <row r="36" spans="43:43" x14ac:dyDescent="0.35">
      <c r="AQ36" s="16"/>
    </row>
    <row r="37" spans="43:43" x14ac:dyDescent="0.35">
      <c r="AQ37" s="16"/>
    </row>
    <row r="38" spans="43:43" x14ac:dyDescent="0.35">
      <c r="AQ38" s="16"/>
    </row>
    <row r="39" spans="43:43" x14ac:dyDescent="0.35">
      <c r="AQ39" s="16"/>
    </row>
    <row r="40" spans="43:43" x14ac:dyDescent="0.35">
      <c r="AQ40" s="16"/>
    </row>
    <row r="41" spans="43:43" x14ac:dyDescent="0.35">
      <c r="AQ41" s="16"/>
    </row>
    <row r="42" spans="43:43" x14ac:dyDescent="0.35">
      <c r="AQ42" s="16"/>
    </row>
    <row r="43" spans="43:43" x14ac:dyDescent="0.35">
      <c r="AQ43" s="16"/>
    </row>
    <row r="44" spans="43:43" x14ac:dyDescent="0.35">
      <c r="AQ44" s="16"/>
    </row>
  </sheetData>
  <mergeCells count="3">
    <mergeCell ref="B1:Q1"/>
    <mergeCell ref="V1:AK1"/>
    <mergeCell ref="AQ1:BG1"/>
  </mergeCells>
  <phoneticPr fontId="20" type="noConversion"/>
  <pageMargins left="0.7" right="0.7" top="0.75" bottom="0.75" header="0.3" footer="0.3"/>
  <pageSetup paperSize="9" orientation="portrait" r:id="rId4"/>
  <drawing r:id="rId5"/>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B1:CU152"/>
  <sheetViews>
    <sheetView topLeftCell="BS1" zoomScale="55" zoomScaleNormal="55" workbookViewId="0">
      <selection activeCell="B3" sqref="B3"/>
    </sheetView>
  </sheetViews>
  <sheetFormatPr defaultRowHeight="14.5" x14ac:dyDescent="0.35"/>
  <cols>
    <col min="2" max="2" width="14.453125" bestFit="1" customWidth="1"/>
    <col min="3" max="3" width="25.7265625" bestFit="1" customWidth="1"/>
    <col min="7" max="7" width="25.7265625" bestFit="1" customWidth="1"/>
    <col min="8" max="8" width="16.81640625" bestFit="1" customWidth="1"/>
    <col min="9" max="9" width="7.1796875" bestFit="1" customWidth="1"/>
    <col min="10" max="10" width="8.54296875" bestFit="1" customWidth="1"/>
    <col min="11" max="11" width="22" bestFit="1" customWidth="1"/>
    <col min="12" max="12" width="10.54296875" bestFit="1" customWidth="1"/>
    <col min="13" max="13" width="9.7265625" bestFit="1" customWidth="1"/>
    <col min="14" max="14" width="10.54296875" bestFit="1" customWidth="1"/>
    <col min="15" max="15" width="10.7265625" bestFit="1" customWidth="1"/>
    <col min="16" max="16" width="10.54296875" bestFit="1" customWidth="1"/>
    <col min="17" max="17" width="20.26953125" bestFit="1" customWidth="1"/>
    <col min="18" max="18" width="9.7265625" bestFit="1" customWidth="1"/>
    <col min="19" max="19" width="19.1796875" bestFit="1" customWidth="1"/>
    <col min="20" max="20" width="15.1796875" bestFit="1" customWidth="1"/>
    <col min="21" max="21" width="10.54296875" bestFit="1" customWidth="1"/>
    <col min="22" max="22" width="21.54296875" bestFit="1" customWidth="1"/>
    <col min="23" max="23" width="10.7265625" bestFit="1" customWidth="1"/>
    <col min="29" max="29" width="80.1796875" bestFit="1" customWidth="1"/>
    <col min="30" max="30" width="16.81640625" bestFit="1" customWidth="1"/>
    <col min="31" max="38" width="7.453125" bestFit="1" customWidth="1"/>
    <col min="39" max="43" width="8.453125" bestFit="1" customWidth="1"/>
    <col min="44" max="44" width="7.453125" bestFit="1" customWidth="1"/>
    <col min="45" max="45" width="14.453125" bestFit="1" customWidth="1"/>
    <col min="46" max="46" width="25.7265625" bestFit="1" customWidth="1"/>
    <col min="51" max="51" width="14.453125" bestFit="1" customWidth="1"/>
    <col min="52" max="52" width="30.453125" bestFit="1" customWidth="1"/>
    <col min="56" max="56" width="30.453125" bestFit="1" customWidth="1"/>
    <col min="57" max="57" width="16.81640625" bestFit="1" customWidth="1"/>
    <col min="58" max="58" width="7.1796875" bestFit="1" customWidth="1"/>
    <col min="59" max="59" width="8.54296875" bestFit="1" customWidth="1"/>
    <col min="60" max="60" width="22" bestFit="1" customWidth="1"/>
    <col min="61" max="61" width="10.54296875" bestFit="1" customWidth="1"/>
    <col min="62" max="62" width="9.7265625" bestFit="1" customWidth="1"/>
    <col min="63" max="63" width="10.54296875" bestFit="1" customWidth="1"/>
    <col min="64" max="64" width="10.7265625" bestFit="1" customWidth="1"/>
    <col min="65" max="65" width="10.54296875" bestFit="1" customWidth="1"/>
    <col min="66" max="66" width="20.26953125" bestFit="1" customWidth="1"/>
    <col min="67" max="67" width="9.7265625" bestFit="1" customWidth="1"/>
    <col min="68" max="68" width="19.1796875" bestFit="1" customWidth="1"/>
    <col min="69" max="69" width="15.1796875" bestFit="1" customWidth="1"/>
    <col min="70" max="70" width="10.54296875" bestFit="1" customWidth="1"/>
    <col min="71" max="71" width="20" bestFit="1" customWidth="1"/>
    <col min="72" max="72" width="10.7265625" bestFit="1" customWidth="1"/>
    <col min="78" max="78" width="7.7265625" customWidth="1"/>
    <col min="79" max="79" width="80.1796875" bestFit="1" customWidth="1"/>
    <col min="80" max="80" width="16.81640625" bestFit="1" customWidth="1"/>
    <col min="81" max="88" width="7.453125" bestFit="1" customWidth="1"/>
    <col min="89" max="93" width="8.453125" bestFit="1" customWidth="1"/>
    <col min="94" max="94" width="7.7265625" customWidth="1"/>
    <col min="96" max="96" width="14.453125" bestFit="1" customWidth="1"/>
    <col min="97" max="97" width="30.453125" bestFit="1" customWidth="1"/>
  </cols>
  <sheetData>
    <row r="1" spans="2:99" s="14" customFormat="1" x14ac:dyDescent="0.35">
      <c r="B1" s="35" t="s">
        <v>334</v>
      </c>
      <c r="C1" s="34"/>
      <c r="D1" s="23"/>
      <c r="E1" s="23"/>
      <c r="F1" s="23"/>
      <c r="G1" s="170" t="s">
        <v>335</v>
      </c>
      <c r="H1" s="170"/>
      <c r="I1" s="170"/>
      <c r="J1" s="170"/>
      <c r="K1" s="170"/>
      <c r="L1" s="170"/>
      <c r="M1" s="170"/>
      <c r="N1" s="170"/>
      <c r="O1" s="170"/>
      <c r="P1" s="170"/>
      <c r="Q1" s="170"/>
      <c r="R1" s="170"/>
      <c r="S1" s="170"/>
      <c r="T1" s="170"/>
      <c r="U1" s="170"/>
      <c r="V1" s="170"/>
      <c r="W1" s="170"/>
      <c r="X1" s="170"/>
      <c r="Y1" s="170"/>
      <c r="Z1" s="23"/>
      <c r="AA1" s="23"/>
      <c r="AB1" s="23"/>
      <c r="AC1" s="169" t="s">
        <v>336</v>
      </c>
      <c r="AD1" s="169"/>
      <c r="AE1" s="169"/>
      <c r="AF1" s="169"/>
      <c r="AG1" s="169"/>
      <c r="AH1" s="169"/>
      <c r="AI1" s="169"/>
      <c r="AJ1" s="169"/>
      <c r="AK1" s="169"/>
      <c r="AL1" s="169"/>
      <c r="AM1" s="169"/>
      <c r="AN1" s="169"/>
      <c r="AO1" s="169"/>
      <c r="AP1" s="169"/>
      <c r="AQ1" s="169"/>
      <c r="AR1" s="23"/>
      <c r="AS1" s="169" t="s">
        <v>337</v>
      </c>
      <c r="AT1" s="169"/>
      <c r="AU1" s="169"/>
      <c r="AV1" s="169"/>
      <c r="AX1" s="23"/>
      <c r="AY1" s="35" t="s">
        <v>338</v>
      </c>
      <c r="AZ1" s="34"/>
      <c r="BA1" s="34"/>
      <c r="BB1" s="23"/>
      <c r="BC1" s="23"/>
      <c r="BD1" s="170" t="s">
        <v>339</v>
      </c>
      <c r="BE1" s="170"/>
      <c r="BF1" s="170"/>
      <c r="BG1" s="170"/>
      <c r="BH1" s="170"/>
      <c r="BI1" s="170"/>
      <c r="BJ1" s="170"/>
      <c r="BK1" s="170"/>
      <c r="BL1" s="170"/>
      <c r="BM1" s="170"/>
      <c r="BN1" s="170"/>
      <c r="BO1" s="170"/>
      <c r="BP1" s="170"/>
      <c r="BQ1" s="170"/>
      <c r="BR1" s="170"/>
      <c r="BS1" s="170"/>
      <c r="BT1" s="170"/>
      <c r="BU1" s="170"/>
      <c r="BV1" s="170"/>
      <c r="BW1" s="82"/>
      <c r="BX1" s="82"/>
      <c r="BY1" s="23"/>
      <c r="BZ1" s="23"/>
      <c r="CA1" s="169" t="s">
        <v>340</v>
      </c>
      <c r="CB1" s="169"/>
      <c r="CC1" s="169"/>
      <c r="CD1" s="169"/>
      <c r="CE1" s="169"/>
      <c r="CF1" s="169"/>
      <c r="CG1" s="169"/>
      <c r="CH1" s="169"/>
      <c r="CI1" s="169"/>
      <c r="CJ1" s="169"/>
      <c r="CK1" s="169"/>
      <c r="CL1" s="169"/>
      <c r="CM1" s="169"/>
      <c r="CN1" s="169"/>
      <c r="CO1" s="169"/>
      <c r="CP1" s="23"/>
      <c r="CR1" s="169" t="s">
        <v>341</v>
      </c>
      <c r="CS1" s="169"/>
      <c r="CT1" s="169"/>
      <c r="CU1" s="169"/>
    </row>
    <row r="3" spans="2:99" x14ac:dyDescent="0.35">
      <c r="B3" s="15" t="s">
        <v>129</v>
      </c>
      <c r="C3" t="s" vm="1">
        <v>130</v>
      </c>
      <c r="G3" s="15" t="s">
        <v>129</v>
      </c>
      <c r="H3" t="s" vm="1">
        <v>130</v>
      </c>
      <c r="S3" t="s">
        <v>132</v>
      </c>
      <c r="T3" t="s">
        <v>21</v>
      </c>
      <c r="U3" t="s">
        <v>22</v>
      </c>
      <c r="V3" t="s">
        <v>25</v>
      </c>
      <c r="W3" t="s">
        <v>27</v>
      </c>
      <c r="X3" t="s">
        <v>28</v>
      </c>
      <c r="Y3" t="s">
        <v>133</v>
      </c>
      <c r="Z3" t="s">
        <v>37</v>
      </c>
      <c r="AC3" s="15" t="s">
        <v>129</v>
      </c>
      <c r="AD3" t="s" vm="1">
        <v>130</v>
      </c>
      <c r="AS3" s="15" t="s">
        <v>129</v>
      </c>
      <c r="AT3" t="s" vm="1">
        <v>130</v>
      </c>
      <c r="AY3" s="15" t="s">
        <v>129</v>
      </c>
      <c r="AZ3" t="s" vm="1">
        <v>130</v>
      </c>
      <c r="BD3" s="15" t="s">
        <v>129</v>
      </c>
      <c r="BE3" t="s" vm="1">
        <v>130</v>
      </c>
      <c r="CA3" s="15" t="s">
        <v>129</v>
      </c>
      <c r="CB3" t="s" vm="1">
        <v>130</v>
      </c>
      <c r="CR3" s="15" t="s">
        <v>129</v>
      </c>
      <c r="CS3" t="s" vm="1">
        <v>130</v>
      </c>
    </row>
    <row r="4" spans="2:99" x14ac:dyDescent="0.35">
      <c r="R4" s="8" t="s">
        <v>1</v>
      </c>
      <c r="S4" s="21">
        <f t="shared" ref="S4:S17" si="0">VLOOKUP($R4,$G$7:$O$1048576,9,FALSE)/7</f>
        <v>908.42857142857144</v>
      </c>
      <c r="T4" s="21">
        <f t="shared" ref="T4:T17" si="1">VLOOKUP($R4,$G$7:$O$1048576,3,FALSE)/7</f>
        <v>38</v>
      </c>
      <c r="U4" s="21">
        <f t="shared" ref="U4:U17" si="2">VLOOKUP($R4,$G$7:$O$1048576,4,FALSE)/7</f>
        <v>253.28571428571428</v>
      </c>
      <c r="V4" s="21">
        <f t="shared" ref="V4:V17" si="3">VLOOKUP($R4,$G$7:$O$1048576,5,FALSE)/7</f>
        <v>194</v>
      </c>
      <c r="W4" s="21">
        <f t="shared" ref="W4:W17" si="4">VLOOKUP($R4,$G$7:$O$1048576,7,FALSE)/7</f>
        <v>183.57142857142858</v>
      </c>
      <c r="X4" s="21">
        <f t="shared" ref="X4:X17" si="5">VLOOKUP($R4,$G$7:$O$1048576,8,FALSE)/7</f>
        <v>41.571428571428569</v>
      </c>
      <c r="Y4" s="21">
        <f t="shared" ref="Y4:Y17" si="6">VLOOKUP($R4,$G$7:$O$1048576,2,FALSE)/7</f>
        <v>33</v>
      </c>
      <c r="Z4" s="21">
        <f t="shared" ref="Z4:Z17" si="7">VLOOKUP($R4,$G$7:$O$1048576,6,FALSE)/7</f>
        <v>165</v>
      </c>
    </row>
    <row r="5" spans="2:99" x14ac:dyDescent="0.35">
      <c r="B5" s="15" t="s">
        <v>134</v>
      </c>
      <c r="C5" t="s">
        <v>342</v>
      </c>
      <c r="G5" s="15" t="s">
        <v>342</v>
      </c>
      <c r="H5" s="15" t="s">
        <v>136</v>
      </c>
      <c r="R5" s="17" t="s">
        <v>2</v>
      </c>
      <c r="S5" s="21">
        <f t="shared" si="0"/>
        <v>1017.7142857142857</v>
      </c>
      <c r="T5" s="21">
        <f t="shared" si="1"/>
        <v>37.857142857142854</v>
      </c>
      <c r="U5" s="21">
        <f t="shared" si="2"/>
        <v>233.71428571428572</v>
      </c>
      <c r="V5" s="21">
        <f t="shared" si="3"/>
        <v>282.42857142857144</v>
      </c>
      <c r="W5" s="21">
        <f t="shared" si="4"/>
        <v>148.42857142857142</v>
      </c>
      <c r="X5" s="21">
        <f t="shared" si="5"/>
        <v>36.714285714285715</v>
      </c>
      <c r="Y5" s="21">
        <f t="shared" si="6"/>
        <v>80.714285714285708</v>
      </c>
      <c r="Z5" s="21">
        <f t="shared" si="7"/>
        <v>197.85714285714286</v>
      </c>
      <c r="AC5" s="15" t="s">
        <v>342</v>
      </c>
      <c r="AD5" s="15" t="s">
        <v>136</v>
      </c>
      <c r="AS5" s="15" t="s">
        <v>134</v>
      </c>
      <c r="AT5" t="s">
        <v>342</v>
      </c>
      <c r="AY5" s="15" t="s">
        <v>134</v>
      </c>
      <c r="AZ5" t="s">
        <v>343</v>
      </c>
      <c r="BD5" s="15" t="s">
        <v>343</v>
      </c>
      <c r="BE5" s="15" t="s">
        <v>136</v>
      </c>
      <c r="BP5" t="s">
        <v>132</v>
      </c>
      <c r="BQ5" t="s">
        <v>21</v>
      </c>
      <c r="BR5" t="s">
        <v>22</v>
      </c>
      <c r="BS5" t="s">
        <v>25</v>
      </c>
      <c r="BT5" t="s">
        <v>27</v>
      </c>
      <c r="BU5" t="s">
        <v>28</v>
      </c>
      <c r="BV5" t="s">
        <v>133</v>
      </c>
      <c r="BW5" t="s">
        <v>37</v>
      </c>
      <c r="CA5" s="15" t="s">
        <v>343</v>
      </c>
      <c r="CB5" s="15" t="s">
        <v>136</v>
      </c>
      <c r="CR5" s="15" t="s">
        <v>134</v>
      </c>
      <c r="CS5" t="s">
        <v>343</v>
      </c>
    </row>
    <row r="6" spans="2:99" x14ac:dyDescent="0.35">
      <c r="B6" s="16">
        <v>1</v>
      </c>
      <c r="C6">
        <v>6359</v>
      </c>
      <c r="D6" s="17"/>
      <c r="E6" s="17">
        <f>C6/7</f>
        <v>908.42857142857144</v>
      </c>
      <c r="F6" s="17"/>
      <c r="G6" s="15" t="s">
        <v>134</v>
      </c>
      <c r="H6" t="s">
        <v>137</v>
      </c>
      <c r="I6" t="s">
        <v>21</v>
      </c>
      <c r="J6" t="s">
        <v>22</v>
      </c>
      <c r="K6" t="s">
        <v>138</v>
      </c>
      <c r="L6" t="s">
        <v>26</v>
      </c>
      <c r="M6" t="s">
        <v>27</v>
      </c>
      <c r="N6" t="s">
        <v>28</v>
      </c>
      <c r="O6" t="s">
        <v>139</v>
      </c>
      <c r="R6" s="17" t="s">
        <v>3</v>
      </c>
      <c r="S6" s="21">
        <f t="shared" si="0"/>
        <v>857.85714285714289</v>
      </c>
      <c r="T6" s="21">
        <f t="shared" si="1"/>
        <v>44.857142857142854</v>
      </c>
      <c r="U6" s="21">
        <f t="shared" si="2"/>
        <v>158.28571428571428</v>
      </c>
      <c r="V6" s="21">
        <f t="shared" si="3"/>
        <v>352.28571428571428</v>
      </c>
      <c r="W6" s="21">
        <f t="shared" si="4"/>
        <v>143.42857142857142</v>
      </c>
      <c r="X6" s="21">
        <f t="shared" si="5"/>
        <v>63.428571428571431</v>
      </c>
      <c r="Y6" s="21">
        <f t="shared" si="6"/>
        <v>30.714285714285715</v>
      </c>
      <c r="Z6" s="21">
        <f t="shared" si="7"/>
        <v>64.857142857142861</v>
      </c>
      <c r="AA6" s="21"/>
      <c r="AB6" s="21"/>
      <c r="AC6" s="15" t="s">
        <v>134</v>
      </c>
      <c r="AD6" t="s">
        <v>1</v>
      </c>
      <c r="AE6" t="s">
        <v>2</v>
      </c>
      <c r="AF6" t="s">
        <v>3</v>
      </c>
      <c r="AG6" t="s">
        <v>4</v>
      </c>
      <c r="AH6" t="s">
        <v>5</v>
      </c>
      <c r="AI6" t="s">
        <v>6</v>
      </c>
      <c r="AJ6" t="s">
        <v>7</v>
      </c>
      <c r="AK6" t="s">
        <v>8</v>
      </c>
      <c r="AS6" s="87">
        <v>45621</v>
      </c>
      <c r="AT6">
        <v>808</v>
      </c>
      <c r="AV6">
        <f>MAX(AT6:AT1048576)</f>
        <v>1169</v>
      </c>
      <c r="AX6" s="22"/>
      <c r="AY6" s="16">
        <v>1</v>
      </c>
      <c r="AZ6">
        <v>1064</v>
      </c>
      <c r="BA6" s="22">
        <f>AZ6/4</f>
        <v>266</v>
      </c>
      <c r="BB6" s="22"/>
      <c r="BC6" s="21"/>
      <c r="BD6" s="15" t="s">
        <v>134</v>
      </c>
      <c r="BE6" t="s">
        <v>137</v>
      </c>
      <c r="BF6" t="s">
        <v>21</v>
      </c>
      <c r="BG6" t="s">
        <v>22</v>
      </c>
      <c r="BH6" t="s">
        <v>138</v>
      </c>
      <c r="BI6" t="s">
        <v>26</v>
      </c>
      <c r="BJ6" t="s">
        <v>27</v>
      </c>
      <c r="BK6" t="s">
        <v>28</v>
      </c>
      <c r="BL6" t="s">
        <v>139</v>
      </c>
      <c r="BO6" s="8" t="s">
        <v>1</v>
      </c>
      <c r="BP6" s="21">
        <f t="shared" ref="BP6:BP19" si="8">VLOOKUP($BO6, $BD$7:$BL$880, 9,FALSE)/7</f>
        <v>152</v>
      </c>
      <c r="BQ6" s="21">
        <f t="shared" ref="BQ6:BQ19" si="9">VLOOKUP($BO6, $BD$7:$BL$880, 3,FALSE)/7</f>
        <v>8.5714285714285712</v>
      </c>
      <c r="BR6" s="21">
        <f t="shared" ref="BR6:BR19" si="10">VLOOKUP($BO6, $BD$7:$BL$880, 4,FALSE)/7</f>
        <v>39.571428571428569</v>
      </c>
      <c r="BS6" s="21">
        <f t="shared" ref="BS6:BS19" si="11">VLOOKUP($BO6, $BD$7:$BL$880, 5,FALSE)/7</f>
        <v>29.714285714285715</v>
      </c>
      <c r="BT6" s="21">
        <f t="shared" ref="BT6:BT19" si="12">VLOOKUP($BO6, $BD$7:$BL$880, 7,FALSE)/7</f>
        <v>35.142857142857146</v>
      </c>
      <c r="BU6" s="21">
        <f t="shared" ref="BU6:BU19" si="13">VLOOKUP($BO6, $BD$7:$BL$880, 8,FALSE)/7</f>
        <v>5.8571428571428568</v>
      </c>
      <c r="BV6" s="21">
        <f t="shared" ref="BV6:BV19" si="14">VLOOKUP($BO6, $BD$7:$BL$880, 2,FALSE)/7</f>
        <v>13.142857142857142</v>
      </c>
      <c r="BW6" s="21">
        <f t="shared" ref="BW6:BW19" si="15">VLOOKUP($BO6, $BD$7:$BL$880, 6,FALSE)/7</f>
        <v>20</v>
      </c>
      <c r="BX6" s="21"/>
      <c r="BY6" s="21"/>
      <c r="CA6" s="15" t="s">
        <v>134</v>
      </c>
      <c r="CB6" t="s">
        <v>1</v>
      </c>
      <c r="CC6" t="s">
        <v>2</v>
      </c>
      <c r="CD6" t="s">
        <v>3</v>
      </c>
      <c r="CE6" t="s">
        <v>4</v>
      </c>
      <c r="CF6" t="s">
        <v>5</v>
      </c>
      <c r="CG6" t="s">
        <v>6</v>
      </c>
      <c r="CH6" t="s">
        <v>7</v>
      </c>
      <c r="CI6" t="s">
        <v>8</v>
      </c>
      <c r="CR6" s="87">
        <v>45621</v>
      </c>
      <c r="CS6">
        <v>101</v>
      </c>
      <c r="CU6">
        <f>MAX(CS6:CS1048576)</f>
        <v>755</v>
      </c>
    </row>
    <row r="7" spans="2:99" x14ac:dyDescent="0.35">
      <c r="B7" s="16">
        <v>2</v>
      </c>
      <c r="C7">
        <v>7124</v>
      </c>
      <c r="D7" s="17"/>
      <c r="E7" s="17">
        <f>C7/7</f>
        <v>1017.7142857142857</v>
      </c>
      <c r="F7" s="17"/>
      <c r="G7" s="16" t="s">
        <v>1</v>
      </c>
      <c r="H7">
        <v>231</v>
      </c>
      <c r="I7">
        <v>266</v>
      </c>
      <c r="J7">
        <v>1773</v>
      </c>
      <c r="K7">
        <v>1358</v>
      </c>
      <c r="L7">
        <v>1155</v>
      </c>
      <c r="M7">
        <v>1285</v>
      </c>
      <c r="N7">
        <v>291</v>
      </c>
      <c r="O7">
        <v>6359</v>
      </c>
      <c r="R7" s="17" t="s">
        <v>4</v>
      </c>
      <c r="S7" s="21">
        <f t="shared" si="0"/>
        <v>880.14285714285711</v>
      </c>
      <c r="T7" s="21">
        <f t="shared" si="1"/>
        <v>71.571428571428569</v>
      </c>
      <c r="U7" s="21">
        <f t="shared" si="2"/>
        <v>187.14285714285714</v>
      </c>
      <c r="V7" s="21">
        <f t="shared" si="3"/>
        <v>213.85714285714286</v>
      </c>
      <c r="W7" s="21">
        <f t="shared" si="4"/>
        <v>103.71428571428571</v>
      </c>
      <c r="X7" s="21">
        <f t="shared" si="5"/>
        <v>169.85714285714286</v>
      </c>
      <c r="Y7" s="21">
        <f t="shared" si="6"/>
        <v>25</v>
      </c>
      <c r="Z7" s="21">
        <f t="shared" si="7"/>
        <v>109</v>
      </c>
      <c r="AA7" s="21"/>
      <c r="AB7" s="21"/>
      <c r="AC7" s="16" t="s">
        <v>190</v>
      </c>
      <c r="AD7">
        <v>0</v>
      </c>
      <c r="AE7">
        <v>0</v>
      </c>
      <c r="AF7">
        <v>0</v>
      </c>
      <c r="AG7">
        <v>0</v>
      </c>
      <c r="AH7">
        <v>0</v>
      </c>
      <c r="AI7">
        <v>0</v>
      </c>
      <c r="AJ7">
        <v>0</v>
      </c>
      <c r="AK7">
        <v>0</v>
      </c>
      <c r="AS7" s="87">
        <v>45622</v>
      </c>
      <c r="AT7">
        <v>961</v>
      </c>
      <c r="AV7">
        <f>MATCH(AV6,AT6:AT1048576,0)</f>
        <v>8</v>
      </c>
      <c r="AX7" s="22"/>
      <c r="AY7" s="16">
        <v>2</v>
      </c>
      <c r="AZ7">
        <v>1268</v>
      </c>
      <c r="BA7" s="22">
        <f>AZ7/7</f>
        <v>181.14285714285714</v>
      </c>
      <c r="BB7" s="22"/>
      <c r="BC7" s="21"/>
      <c r="BD7" s="16" t="s">
        <v>1</v>
      </c>
      <c r="BE7">
        <v>92</v>
      </c>
      <c r="BF7">
        <v>60</v>
      </c>
      <c r="BG7">
        <v>277</v>
      </c>
      <c r="BH7">
        <v>208</v>
      </c>
      <c r="BI7">
        <v>140</v>
      </c>
      <c r="BJ7">
        <v>246</v>
      </c>
      <c r="BK7">
        <v>41</v>
      </c>
      <c r="BL7">
        <v>1064</v>
      </c>
      <c r="BO7" s="17" t="s">
        <v>2</v>
      </c>
      <c r="BP7" s="21">
        <f t="shared" si="8"/>
        <v>181.14285714285714</v>
      </c>
      <c r="BQ7" s="21">
        <f t="shared" si="9"/>
        <v>5.8571428571428568</v>
      </c>
      <c r="BR7" s="21">
        <f t="shared" si="10"/>
        <v>45.428571428571431</v>
      </c>
      <c r="BS7" s="21">
        <f t="shared" si="11"/>
        <v>39.428571428571431</v>
      </c>
      <c r="BT7" s="21">
        <f t="shared" si="12"/>
        <v>34</v>
      </c>
      <c r="BU7" s="21">
        <f t="shared" si="13"/>
        <v>4</v>
      </c>
      <c r="BV7" s="21">
        <f t="shared" si="14"/>
        <v>22.285714285714285</v>
      </c>
      <c r="BW7" s="21">
        <f t="shared" si="15"/>
        <v>30.142857142857142</v>
      </c>
      <c r="BX7" s="21"/>
      <c r="BY7" s="21"/>
      <c r="CA7" s="16" t="s">
        <v>190</v>
      </c>
      <c r="CB7">
        <v>0</v>
      </c>
      <c r="CC7">
        <v>0</v>
      </c>
      <c r="CD7">
        <v>0</v>
      </c>
      <c r="CE7">
        <v>0</v>
      </c>
      <c r="CF7">
        <v>0</v>
      </c>
      <c r="CG7">
        <v>0</v>
      </c>
      <c r="CH7">
        <v>0</v>
      </c>
      <c r="CI7">
        <v>0</v>
      </c>
      <c r="CR7" s="87">
        <v>45622</v>
      </c>
      <c r="CS7">
        <v>140</v>
      </c>
      <c r="CU7">
        <f>MATCH(CU6,CS6:CS1048576,0)</f>
        <v>36</v>
      </c>
    </row>
    <row r="8" spans="2:99" x14ac:dyDescent="0.35">
      <c r="B8" s="16">
        <v>3</v>
      </c>
      <c r="C8">
        <v>6005</v>
      </c>
      <c r="D8" s="17"/>
      <c r="E8" s="17">
        <f>C8/7</f>
        <v>857.85714285714289</v>
      </c>
      <c r="F8" s="17"/>
      <c r="G8" s="16" t="s">
        <v>2</v>
      </c>
      <c r="H8">
        <v>565</v>
      </c>
      <c r="I8">
        <v>265</v>
      </c>
      <c r="J8">
        <v>1636</v>
      </c>
      <c r="K8">
        <v>1977</v>
      </c>
      <c r="L8">
        <v>1385</v>
      </c>
      <c r="M8">
        <v>1039</v>
      </c>
      <c r="N8">
        <v>257</v>
      </c>
      <c r="O8">
        <v>7124</v>
      </c>
      <c r="R8" s="17" t="s">
        <v>5</v>
      </c>
      <c r="S8" s="21">
        <f t="shared" si="0"/>
        <v>669.57142857142856</v>
      </c>
      <c r="T8" s="21">
        <f t="shared" si="1"/>
        <v>58.714285714285715</v>
      </c>
      <c r="U8" s="21">
        <f t="shared" si="2"/>
        <v>94.571428571428569</v>
      </c>
      <c r="V8" s="21">
        <f t="shared" si="3"/>
        <v>168.85714285714286</v>
      </c>
      <c r="W8" s="21">
        <f t="shared" si="4"/>
        <v>61.142857142857146</v>
      </c>
      <c r="X8" s="21">
        <f t="shared" si="5"/>
        <v>102.42857142857143</v>
      </c>
      <c r="Y8" s="21">
        <f t="shared" si="6"/>
        <v>37</v>
      </c>
      <c r="Z8" s="21">
        <f t="shared" si="7"/>
        <v>146.85714285714286</v>
      </c>
      <c r="AA8" s="21"/>
      <c r="AB8" s="21"/>
      <c r="AC8" s="16" t="s">
        <v>191</v>
      </c>
      <c r="AD8">
        <v>0</v>
      </c>
      <c r="AE8">
        <v>0</v>
      </c>
      <c r="AF8">
        <v>0</v>
      </c>
      <c r="AG8">
        <v>0</v>
      </c>
      <c r="AH8">
        <v>0</v>
      </c>
      <c r="AI8">
        <v>0</v>
      </c>
      <c r="AJ8">
        <v>0</v>
      </c>
      <c r="AK8">
        <v>0</v>
      </c>
      <c r="AS8" s="87">
        <v>45623</v>
      </c>
      <c r="AT8">
        <v>841</v>
      </c>
      <c r="AV8">
        <f>INDEX(AS6:AS1048576,AV7,0)</f>
        <v>45628</v>
      </c>
      <c r="AX8" s="22"/>
      <c r="AY8" s="16">
        <v>3</v>
      </c>
      <c r="AZ8">
        <v>1028</v>
      </c>
      <c r="BA8" s="22">
        <f>AZ8/7</f>
        <v>146.85714285714286</v>
      </c>
      <c r="BB8" s="22"/>
      <c r="BC8" s="21"/>
      <c r="BD8" s="16" t="s">
        <v>2</v>
      </c>
      <c r="BE8">
        <v>156</v>
      </c>
      <c r="BF8">
        <v>41</v>
      </c>
      <c r="BG8">
        <v>318</v>
      </c>
      <c r="BH8">
        <v>276</v>
      </c>
      <c r="BI8">
        <v>211</v>
      </c>
      <c r="BJ8">
        <v>238</v>
      </c>
      <c r="BK8">
        <v>28</v>
      </c>
      <c r="BL8">
        <v>1268</v>
      </c>
      <c r="BO8" s="17" t="s">
        <v>3</v>
      </c>
      <c r="BP8" s="21">
        <f t="shared" si="8"/>
        <v>146.85714285714286</v>
      </c>
      <c r="BQ8" s="21">
        <f t="shared" si="9"/>
        <v>14.857142857142858</v>
      </c>
      <c r="BR8" s="21">
        <f t="shared" si="10"/>
        <v>29.857142857142858</v>
      </c>
      <c r="BS8" s="21">
        <f t="shared" si="11"/>
        <v>59</v>
      </c>
      <c r="BT8" s="21">
        <f t="shared" si="12"/>
        <v>23.714285714285715</v>
      </c>
      <c r="BU8" s="21">
        <f t="shared" si="13"/>
        <v>5.7142857142857144</v>
      </c>
      <c r="BV8" s="21">
        <f t="shared" si="14"/>
        <v>8.2857142857142865</v>
      </c>
      <c r="BW8" s="21">
        <f t="shared" si="15"/>
        <v>5.4285714285714288</v>
      </c>
      <c r="BX8" s="21"/>
      <c r="BY8" s="21"/>
      <c r="CA8" s="16" t="s">
        <v>191</v>
      </c>
      <c r="CB8">
        <v>0</v>
      </c>
      <c r="CC8">
        <v>0</v>
      </c>
      <c r="CD8">
        <v>0</v>
      </c>
      <c r="CE8">
        <v>0</v>
      </c>
      <c r="CF8">
        <v>0</v>
      </c>
      <c r="CG8">
        <v>0</v>
      </c>
      <c r="CH8">
        <v>0</v>
      </c>
      <c r="CI8">
        <v>0</v>
      </c>
      <c r="CR8" s="87">
        <v>45623</v>
      </c>
      <c r="CS8">
        <v>125</v>
      </c>
      <c r="CU8">
        <f>INDEX(CR6:CR1048576,CU7,0)</f>
        <v>45656</v>
      </c>
    </row>
    <row r="9" spans="2:99" x14ac:dyDescent="0.35">
      <c r="B9" s="16">
        <v>4</v>
      </c>
      <c r="C9">
        <v>6161</v>
      </c>
      <c r="D9" s="17"/>
      <c r="E9" s="17">
        <f t="shared" ref="E9:E20" si="16">C9/7</f>
        <v>880.14285714285711</v>
      </c>
      <c r="F9" s="17"/>
      <c r="G9" s="16" t="s">
        <v>3</v>
      </c>
      <c r="H9">
        <v>215</v>
      </c>
      <c r="I9">
        <v>314</v>
      </c>
      <c r="J9">
        <v>1108</v>
      </c>
      <c r="K9">
        <v>2466</v>
      </c>
      <c r="L9">
        <v>454</v>
      </c>
      <c r="M9">
        <v>1004</v>
      </c>
      <c r="N9">
        <v>444</v>
      </c>
      <c r="O9">
        <v>6005</v>
      </c>
      <c r="R9" s="17" t="s">
        <v>6</v>
      </c>
      <c r="S9" s="21">
        <f t="shared" si="0"/>
        <v>744.71428571428567</v>
      </c>
      <c r="T9" s="21">
        <f t="shared" si="1"/>
        <v>28.857142857142858</v>
      </c>
      <c r="U9" s="21">
        <f t="shared" si="2"/>
        <v>66.285714285714292</v>
      </c>
      <c r="V9" s="21">
        <f t="shared" si="3"/>
        <v>235.71428571428572</v>
      </c>
      <c r="W9" s="21">
        <f t="shared" si="4"/>
        <v>118.14285714285714</v>
      </c>
      <c r="X9" s="21">
        <f t="shared" si="5"/>
        <v>95.714285714285708</v>
      </c>
      <c r="Y9" s="21">
        <f t="shared" si="6"/>
        <v>37.571428571428569</v>
      </c>
      <c r="Z9" s="21">
        <f t="shared" si="7"/>
        <v>162.42857142857142</v>
      </c>
      <c r="AA9" s="21"/>
      <c r="AB9" s="21"/>
      <c r="AC9" s="16" t="s">
        <v>192</v>
      </c>
      <c r="AD9">
        <v>76</v>
      </c>
      <c r="AE9">
        <v>6</v>
      </c>
      <c r="AF9">
        <v>0</v>
      </c>
      <c r="AG9">
        <v>0</v>
      </c>
      <c r="AH9">
        <v>0</v>
      </c>
      <c r="AI9">
        <v>0</v>
      </c>
      <c r="AJ9">
        <v>0</v>
      </c>
      <c r="AK9">
        <v>0</v>
      </c>
      <c r="AS9" s="87">
        <v>45624</v>
      </c>
      <c r="AT9">
        <v>946</v>
      </c>
      <c r="AX9" s="22"/>
      <c r="AY9" s="16">
        <v>4</v>
      </c>
      <c r="AZ9">
        <v>1098</v>
      </c>
      <c r="BA9" s="22">
        <f t="shared" ref="BA9:BA19" si="17">AZ9/7</f>
        <v>156.85714285714286</v>
      </c>
      <c r="BB9" s="22"/>
      <c r="BC9" s="21"/>
      <c r="BD9" s="16" t="s">
        <v>3</v>
      </c>
      <c r="BE9">
        <v>58</v>
      </c>
      <c r="BF9">
        <v>104</v>
      </c>
      <c r="BG9">
        <v>209</v>
      </c>
      <c r="BH9">
        <v>413</v>
      </c>
      <c r="BI9">
        <v>38</v>
      </c>
      <c r="BJ9">
        <v>166</v>
      </c>
      <c r="BK9">
        <v>40</v>
      </c>
      <c r="BL9">
        <v>1028</v>
      </c>
      <c r="BO9" s="17" t="s">
        <v>4</v>
      </c>
      <c r="BP9" s="21">
        <f t="shared" si="8"/>
        <v>156.85714285714286</v>
      </c>
      <c r="BQ9" s="21">
        <f t="shared" si="9"/>
        <v>14.285714285714286</v>
      </c>
      <c r="BR9" s="21">
        <f t="shared" si="10"/>
        <v>34.285714285714285</v>
      </c>
      <c r="BS9" s="21">
        <f t="shared" si="11"/>
        <v>39</v>
      </c>
      <c r="BT9" s="21">
        <f t="shared" si="12"/>
        <v>18.857142857142858</v>
      </c>
      <c r="BU9" s="21">
        <f t="shared" si="13"/>
        <v>33.571428571428569</v>
      </c>
      <c r="BV9" s="21">
        <f t="shared" si="14"/>
        <v>6.1428571428571432</v>
      </c>
      <c r="BW9" s="21">
        <f t="shared" si="15"/>
        <v>10.714285714285714</v>
      </c>
      <c r="BX9" s="21"/>
      <c r="BY9" s="21"/>
      <c r="CA9" s="16" t="s">
        <v>192</v>
      </c>
      <c r="CB9">
        <v>13</v>
      </c>
      <c r="CC9">
        <v>0</v>
      </c>
      <c r="CD9">
        <v>0</v>
      </c>
      <c r="CE9">
        <v>0</v>
      </c>
      <c r="CF9">
        <v>0</v>
      </c>
      <c r="CG9">
        <v>0</v>
      </c>
      <c r="CH9">
        <v>0</v>
      </c>
      <c r="CI9">
        <v>0</v>
      </c>
      <c r="CR9" s="87">
        <v>45624</v>
      </c>
      <c r="CS9">
        <v>170</v>
      </c>
    </row>
    <row r="10" spans="2:99" x14ac:dyDescent="0.35">
      <c r="B10" s="16">
        <v>5</v>
      </c>
      <c r="C10">
        <v>4687</v>
      </c>
      <c r="D10" s="17"/>
      <c r="E10" s="17">
        <f t="shared" si="16"/>
        <v>669.57142857142856</v>
      </c>
      <c r="F10" s="17"/>
      <c r="G10" s="16" t="s">
        <v>4</v>
      </c>
      <c r="H10">
        <v>175</v>
      </c>
      <c r="I10">
        <v>501</v>
      </c>
      <c r="J10">
        <v>1310</v>
      </c>
      <c r="K10">
        <v>1497</v>
      </c>
      <c r="L10">
        <v>763</v>
      </c>
      <c r="M10">
        <v>726</v>
      </c>
      <c r="N10">
        <v>1189</v>
      </c>
      <c r="O10">
        <v>6161</v>
      </c>
      <c r="R10" s="17" t="s">
        <v>7</v>
      </c>
      <c r="S10" s="21">
        <f t="shared" si="0"/>
        <v>752.71428571428567</v>
      </c>
      <c r="T10" s="21">
        <f t="shared" si="1"/>
        <v>36.285714285714285</v>
      </c>
      <c r="U10" s="21">
        <f t="shared" si="2"/>
        <v>145.85714285714286</v>
      </c>
      <c r="V10" s="21">
        <f t="shared" si="3"/>
        <v>243</v>
      </c>
      <c r="W10" s="21">
        <f t="shared" si="4"/>
        <v>103.14285714285714</v>
      </c>
      <c r="X10" s="21">
        <f t="shared" si="5"/>
        <v>68.428571428571431</v>
      </c>
      <c r="Y10" s="21">
        <f t="shared" si="6"/>
        <v>41.857142857142854</v>
      </c>
      <c r="Z10" s="21">
        <f t="shared" si="7"/>
        <v>114.14285714285714</v>
      </c>
      <c r="AA10" s="21"/>
      <c r="AB10" s="21"/>
      <c r="AC10" s="16" t="s">
        <v>193</v>
      </c>
      <c r="AD10">
        <v>0</v>
      </c>
      <c r="AE10">
        <v>1</v>
      </c>
      <c r="AF10">
        <v>1</v>
      </c>
      <c r="AG10">
        <v>0</v>
      </c>
      <c r="AH10">
        <v>0</v>
      </c>
      <c r="AI10">
        <v>0</v>
      </c>
      <c r="AJ10">
        <v>0</v>
      </c>
      <c r="AK10">
        <v>0</v>
      </c>
      <c r="AS10" s="87">
        <v>45625</v>
      </c>
      <c r="AT10">
        <v>963</v>
      </c>
      <c r="AX10" s="22"/>
      <c r="AY10" s="16">
        <v>5</v>
      </c>
      <c r="AZ10">
        <v>990</v>
      </c>
      <c r="BA10" s="22">
        <f t="shared" si="17"/>
        <v>141.42857142857142</v>
      </c>
      <c r="BB10" s="22"/>
      <c r="BC10" s="21"/>
      <c r="BD10" s="16" t="s">
        <v>4</v>
      </c>
      <c r="BE10">
        <v>43</v>
      </c>
      <c r="BF10">
        <v>100</v>
      </c>
      <c r="BG10">
        <v>240</v>
      </c>
      <c r="BH10">
        <v>273</v>
      </c>
      <c r="BI10">
        <v>75</v>
      </c>
      <c r="BJ10">
        <v>132</v>
      </c>
      <c r="BK10">
        <v>235</v>
      </c>
      <c r="BL10">
        <v>1098</v>
      </c>
      <c r="BO10" s="17" t="s">
        <v>5</v>
      </c>
      <c r="BP10" s="21">
        <f t="shared" si="8"/>
        <v>141.42857142857142</v>
      </c>
      <c r="BQ10" s="21">
        <f t="shared" si="9"/>
        <v>18.285714285714285</v>
      </c>
      <c r="BR10" s="21">
        <f t="shared" si="10"/>
        <v>27.857142857142858</v>
      </c>
      <c r="BS10" s="21">
        <f t="shared" si="11"/>
        <v>31.571428571428573</v>
      </c>
      <c r="BT10" s="21">
        <f t="shared" si="12"/>
        <v>8.8571428571428577</v>
      </c>
      <c r="BU10" s="21">
        <f t="shared" si="13"/>
        <v>21.142857142857142</v>
      </c>
      <c r="BV10" s="21">
        <f t="shared" si="14"/>
        <v>5.2857142857142856</v>
      </c>
      <c r="BW10" s="21">
        <f t="shared" si="15"/>
        <v>28.428571428571427</v>
      </c>
      <c r="BX10" s="21"/>
      <c r="BY10" s="21"/>
      <c r="CA10" s="16" t="s">
        <v>193</v>
      </c>
      <c r="CB10">
        <v>0</v>
      </c>
      <c r="CC10">
        <v>0</v>
      </c>
      <c r="CD10">
        <v>0</v>
      </c>
      <c r="CE10">
        <v>0</v>
      </c>
      <c r="CF10">
        <v>0</v>
      </c>
      <c r="CG10">
        <v>0</v>
      </c>
      <c r="CH10">
        <v>0</v>
      </c>
      <c r="CI10">
        <v>0</v>
      </c>
      <c r="CR10" s="87">
        <v>45625</v>
      </c>
      <c r="CS10">
        <v>178</v>
      </c>
    </row>
    <row r="11" spans="2:99" x14ac:dyDescent="0.35">
      <c r="B11" s="16">
        <v>6</v>
      </c>
      <c r="C11">
        <v>5213</v>
      </c>
      <c r="D11" s="17"/>
      <c r="E11" s="17">
        <f t="shared" si="16"/>
        <v>744.71428571428567</v>
      </c>
      <c r="F11" s="17"/>
      <c r="G11" s="16" t="s">
        <v>5</v>
      </c>
      <c r="H11">
        <v>259</v>
      </c>
      <c r="I11">
        <v>411</v>
      </c>
      <c r="J11">
        <v>662</v>
      </c>
      <c r="K11">
        <v>1182</v>
      </c>
      <c r="L11">
        <v>1028</v>
      </c>
      <c r="M11">
        <v>428</v>
      </c>
      <c r="N11">
        <v>717</v>
      </c>
      <c r="O11">
        <v>4687</v>
      </c>
      <c r="R11" s="17" t="s">
        <v>8</v>
      </c>
      <c r="S11" s="21">
        <f t="shared" si="0"/>
        <v>928.71428571428567</v>
      </c>
      <c r="T11" s="21">
        <f t="shared" si="1"/>
        <v>52.285714285714285</v>
      </c>
      <c r="U11" s="21">
        <f t="shared" si="2"/>
        <v>292.57142857142856</v>
      </c>
      <c r="V11" s="21">
        <f t="shared" si="3"/>
        <v>239.28571428571428</v>
      </c>
      <c r="W11" s="21">
        <f t="shared" si="4"/>
        <v>114</v>
      </c>
      <c r="X11" s="21">
        <f t="shared" si="5"/>
        <v>123</v>
      </c>
      <c r="Y11" s="21">
        <f t="shared" si="6"/>
        <v>12.571428571428571</v>
      </c>
      <c r="Z11" s="21">
        <f t="shared" si="7"/>
        <v>95</v>
      </c>
      <c r="AA11" s="21"/>
      <c r="AB11" s="21"/>
      <c r="AC11" s="16" t="s">
        <v>194</v>
      </c>
      <c r="AD11">
        <v>18</v>
      </c>
      <c r="AE11">
        <v>3</v>
      </c>
      <c r="AF11">
        <v>0</v>
      </c>
      <c r="AG11">
        <v>0</v>
      </c>
      <c r="AH11">
        <v>0</v>
      </c>
      <c r="AI11">
        <v>0</v>
      </c>
      <c r="AJ11">
        <v>0</v>
      </c>
      <c r="AK11">
        <v>0</v>
      </c>
      <c r="AS11" s="87">
        <v>45626</v>
      </c>
      <c r="AT11">
        <v>863</v>
      </c>
      <c r="AX11" s="22"/>
      <c r="AY11" s="16">
        <v>6</v>
      </c>
      <c r="AZ11">
        <v>1458</v>
      </c>
      <c r="BA11" s="22">
        <f t="shared" si="17"/>
        <v>208.28571428571428</v>
      </c>
      <c r="BB11" s="22"/>
      <c r="BC11" s="21"/>
      <c r="BD11" s="16" t="s">
        <v>5</v>
      </c>
      <c r="BE11">
        <v>37</v>
      </c>
      <c r="BF11">
        <v>128</v>
      </c>
      <c r="BG11">
        <v>195</v>
      </c>
      <c r="BH11">
        <v>221</v>
      </c>
      <c r="BI11">
        <v>199</v>
      </c>
      <c r="BJ11">
        <v>62</v>
      </c>
      <c r="BK11">
        <v>148</v>
      </c>
      <c r="BL11">
        <v>990</v>
      </c>
      <c r="BO11" s="17" t="s">
        <v>6</v>
      </c>
      <c r="BP11" s="21">
        <f t="shared" si="8"/>
        <v>208.28571428571428</v>
      </c>
      <c r="BQ11" s="21">
        <f t="shared" si="9"/>
        <v>10</v>
      </c>
      <c r="BR11" s="21">
        <f t="shared" si="10"/>
        <v>18</v>
      </c>
      <c r="BS11" s="21">
        <f t="shared" si="11"/>
        <v>65.714285714285708</v>
      </c>
      <c r="BT11" s="21">
        <f t="shared" si="12"/>
        <v>27.857142857142858</v>
      </c>
      <c r="BU11" s="21">
        <f t="shared" si="13"/>
        <v>26.285714285714285</v>
      </c>
      <c r="BV11" s="21">
        <f t="shared" si="14"/>
        <v>12.285714285714286</v>
      </c>
      <c r="BW11" s="21">
        <f t="shared" si="15"/>
        <v>48.142857142857146</v>
      </c>
      <c r="BX11" s="21"/>
      <c r="BY11" s="21"/>
      <c r="CA11" s="16" t="s">
        <v>194</v>
      </c>
      <c r="CB11">
        <v>18</v>
      </c>
      <c r="CC11">
        <v>3</v>
      </c>
      <c r="CD11">
        <v>0</v>
      </c>
      <c r="CE11">
        <v>0</v>
      </c>
      <c r="CF11">
        <v>0</v>
      </c>
      <c r="CG11">
        <v>0</v>
      </c>
      <c r="CH11">
        <v>0</v>
      </c>
      <c r="CI11">
        <v>0</v>
      </c>
      <c r="CR11" s="87">
        <v>45626</v>
      </c>
      <c r="CS11">
        <v>165</v>
      </c>
    </row>
    <row r="12" spans="2:99" x14ac:dyDescent="0.35">
      <c r="B12" s="16">
        <v>7</v>
      </c>
      <c r="C12">
        <v>5269</v>
      </c>
      <c r="D12" s="17"/>
      <c r="E12" s="17">
        <f t="shared" si="16"/>
        <v>752.71428571428567</v>
      </c>
      <c r="F12" s="17"/>
      <c r="G12" s="16" t="s">
        <v>6</v>
      </c>
      <c r="H12">
        <v>263</v>
      </c>
      <c r="I12">
        <v>202</v>
      </c>
      <c r="J12">
        <v>464</v>
      </c>
      <c r="K12">
        <v>1650</v>
      </c>
      <c r="L12">
        <v>1137</v>
      </c>
      <c r="M12">
        <v>827</v>
      </c>
      <c r="N12">
        <v>670</v>
      </c>
      <c r="O12">
        <v>5213</v>
      </c>
      <c r="R12" s="17" t="s">
        <v>9</v>
      </c>
      <c r="S12" s="21" t="e">
        <f t="shared" si="0"/>
        <v>#N/A</v>
      </c>
      <c r="T12" s="21" t="e">
        <f t="shared" si="1"/>
        <v>#N/A</v>
      </c>
      <c r="U12" s="21" t="e">
        <f t="shared" si="2"/>
        <v>#N/A</v>
      </c>
      <c r="V12" s="21" t="e">
        <f t="shared" si="3"/>
        <v>#N/A</v>
      </c>
      <c r="W12" s="21" t="e">
        <f t="shared" si="4"/>
        <v>#N/A</v>
      </c>
      <c r="X12" s="21" t="e">
        <f t="shared" si="5"/>
        <v>#N/A</v>
      </c>
      <c r="Y12" s="21" t="e">
        <f t="shared" si="6"/>
        <v>#N/A</v>
      </c>
      <c r="Z12" s="21" t="e">
        <f t="shared" si="7"/>
        <v>#N/A</v>
      </c>
      <c r="AA12" s="21"/>
      <c r="AB12" s="21"/>
      <c r="AC12" s="16" t="s">
        <v>195</v>
      </c>
      <c r="AD12">
        <v>0</v>
      </c>
      <c r="AE12">
        <v>0</v>
      </c>
      <c r="AF12">
        <v>0</v>
      </c>
      <c r="AG12">
        <v>0</v>
      </c>
      <c r="AH12">
        <v>0</v>
      </c>
      <c r="AI12">
        <v>0</v>
      </c>
      <c r="AJ12">
        <v>0</v>
      </c>
      <c r="AK12">
        <v>0</v>
      </c>
      <c r="AS12" s="87">
        <v>45627</v>
      </c>
      <c r="AT12">
        <v>977</v>
      </c>
      <c r="AX12" s="22"/>
      <c r="AY12" s="16">
        <v>7</v>
      </c>
      <c r="AZ12">
        <v>719</v>
      </c>
      <c r="BA12" s="22">
        <f t="shared" si="17"/>
        <v>102.71428571428571</v>
      </c>
      <c r="BB12" s="22"/>
      <c r="BC12" s="21"/>
      <c r="BD12" s="16" t="s">
        <v>6</v>
      </c>
      <c r="BE12">
        <v>86</v>
      </c>
      <c r="BF12">
        <v>70</v>
      </c>
      <c r="BG12">
        <v>126</v>
      </c>
      <c r="BH12">
        <v>460</v>
      </c>
      <c r="BI12">
        <v>337</v>
      </c>
      <c r="BJ12">
        <v>195</v>
      </c>
      <c r="BK12">
        <v>184</v>
      </c>
      <c r="BL12">
        <v>1458</v>
      </c>
      <c r="BO12" s="17" t="s">
        <v>7</v>
      </c>
      <c r="BP12" s="21">
        <f t="shared" si="8"/>
        <v>102.71428571428571</v>
      </c>
      <c r="BQ12" s="21">
        <f t="shared" si="9"/>
        <v>8.1428571428571423</v>
      </c>
      <c r="BR12" s="21">
        <f t="shared" si="10"/>
        <v>13.428571428571429</v>
      </c>
      <c r="BS12" s="21">
        <f t="shared" si="11"/>
        <v>34.571428571428569</v>
      </c>
      <c r="BT12" s="21">
        <f t="shared" si="12"/>
        <v>10.714285714285714</v>
      </c>
      <c r="BU12" s="21">
        <f t="shared" si="13"/>
        <v>7.2857142857142856</v>
      </c>
      <c r="BV12" s="21">
        <f t="shared" si="14"/>
        <v>7.1428571428571432</v>
      </c>
      <c r="BW12" s="21">
        <f t="shared" si="15"/>
        <v>21.428571428571427</v>
      </c>
      <c r="BX12" s="21"/>
      <c r="BY12" s="21"/>
      <c r="CA12" s="16" t="s">
        <v>195</v>
      </c>
      <c r="CB12">
        <v>0</v>
      </c>
      <c r="CC12">
        <v>0</v>
      </c>
      <c r="CD12">
        <v>0</v>
      </c>
      <c r="CE12">
        <v>0</v>
      </c>
      <c r="CF12">
        <v>0</v>
      </c>
      <c r="CG12">
        <v>0</v>
      </c>
      <c r="CH12">
        <v>0</v>
      </c>
      <c r="CI12">
        <v>0</v>
      </c>
      <c r="CR12" s="87">
        <v>45627</v>
      </c>
      <c r="CS12">
        <v>185</v>
      </c>
    </row>
    <row r="13" spans="2:99" x14ac:dyDescent="0.35">
      <c r="B13" s="16">
        <v>8</v>
      </c>
      <c r="C13">
        <v>6501</v>
      </c>
      <c r="D13" s="17"/>
      <c r="E13" s="17">
        <f t="shared" si="16"/>
        <v>928.71428571428567</v>
      </c>
      <c r="F13" s="17"/>
      <c r="G13" s="16" t="s">
        <v>7</v>
      </c>
      <c r="H13">
        <v>293</v>
      </c>
      <c r="I13">
        <v>254</v>
      </c>
      <c r="J13">
        <v>1021</v>
      </c>
      <c r="K13">
        <v>1701</v>
      </c>
      <c r="L13">
        <v>799</v>
      </c>
      <c r="M13">
        <v>722</v>
      </c>
      <c r="N13">
        <v>479</v>
      </c>
      <c r="O13">
        <v>5269</v>
      </c>
      <c r="R13" s="17" t="s">
        <v>10</v>
      </c>
      <c r="S13" s="21" t="e">
        <f t="shared" si="0"/>
        <v>#N/A</v>
      </c>
      <c r="T13" s="21" t="e">
        <f t="shared" si="1"/>
        <v>#N/A</v>
      </c>
      <c r="U13" s="21" t="e">
        <f t="shared" si="2"/>
        <v>#N/A</v>
      </c>
      <c r="V13" s="21" t="e">
        <f t="shared" si="3"/>
        <v>#N/A</v>
      </c>
      <c r="W13" s="21" t="e">
        <f t="shared" si="4"/>
        <v>#N/A</v>
      </c>
      <c r="X13" s="21" t="e">
        <f t="shared" si="5"/>
        <v>#N/A</v>
      </c>
      <c r="Y13" s="21" t="e">
        <f t="shared" si="6"/>
        <v>#N/A</v>
      </c>
      <c r="Z13" s="21" t="e">
        <f t="shared" si="7"/>
        <v>#N/A</v>
      </c>
      <c r="AA13" s="21"/>
      <c r="AB13" s="21"/>
      <c r="AC13" s="16" t="s">
        <v>196</v>
      </c>
      <c r="AD13">
        <v>0</v>
      </c>
      <c r="AE13">
        <v>0</v>
      </c>
      <c r="AF13">
        <v>0</v>
      </c>
      <c r="AG13">
        <v>0</v>
      </c>
      <c r="AH13">
        <v>0</v>
      </c>
      <c r="AI13">
        <v>0</v>
      </c>
      <c r="AJ13">
        <v>0</v>
      </c>
      <c r="AK13">
        <v>0</v>
      </c>
      <c r="AS13" s="87">
        <v>45628</v>
      </c>
      <c r="AT13">
        <v>1169</v>
      </c>
      <c r="AX13" s="22"/>
      <c r="AY13" s="16">
        <v>8</v>
      </c>
      <c r="AZ13">
        <v>1016</v>
      </c>
      <c r="BA13" s="22">
        <f t="shared" si="17"/>
        <v>145.14285714285714</v>
      </c>
      <c r="BB13" s="22"/>
      <c r="BC13" s="21"/>
      <c r="BD13" s="16" t="s">
        <v>7</v>
      </c>
      <c r="BE13">
        <v>50</v>
      </c>
      <c r="BF13">
        <v>57</v>
      </c>
      <c r="BG13">
        <v>94</v>
      </c>
      <c r="BH13">
        <v>242</v>
      </c>
      <c r="BI13">
        <v>150</v>
      </c>
      <c r="BJ13">
        <v>75</v>
      </c>
      <c r="BK13">
        <v>51</v>
      </c>
      <c r="BL13">
        <v>719</v>
      </c>
      <c r="BO13" s="17" t="s">
        <v>8</v>
      </c>
      <c r="BP13" s="21">
        <f t="shared" si="8"/>
        <v>145.14285714285714</v>
      </c>
      <c r="BQ13" s="21">
        <f t="shared" si="9"/>
        <v>9.5714285714285712</v>
      </c>
      <c r="BR13" s="21">
        <f t="shared" si="10"/>
        <v>43.714285714285715</v>
      </c>
      <c r="BS13" s="21">
        <f t="shared" si="11"/>
        <v>36.571428571428569</v>
      </c>
      <c r="BT13" s="21">
        <f t="shared" si="12"/>
        <v>18.714285714285715</v>
      </c>
      <c r="BU13" s="21">
        <f t="shared" si="13"/>
        <v>16.142857142857142</v>
      </c>
      <c r="BV13" s="21">
        <f t="shared" si="14"/>
        <v>3.7142857142857144</v>
      </c>
      <c r="BW13" s="21">
        <f t="shared" si="15"/>
        <v>16.714285714285715</v>
      </c>
      <c r="BX13" s="21"/>
      <c r="BY13" s="21"/>
      <c r="CA13" s="16" t="s">
        <v>196</v>
      </c>
      <c r="CB13">
        <v>0</v>
      </c>
      <c r="CC13">
        <v>0</v>
      </c>
      <c r="CD13">
        <v>0</v>
      </c>
      <c r="CE13">
        <v>0</v>
      </c>
      <c r="CF13">
        <v>0</v>
      </c>
      <c r="CG13">
        <v>0</v>
      </c>
      <c r="CH13">
        <v>0</v>
      </c>
      <c r="CI13">
        <v>0</v>
      </c>
      <c r="CR13" s="87">
        <v>45628</v>
      </c>
      <c r="CS13">
        <v>182</v>
      </c>
    </row>
    <row r="14" spans="2:99" x14ac:dyDescent="0.35">
      <c r="D14" s="17"/>
      <c r="E14" s="17">
        <f t="shared" si="16"/>
        <v>0</v>
      </c>
      <c r="F14" s="17"/>
      <c r="G14" s="16" t="s">
        <v>8</v>
      </c>
      <c r="H14">
        <v>88</v>
      </c>
      <c r="I14">
        <v>366</v>
      </c>
      <c r="J14">
        <v>2048</v>
      </c>
      <c r="K14">
        <v>1675</v>
      </c>
      <c r="L14">
        <v>665</v>
      </c>
      <c r="M14">
        <v>798</v>
      </c>
      <c r="N14">
        <v>861</v>
      </c>
      <c r="O14">
        <v>6501</v>
      </c>
      <c r="R14" s="17" t="s">
        <v>11</v>
      </c>
      <c r="S14" s="21" t="e">
        <f t="shared" si="0"/>
        <v>#N/A</v>
      </c>
      <c r="T14" s="21" t="e">
        <f t="shared" si="1"/>
        <v>#N/A</v>
      </c>
      <c r="U14" s="21" t="e">
        <f t="shared" si="2"/>
        <v>#N/A</v>
      </c>
      <c r="V14" s="21" t="e">
        <f t="shared" si="3"/>
        <v>#N/A</v>
      </c>
      <c r="W14" s="21" t="e">
        <f t="shared" si="4"/>
        <v>#N/A</v>
      </c>
      <c r="X14" s="21" t="e">
        <f t="shared" si="5"/>
        <v>#N/A</v>
      </c>
      <c r="Y14" s="21" t="e">
        <f t="shared" si="6"/>
        <v>#N/A</v>
      </c>
      <c r="Z14" s="21" t="e">
        <f t="shared" si="7"/>
        <v>#N/A</v>
      </c>
      <c r="AA14" s="21"/>
      <c r="AB14" s="21"/>
      <c r="AC14" s="16" t="s">
        <v>197</v>
      </c>
      <c r="AD14">
        <v>0</v>
      </c>
      <c r="AE14">
        <v>0</v>
      </c>
      <c r="AF14">
        <v>0</v>
      </c>
      <c r="AG14">
        <v>0</v>
      </c>
      <c r="AH14">
        <v>0</v>
      </c>
      <c r="AI14">
        <v>0</v>
      </c>
      <c r="AJ14">
        <v>0</v>
      </c>
      <c r="AK14">
        <v>0</v>
      </c>
      <c r="AS14" s="87">
        <v>45629</v>
      </c>
      <c r="AT14">
        <v>1138</v>
      </c>
      <c r="AX14" s="22"/>
      <c r="BA14" s="22">
        <f t="shared" si="17"/>
        <v>0</v>
      </c>
      <c r="BB14" s="22"/>
      <c r="BC14" s="21"/>
      <c r="BD14" s="16" t="s">
        <v>8</v>
      </c>
      <c r="BE14">
        <v>26</v>
      </c>
      <c r="BF14">
        <v>67</v>
      </c>
      <c r="BG14">
        <v>306</v>
      </c>
      <c r="BH14">
        <v>256</v>
      </c>
      <c r="BI14">
        <v>117</v>
      </c>
      <c r="BJ14">
        <v>131</v>
      </c>
      <c r="BK14">
        <v>113</v>
      </c>
      <c r="BL14">
        <v>1016</v>
      </c>
      <c r="BO14" s="17" t="s">
        <v>9</v>
      </c>
      <c r="BP14" s="21" t="e">
        <f t="shared" si="8"/>
        <v>#N/A</v>
      </c>
      <c r="BQ14" s="21" t="e">
        <f t="shared" si="9"/>
        <v>#N/A</v>
      </c>
      <c r="BR14" s="21" t="e">
        <f t="shared" si="10"/>
        <v>#N/A</v>
      </c>
      <c r="BS14" s="21" t="e">
        <f t="shared" si="11"/>
        <v>#N/A</v>
      </c>
      <c r="BT14" s="21" t="e">
        <f t="shared" si="12"/>
        <v>#N/A</v>
      </c>
      <c r="BU14" s="21" t="e">
        <f t="shared" si="13"/>
        <v>#N/A</v>
      </c>
      <c r="BV14" s="21" t="e">
        <f t="shared" si="14"/>
        <v>#N/A</v>
      </c>
      <c r="BW14" s="21" t="e">
        <f t="shared" si="15"/>
        <v>#N/A</v>
      </c>
      <c r="BX14" s="21"/>
      <c r="BY14" s="21"/>
      <c r="CA14" s="16" t="s">
        <v>197</v>
      </c>
      <c r="CB14">
        <v>0</v>
      </c>
      <c r="CC14">
        <v>0</v>
      </c>
      <c r="CD14">
        <v>0</v>
      </c>
      <c r="CE14">
        <v>0</v>
      </c>
      <c r="CF14">
        <v>0</v>
      </c>
      <c r="CG14">
        <v>0</v>
      </c>
      <c r="CH14">
        <v>0</v>
      </c>
      <c r="CI14">
        <v>0</v>
      </c>
      <c r="CR14" s="87">
        <v>45629</v>
      </c>
      <c r="CS14">
        <v>183</v>
      </c>
    </row>
    <row r="15" spans="2:99" x14ac:dyDescent="0.35">
      <c r="D15" s="17"/>
      <c r="E15" s="17">
        <f t="shared" si="16"/>
        <v>0</v>
      </c>
      <c r="F15" s="17"/>
      <c r="G15" s="16" t="s">
        <v>139</v>
      </c>
      <c r="H15">
        <v>2089</v>
      </c>
      <c r="I15">
        <v>2579</v>
      </c>
      <c r="J15">
        <v>10022</v>
      </c>
      <c r="K15">
        <v>13506</v>
      </c>
      <c r="L15">
        <v>7386</v>
      </c>
      <c r="M15">
        <v>6829</v>
      </c>
      <c r="N15">
        <v>4908</v>
      </c>
      <c r="O15">
        <v>47319</v>
      </c>
      <c r="R15" s="17" t="s">
        <v>12</v>
      </c>
      <c r="S15" s="21" t="e">
        <f t="shared" si="0"/>
        <v>#N/A</v>
      </c>
      <c r="T15" s="21" t="e">
        <f t="shared" si="1"/>
        <v>#N/A</v>
      </c>
      <c r="U15" s="21" t="e">
        <f t="shared" si="2"/>
        <v>#N/A</v>
      </c>
      <c r="V15" s="21" t="e">
        <f t="shared" si="3"/>
        <v>#N/A</v>
      </c>
      <c r="W15" s="21" t="e">
        <f t="shared" si="4"/>
        <v>#N/A</v>
      </c>
      <c r="X15" s="21" t="e">
        <f t="shared" si="5"/>
        <v>#N/A</v>
      </c>
      <c r="Y15" s="21" t="e">
        <f t="shared" si="6"/>
        <v>#N/A</v>
      </c>
      <c r="Z15" s="21" t="e">
        <f t="shared" si="7"/>
        <v>#N/A</v>
      </c>
      <c r="AA15" s="21"/>
      <c r="AB15" s="21"/>
      <c r="AC15" s="16" t="s">
        <v>198</v>
      </c>
      <c r="AD15">
        <v>49</v>
      </c>
      <c r="AE15">
        <v>216</v>
      </c>
      <c r="AF15">
        <v>87</v>
      </c>
      <c r="AG15">
        <v>109</v>
      </c>
      <c r="AH15">
        <v>0</v>
      </c>
      <c r="AI15">
        <v>77</v>
      </c>
      <c r="AJ15">
        <v>14</v>
      </c>
      <c r="AK15">
        <v>79</v>
      </c>
      <c r="AS15" s="87">
        <v>45630</v>
      </c>
      <c r="AT15">
        <v>1061</v>
      </c>
      <c r="AX15" s="22"/>
      <c r="BA15" s="22">
        <f t="shared" si="17"/>
        <v>0</v>
      </c>
      <c r="BB15" s="22"/>
      <c r="BC15" s="21"/>
      <c r="BD15" s="16" t="s">
        <v>139</v>
      </c>
      <c r="BE15">
        <v>548</v>
      </c>
      <c r="BF15">
        <v>627</v>
      </c>
      <c r="BG15">
        <v>1765</v>
      </c>
      <c r="BH15">
        <v>2349</v>
      </c>
      <c r="BI15">
        <v>1267</v>
      </c>
      <c r="BJ15">
        <v>1245</v>
      </c>
      <c r="BK15">
        <v>840</v>
      </c>
      <c r="BL15">
        <v>8641</v>
      </c>
      <c r="BO15" s="17" t="s">
        <v>10</v>
      </c>
      <c r="BP15" s="21" t="e">
        <f t="shared" si="8"/>
        <v>#N/A</v>
      </c>
      <c r="BQ15" s="21" t="e">
        <f t="shared" si="9"/>
        <v>#N/A</v>
      </c>
      <c r="BR15" s="21" t="e">
        <f t="shared" si="10"/>
        <v>#N/A</v>
      </c>
      <c r="BS15" s="21" t="e">
        <f t="shared" si="11"/>
        <v>#N/A</v>
      </c>
      <c r="BT15" s="21" t="e">
        <f t="shared" si="12"/>
        <v>#N/A</v>
      </c>
      <c r="BU15" s="21" t="e">
        <f t="shared" si="13"/>
        <v>#N/A</v>
      </c>
      <c r="BV15" s="21" t="e">
        <f t="shared" si="14"/>
        <v>#N/A</v>
      </c>
      <c r="BW15" s="21" t="e">
        <f t="shared" si="15"/>
        <v>#N/A</v>
      </c>
      <c r="BX15" s="21"/>
      <c r="BY15" s="21"/>
      <c r="CA15" s="16" t="s">
        <v>198</v>
      </c>
      <c r="CB15">
        <v>0</v>
      </c>
      <c r="CC15">
        <v>23</v>
      </c>
      <c r="CD15">
        <v>5</v>
      </c>
      <c r="CE15">
        <v>14</v>
      </c>
      <c r="CF15">
        <v>0</v>
      </c>
      <c r="CG15">
        <v>9</v>
      </c>
      <c r="CH15">
        <v>0</v>
      </c>
      <c r="CI15">
        <v>7</v>
      </c>
      <c r="CR15" s="87">
        <v>45630</v>
      </c>
      <c r="CS15">
        <v>194</v>
      </c>
    </row>
    <row r="16" spans="2:99" x14ac:dyDescent="0.35">
      <c r="D16" s="17"/>
      <c r="E16" s="17">
        <f t="shared" si="16"/>
        <v>0</v>
      </c>
      <c r="F16" s="17"/>
      <c r="R16" s="17" t="s">
        <v>13</v>
      </c>
      <c r="S16" s="21" t="e">
        <f t="shared" si="0"/>
        <v>#N/A</v>
      </c>
      <c r="T16" s="21" t="e">
        <f t="shared" si="1"/>
        <v>#N/A</v>
      </c>
      <c r="U16" s="21" t="e">
        <f t="shared" si="2"/>
        <v>#N/A</v>
      </c>
      <c r="V16" s="21" t="e">
        <f t="shared" si="3"/>
        <v>#N/A</v>
      </c>
      <c r="W16" s="21" t="e">
        <f t="shared" si="4"/>
        <v>#N/A</v>
      </c>
      <c r="X16" s="21" t="e">
        <f t="shared" si="5"/>
        <v>#N/A</v>
      </c>
      <c r="Y16" s="21" t="e">
        <f t="shared" si="6"/>
        <v>#N/A</v>
      </c>
      <c r="Z16" s="21" t="e">
        <f t="shared" si="7"/>
        <v>#N/A</v>
      </c>
      <c r="AA16" s="21"/>
      <c r="AB16" s="21"/>
      <c r="AC16" s="16" t="s">
        <v>199</v>
      </c>
      <c r="AD16">
        <v>184</v>
      </c>
      <c r="AE16">
        <v>188</v>
      </c>
      <c r="AF16">
        <v>26</v>
      </c>
      <c r="AG16">
        <v>156</v>
      </c>
      <c r="AH16">
        <v>208</v>
      </c>
      <c r="AI16">
        <v>8</v>
      </c>
      <c r="AJ16">
        <v>16</v>
      </c>
      <c r="AK16">
        <v>26</v>
      </c>
      <c r="AS16" s="87">
        <v>45631</v>
      </c>
      <c r="AT16">
        <v>1105</v>
      </c>
      <c r="AX16" s="22"/>
      <c r="BA16" s="22">
        <f t="shared" si="17"/>
        <v>0</v>
      </c>
      <c r="BB16" s="22"/>
      <c r="BC16" s="21"/>
      <c r="BO16" s="17" t="s">
        <v>11</v>
      </c>
      <c r="BP16" s="21" t="e">
        <f t="shared" si="8"/>
        <v>#N/A</v>
      </c>
      <c r="BQ16" s="21" t="e">
        <f t="shared" si="9"/>
        <v>#N/A</v>
      </c>
      <c r="BR16" s="21" t="e">
        <f t="shared" si="10"/>
        <v>#N/A</v>
      </c>
      <c r="BS16" s="21" t="e">
        <f t="shared" si="11"/>
        <v>#N/A</v>
      </c>
      <c r="BT16" s="21" t="e">
        <f t="shared" si="12"/>
        <v>#N/A</v>
      </c>
      <c r="BU16" s="21" t="e">
        <f t="shared" si="13"/>
        <v>#N/A</v>
      </c>
      <c r="BV16" s="21" t="e">
        <f t="shared" si="14"/>
        <v>#N/A</v>
      </c>
      <c r="BW16" s="21" t="e">
        <f t="shared" si="15"/>
        <v>#N/A</v>
      </c>
      <c r="BX16" s="21"/>
      <c r="BY16" s="21"/>
      <c r="CA16" s="16" t="s">
        <v>199</v>
      </c>
      <c r="CB16">
        <v>34</v>
      </c>
      <c r="CC16">
        <v>48</v>
      </c>
      <c r="CD16">
        <v>2</v>
      </c>
      <c r="CE16">
        <v>20</v>
      </c>
      <c r="CF16">
        <v>56</v>
      </c>
      <c r="CG16">
        <v>4</v>
      </c>
      <c r="CH16">
        <v>1</v>
      </c>
      <c r="CI16">
        <v>1</v>
      </c>
      <c r="CR16" s="87">
        <v>45631</v>
      </c>
      <c r="CS16">
        <v>224</v>
      </c>
    </row>
    <row r="17" spans="4:97" x14ac:dyDescent="0.35">
      <c r="D17" s="17"/>
      <c r="E17" s="17">
        <f t="shared" si="16"/>
        <v>0</v>
      </c>
      <c r="F17" s="17"/>
      <c r="R17" s="17" t="s">
        <v>14</v>
      </c>
      <c r="S17" s="21" t="e">
        <f t="shared" si="0"/>
        <v>#N/A</v>
      </c>
      <c r="T17" s="21" t="e">
        <f t="shared" si="1"/>
        <v>#N/A</v>
      </c>
      <c r="U17" s="21" t="e">
        <f t="shared" si="2"/>
        <v>#N/A</v>
      </c>
      <c r="V17" s="21" t="e">
        <f t="shared" si="3"/>
        <v>#N/A</v>
      </c>
      <c r="W17" s="21" t="e">
        <f t="shared" si="4"/>
        <v>#N/A</v>
      </c>
      <c r="X17" s="21" t="e">
        <f t="shared" si="5"/>
        <v>#N/A</v>
      </c>
      <c r="Y17" s="21" t="e">
        <f t="shared" si="6"/>
        <v>#N/A</v>
      </c>
      <c r="Z17" s="21" t="e">
        <f t="shared" si="7"/>
        <v>#N/A</v>
      </c>
      <c r="AA17" s="21"/>
      <c r="AB17" s="21"/>
      <c r="AC17" s="16" t="s">
        <v>200</v>
      </c>
      <c r="AD17">
        <v>0</v>
      </c>
      <c r="AE17">
        <v>2</v>
      </c>
      <c r="AF17">
        <v>0</v>
      </c>
      <c r="AG17">
        <v>0</v>
      </c>
      <c r="AH17">
        <v>12</v>
      </c>
      <c r="AI17">
        <v>8</v>
      </c>
      <c r="AJ17">
        <v>0</v>
      </c>
      <c r="AK17">
        <v>0</v>
      </c>
      <c r="AS17" s="87">
        <v>45632</v>
      </c>
      <c r="AT17">
        <v>1074</v>
      </c>
      <c r="AX17" s="22"/>
      <c r="BA17" s="22">
        <f t="shared" si="17"/>
        <v>0</v>
      </c>
      <c r="BB17" s="22"/>
      <c r="BC17" s="21"/>
      <c r="BO17" s="17" t="s">
        <v>12</v>
      </c>
      <c r="BP17" s="21" t="e">
        <f t="shared" si="8"/>
        <v>#N/A</v>
      </c>
      <c r="BQ17" s="21" t="e">
        <f t="shared" si="9"/>
        <v>#N/A</v>
      </c>
      <c r="BR17" s="21" t="e">
        <f t="shared" si="10"/>
        <v>#N/A</v>
      </c>
      <c r="BS17" s="21" t="e">
        <f t="shared" si="11"/>
        <v>#N/A</v>
      </c>
      <c r="BT17" s="21" t="e">
        <f t="shared" si="12"/>
        <v>#N/A</v>
      </c>
      <c r="BU17" s="21" t="e">
        <f t="shared" si="13"/>
        <v>#N/A</v>
      </c>
      <c r="BV17" s="21" t="e">
        <f t="shared" si="14"/>
        <v>#N/A</v>
      </c>
      <c r="BW17" s="21" t="e">
        <f t="shared" si="15"/>
        <v>#N/A</v>
      </c>
      <c r="BX17" s="21"/>
      <c r="BY17" s="21"/>
      <c r="CA17" s="16" t="s">
        <v>200</v>
      </c>
      <c r="CB17">
        <v>0</v>
      </c>
      <c r="CC17">
        <v>2</v>
      </c>
      <c r="CD17">
        <v>0</v>
      </c>
      <c r="CE17">
        <v>0</v>
      </c>
      <c r="CF17">
        <v>6</v>
      </c>
      <c r="CG17">
        <v>5</v>
      </c>
      <c r="CH17">
        <v>0</v>
      </c>
      <c r="CI17">
        <v>0</v>
      </c>
      <c r="CR17" s="87">
        <v>45632</v>
      </c>
      <c r="CS17">
        <v>200</v>
      </c>
    </row>
    <row r="18" spans="4:97" x14ac:dyDescent="0.35">
      <c r="D18" s="17"/>
      <c r="E18" s="17">
        <f t="shared" si="16"/>
        <v>0</v>
      </c>
      <c r="F18" s="17"/>
      <c r="X18" s="21"/>
      <c r="Y18" s="21"/>
      <c r="Z18" s="21"/>
      <c r="AA18" s="21"/>
      <c r="AB18" s="21"/>
      <c r="AC18" s="16" t="s">
        <v>201</v>
      </c>
      <c r="AD18">
        <v>168</v>
      </c>
      <c r="AE18">
        <v>38</v>
      </c>
      <c r="AF18">
        <v>172</v>
      </c>
      <c r="AG18">
        <v>211</v>
      </c>
      <c r="AH18">
        <v>0</v>
      </c>
      <c r="AI18">
        <v>221</v>
      </c>
      <c r="AJ18">
        <v>77</v>
      </c>
      <c r="AK18">
        <v>132</v>
      </c>
      <c r="AS18" s="87">
        <v>45633</v>
      </c>
      <c r="AT18">
        <v>695</v>
      </c>
      <c r="AX18" s="22"/>
      <c r="BA18" s="22">
        <f t="shared" si="17"/>
        <v>0</v>
      </c>
      <c r="BB18" s="22"/>
      <c r="BC18" s="21"/>
      <c r="BO18" s="17" t="s">
        <v>13</v>
      </c>
      <c r="BP18" s="21" t="e">
        <f t="shared" si="8"/>
        <v>#N/A</v>
      </c>
      <c r="BQ18" s="21" t="e">
        <f t="shared" si="9"/>
        <v>#N/A</v>
      </c>
      <c r="BR18" s="21" t="e">
        <f t="shared" si="10"/>
        <v>#N/A</v>
      </c>
      <c r="BS18" s="21" t="e">
        <f t="shared" si="11"/>
        <v>#N/A</v>
      </c>
      <c r="BT18" s="21" t="e">
        <f t="shared" si="12"/>
        <v>#N/A</v>
      </c>
      <c r="BU18" s="21" t="e">
        <f t="shared" si="13"/>
        <v>#N/A</v>
      </c>
      <c r="BV18" s="21" t="e">
        <f t="shared" si="14"/>
        <v>#N/A</v>
      </c>
      <c r="BW18" s="21" t="e">
        <f t="shared" si="15"/>
        <v>#N/A</v>
      </c>
      <c r="BX18" s="21"/>
      <c r="BY18" s="21"/>
      <c r="CA18" s="16" t="s">
        <v>201</v>
      </c>
      <c r="CB18">
        <v>36</v>
      </c>
      <c r="CC18">
        <v>12</v>
      </c>
      <c r="CD18">
        <v>23</v>
      </c>
      <c r="CE18">
        <v>76</v>
      </c>
      <c r="CF18">
        <v>0</v>
      </c>
      <c r="CG18">
        <v>64</v>
      </c>
      <c r="CH18">
        <v>13</v>
      </c>
      <c r="CI18">
        <v>54</v>
      </c>
      <c r="CR18" s="87">
        <v>45633</v>
      </c>
      <c r="CS18">
        <v>131</v>
      </c>
    </row>
    <row r="19" spans="4:97" x14ac:dyDescent="0.35">
      <c r="D19" s="17"/>
      <c r="E19" s="17">
        <f t="shared" si="16"/>
        <v>0</v>
      </c>
      <c r="F19" s="17"/>
      <c r="X19" s="21"/>
      <c r="Y19" s="21"/>
      <c r="Z19" s="21"/>
      <c r="AA19" s="21"/>
      <c r="AB19" s="21"/>
      <c r="AC19" s="16" t="s">
        <v>202</v>
      </c>
      <c r="AD19">
        <v>65</v>
      </c>
      <c r="AE19">
        <v>85</v>
      </c>
      <c r="AF19">
        <v>33</v>
      </c>
      <c r="AG19">
        <v>97</v>
      </c>
      <c r="AH19">
        <v>31</v>
      </c>
      <c r="AI19">
        <v>0</v>
      </c>
      <c r="AJ19">
        <v>0</v>
      </c>
      <c r="AK19">
        <v>0</v>
      </c>
      <c r="AS19" s="87">
        <v>45634</v>
      </c>
      <c r="AT19">
        <v>882</v>
      </c>
      <c r="AX19" s="22"/>
      <c r="BA19" s="22">
        <f t="shared" si="17"/>
        <v>0</v>
      </c>
      <c r="BB19" s="22"/>
      <c r="BC19" s="21"/>
      <c r="BO19" s="17" t="s">
        <v>14</v>
      </c>
      <c r="BP19" s="21" t="e">
        <f t="shared" si="8"/>
        <v>#N/A</v>
      </c>
      <c r="BQ19" s="21" t="e">
        <f t="shared" si="9"/>
        <v>#N/A</v>
      </c>
      <c r="BR19" s="21" t="e">
        <f t="shared" si="10"/>
        <v>#N/A</v>
      </c>
      <c r="BS19" s="21" t="e">
        <f t="shared" si="11"/>
        <v>#N/A</v>
      </c>
      <c r="BT19" s="21" t="e">
        <f t="shared" si="12"/>
        <v>#N/A</v>
      </c>
      <c r="BU19" s="21" t="e">
        <f t="shared" si="13"/>
        <v>#N/A</v>
      </c>
      <c r="BV19" s="21" t="e">
        <f t="shared" si="14"/>
        <v>#N/A</v>
      </c>
      <c r="BW19" s="21" t="e">
        <f t="shared" si="15"/>
        <v>#N/A</v>
      </c>
      <c r="BX19" s="21"/>
      <c r="BY19" s="21"/>
      <c r="CA19" s="16" t="s">
        <v>202</v>
      </c>
      <c r="CB19">
        <v>65</v>
      </c>
      <c r="CC19">
        <v>71</v>
      </c>
      <c r="CD19">
        <v>33</v>
      </c>
      <c r="CE19">
        <v>71</v>
      </c>
      <c r="CF19">
        <v>23</v>
      </c>
      <c r="CG19">
        <v>0</v>
      </c>
      <c r="CH19">
        <v>0</v>
      </c>
      <c r="CI19">
        <v>0</v>
      </c>
      <c r="CR19" s="87">
        <v>45634</v>
      </c>
      <c r="CS19">
        <v>154</v>
      </c>
    </row>
    <row r="20" spans="4:97" x14ac:dyDescent="0.35">
      <c r="D20" s="17"/>
      <c r="E20" s="17">
        <f t="shared" si="16"/>
        <v>0</v>
      </c>
      <c r="F20" s="17"/>
      <c r="AC20" s="16" t="s">
        <v>203</v>
      </c>
      <c r="AD20">
        <v>89</v>
      </c>
      <c r="AE20">
        <v>127</v>
      </c>
      <c r="AF20">
        <v>45</v>
      </c>
      <c r="AG20">
        <v>10</v>
      </c>
      <c r="AH20">
        <v>0</v>
      </c>
      <c r="AI20">
        <v>31</v>
      </c>
      <c r="AJ20">
        <v>19</v>
      </c>
      <c r="AK20">
        <v>34</v>
      </c>
      <c r="AS20" s="87">
        <v>45635</v>
      </c>
      <c r="AT20">
        <v>948</v>
      </c>
      <c r="AX20" s="22"/>
      <c r="BA20" s="22">
        <f>AZ20/7</f>
        <v>0</v>
      </c>
      <c r="BB20" s="22"/>
      <c r="CA20" s="16" t="s">
        <v>203</v>
      </c>
      <c r="CB20">
        <v>62</v>
      </c>
      <c r="CC20">
        <v>83</v>
      </c>
      <c r="CD20">
        <v>27</v>
      </c>
      <c r="CE20">
        <v>4</v>
      </c>
      <c r="CF20">
        <v>0</v>
      </c>
      <c r="CG20">
        <v>12</v>
      </c>
      <c r="CH20">
        <v>5</v>
      </c>
      <c r="CI20">
        <v>15</v>
      </c>
      <c r="CR20" s="87">
        <v>45635</v>
      </c>
      <c r="CS20">
        <v>148</v>
      </c>
    </row>
    <row r="21" spans="4:97" x14ac:dyDescent="0.35">
      <c r="AC21" s="16" t="s">
        <v>204</v>
      </c>
      <c r="AD21">
        <v>0</v>
      </c>
      <c r="AE21">
        <v>0</v>
      </c>
      <c r="AF21">
        <v>0</v>
      </c>
      <c r="AG21">
        <v>0</v>
      </c>
      <c r="AH21">
        <v>0</v>
      </c>
      <c r="AI21">
        <v>0</v>
      </c>
      <c r="AJ21">
        <v>0</v>
      </c>
      <c r="AK21">
        <v>0</v>
      </c>
      <c r="AS21" s="87">
        <v>45636</v>
      </c>
      <c r="AT21">
        <v>795</v>
      </c>
      <c r="CA21" s="16" t="s">
        <v>204</v>
      </c>
      <c r="CB21">
        <v>0</v>
      </c>
      <c r="CC21">
        <v>0</v>
      </c>
      <c r="CD21">
        <v>0</v>
      </c>
      <c r="CE21">
        <v>0</v>
      </c>
      <c r="CF21">
        <v>0</v>
      </c>
      <c r="CG21">
        <v>0</v>
      </c>
      <c r="CH21">
        <v>0</v>
      </c>
      <c r="CI21">
        <v>0</v>
      </c>
      <c r="CR21" s="87">
        <v>45636</v>
      </c>
      <c r="CS21">
        <v>128</v>
      </c>
    </row>
    <row r="22" spans="4:97" x14ac:dyDescent="0.35">
      <c r="AC22" s="16" t="s">
        <v>205</v>
      </c>
      <c r="AD22">
        <v>67</v>
      </c>
      <c r="AE22">
        <v>0</v>
      </c>
      <c r="AF22">
        <v>5</v>
      </c>
      <c r="AG22">
        <v>0</v>
      </c>
      <c r="AH22">
        <v>0</v>
      </c>
      <c r="AI22">
        <v>18</v>
      </c>
      <c r="AJ22">
        <v>48</v>
      </c>
      <c r="AK22">
        <v>0</v>
      </c>
      <c r="AS22" s="87">
        <v>45637</v>
      </c>
      <c r="AT22">
        <v>850</v>
      </c>
      <c r="CA22" s="16" t="s">
        <v>205</v>
      </c>
      <c r="CB22">
        <v>16</v>
      </c>
      <c r="CC22">
        <v>0</v>
      </c>
      <c r="CD22">
        <v>0</v>
      </c>
      <c r="CE22">
        <v>0</v>
      </c>
      <c r="CF22">
        <v>0</v>
      </c>
      <c r="CG22">
        <v>0</v>
      </c>
      <c r="CH22">
        <v>8</v>
      </c>
      <c r="CI22">
        <v>0</v>
      </c>
      <c r="CR22" s="87">
        <v>45637</v>
      </c>
      <c r="CS22">
        <v>173</v>
      </c>
    </row>
    <row r="23" spans="4:97" x14ac:dyDescent="0.35">
      <c r="AC23" s="16" t="s">
        <v>206</v>
      </c>
      <c r="AD23">
        <v>0</v>
      </c>
      <c r="AE23">
        <v>0</v>
      </c>
      <c r="AF23">
        <v>0</v>
      </c>
      <c r="AG23">
        <v>0</v>
      </c>
      <c r="AH23">
        <v>0</v>
      </c>
      <c r="AI23">
        <v>0</v>
      </c>
      <c r="AJ23">
        <v>0</v>
      </c>
      <c r="AK23">
        <v>0</v>
      </c>
      <c r="AS23" s="87">
        <v>45638</v>
      </c>
      <c r="AT23">
        <v>765</v>
      </c>
      <c r="CA23" s="16" t="s">
        <v>206</v>
      </c>
      <c r="CB23">
        <v>0</v>
      </c>
      <c r="CC23">
        <v>0</v>
      </c>
      <c r="CD23">
        <v>0</v>
      </c>
      <c r="CE23">
        <v>0</v>
      </c>
      <c r="CF23">
        <v>0</v>
      </c>
      <c r="CG23">
        <v>0</v>
      </c>
      <c r="CH23">
        <v>0</v>
      </c>
      <c r="CI23">
        <v>0</v>
      </c>
      <c r="CR23" s="87">
        <v>45638</v>
      </c>
      <c r="CS23">
        <v>144</v>
      </c>
    </row>
    <row r="24" spans="4:97" x14ac:dyDescent="0.35">
      <c r="AC24" s="16" t="s">
        <v>207</v>
      </c>
      <c r="AD24">
        <v>0</v>
      </c>
      <c r="AE24">
        <v>0</v>
      </c>
      <c r="AF24">
        <v>0</v>
      </c>
      <c r="AG24">
        <v>0</v>
      </c>
      <c r="AH24">
        <v>0</v>
      </c>
      <c r="AI24">
        <v>0</v>
      </c>
      <c r="AJ24">
        <v>0</v>
      </c>
      <c r="AK24">
        <v>0</v>
      </c>
      <c r="AS24" s="87">
        <v>45639</v>
      </c>
      <c r="AT24">
        <v>751</v>
      </c>
      <c r="CA24" s="16" t="s">
        <v>207</v>
      </c>
      <c r="CB24">
        <v>0</v>
      </c>
      <c r="CC24">
        <v>0</v>
      </c>
      <c r="CD24">
        <v>0</v>
      </c>
      <c r="CE24">
        <v>0</v>
      </c>
      <c r="CF24">
        <v>0</v>
      </c>
      <c r="CG24">
        <v>0</v>
      </c>
      <c r="CH24">
        <v>0</v>
      </c>
      <c r="CI24">
        <v>0</v>
      </c>
      <c r="CR24" s="87">
        <v>45639</v>
      </c>
      <c r="CS24">
        <v>121</v>
      </c>
    </row>
    <row r="25" spans="4:97" x14ac:dyDescent="0.35">
      <c r="AC25" s="16" t="s">
        <v>208</v>
      </c>
      <c r="AD25">
        <v>0</v>
      </c>
      <c r="AE25">
        <v>57</v>
      </c>
      <c r="AF25">
        <v>88</v>
      </c>
      <c r="AG25">
        <v>63</v>
      </c>
      <c r="AH25">
        <v>28</v>
      </c>
      <c r="AI25">
        <v>14</v>
      </c>
      <c r="AJ25">
        <v>12</v>
      </c>
      <c r="AK25">
        <v>25</v>
      </c>
      <c r="AS25" s="87">
        <v>45640</v>
      </c>
      <c r="AT25">
        <v>981</v>
      </c>
      <c r="CA25" s="16" t="s">
        <v>208</v>
      </c>
      <c r="CB25">
        <v>0</v>
      </c>
      <c r="CC25">
        <v>0</v>
      </c>
      <c r="CD25">
        <v>0</v>
      </c>
      <c r="CE25">
        <v>0</v>
      </c>
      <c r="CF25">
        <v>0</v>
      </c>
      <c r="CG25">
        <v>6</v>
      </c>
      <c r="CH25">
        <v>0</v>
      </c>
      <c r="CI25">
        <v>0</v>
      </c>
      <c r="CR25" s="87">
        <v>45640</v>
      </c>
      <c r="CS25">
        <v>162</v>
      </c>
    </row>
    <row r="26" spans="4:97" x14ac:dyDescent="0.35">
      <c r="AC26" s="16" t="s">
        <v>209</v>
      </c>
      <c r="AD26">
        <v>0</v>
      </c>
      <c r="AE26">
        <v>0</v>
      </c>
      <c r="AF26">
        <v>9</v>
      </c>
      <c r="AG26">
        <v>7</v>
      </c>
      <c r="AH26">
        <v>0</v>
      </c>
      <c r="AI26">
        <v>0</v>
      </c>
      <c r="AJ26">
        <v>0</v>
      </c>
      <c r="AK26">
        <v>0</v>
      </c>
      <c r="AS26" s="87">
        <v>45641</v>
      </c>
      <c r="AT26">
        <v>915</v>
      </c>
      <c r="CA26" s="16" t="s">
        <v>209</v>
      </c>
      <c r="CB26">
        <v>0</v>
      </c>
      <c r="CC26">
        <v>0</v>
      </c>
      <c r="CD26">
        <v>2</v>
      </c>
      <c r="CE26">
        <v>1</v>
      </c>
      <c r="CF26">
        <v>0</v>
      </c>
      <c r="CG26">
        <v>0</v>
      </c>
      <c r="CH26">
        <v>0</v>
      </c>
      <c r="CI26">
        <v>0</v>
      </c>
      <c r="CR26" s="87">
        <v>45641</v>
      </c>
      <c r="CS26">
        <v>152</v>
      </c>
    </row>
    <row r="27" spans="4:97" x14ac:dyDescent="0.35">
      <c r="AC27" s="16" t="s">
        <v>210</v>
      </c>
      <c r="AD27">
        <v>0</v>
      </c>
      <c r="AE27">
        <v>0</v>
      </c>
      <c r="AF27">
        <v>0</v>
      </c>
      <c r="AG27">
        <v>0</v>
      </c>
      <c r="AH27">
        <v>0</v>
      </c>
      <c r="AI27">
        <v>0</v>
      </c>
      <c r="AJ27">
        <v>0</v>
      </c>
      <c r="AK27">
        <v>0</v>
      </c>
      <c r="AS27" s="87">
        <v>45642</v>
      </c>
      <c r="AT27">
        <v>1126</v>
      </c>
      <c r="CA27" s="16" t="s">
        <v>210</v>
      </c>
      <c r="CB27">
        <v>0</v>
      </c>
      <c r="CC27">
        <v>0</v>
      </c>
      <c r="CD27">
        <v>0</v>
      </c>
      <c r="CE27">
        <v>0</v>
      </c>
      <c r="CF27">
        <v>0</v>
      </c>
      <c r="CG27">
        <v>0</v>
      </c>
      <c r="CH27">
        <v>0</v>
      </c>
      <c r="CI27">
        <v>0</v>
      </c>
      <c r="CR27" s="87">
        <v>45642</v>
      </c>
      <c r="CS27">
        <v>163</v>
      </c>
    </row>
    <row r="28" spans="4:97" x14ac:dyDescent="0.35">
      <c r="AC28" s="16" t="s">
        <v>211</v>
      </c>
      <c r="AD28">
        <v>0</v>
      </c>
      <c r="AE28">
        <v>0</v>
      </c>
      <c r="AF28">
        <v>0</v>
      </c>
      <c r="AG28">
        <v>103</v>
      </c>
      <c r="AH28">
        <v>21</v>
      </c>
      <c r="AI28">
        <v>0</v>
      </c>
      <c r="AJ28">
        <v>0</v>
      </c>
      <c r="AK28">
        <v>0</v>
      </c>
      <c r="AS28" s="87">
        <v>45643</v>
      </c>
      <c r="AT28">
        <v>982</v>
      </c>
      <c r="CA28" s="16" t="s">
        <v>211</v>
      </c>
      <c r="CB28">
        <v>0</v>
      </c>
      <c r="CC28">
        <v>0</v>
      </c>
      <c r="CD28">
        <v>0</v>
      </c>
      <c r="CE28">
        <v>14</v>
      </c>
      <c r="CF28">
        <v>7</v>
      </c>
      <c r="CG28">
        <v>0</v>
      </c>
      <c r="CH28">
        <v>0</v>
      </c>
      <c r="CI28">
        <v>0</v>
      </c>
      <c r="CR28" s="87">
        <v>45643</v>
      </c>
      <c r="CS28">
        <v>162</v>
      </c>
    </row>
    <row r="29" spans="4:97" x14ac:dyDescent="0.35">
      <c r="AC29" s="16" t="s">
        <v>212</v>
      </c>
      <c r="AD29">
        <v>0</v>
      </c>
      <c r="AE29">
        <v>0</v>
      </c>
      <c r="AF29">
        <v>0</v>
      </c>
      <c r="AG29">
        <v>0</v>
      </c>
      <c r="AH29">
        <v>0</v>
      </c>
      <c r="AI29">
        <v>0</v>
      </c>
      <c r="AJ29">
        <v>12</v>
      </c>
      <c r="AK29">
        <v>12</v>
      </c>
      <c r="AS29" s="87">
        <v>45644</v>
      </c>
      <c r="AT29">
        <v>923</v>
      </c>
      <c r="CA29" s="16" t="s">
        <v>212</v>
      </c>
      <c r="CB29">
        <v>0</v>
      </c>
      <c r="CC29">
        <v>0</v>
      </c>
      <c r="CD29">
        <v>0</v>
      </c>
      <c r="CE29">
        <v>0</v>
      </c>
      <c r="CF29">
        <v>0</v>
      </c>
      <c r="CG29">
        <v>0</v>
      </c>
      <c r="CH29">
        <v>2</v>
      </c>
      <c r="CI29">
        <v>1</v>
      </c>
      <c r="CR29" s="87">
        <v>45644</v>
      </c>
      <c r="CS29">
        <v>143</v>
      </c>
    </row>
    <row r="30" spans="4:97" x14ac:dyDescent="0.35">
      <c r="AC30" s="16" t="s">
        <v>213</v>
      </c>
      <c r="AD30">
        <v>0</v>
      </c>
      <c r="AE30">
        <v>6</v>
      </c>
      <c r="AF30">
        <v>4</v>
      </c>
      <c r="AG30">
        <v>4</v>
      </c>
      <c r="AH30">
        <v>241</v>
      </c>
      <c r="AI30">
        <v>127</v>
      </c>
      <c r="AJ30">
        <v>12</v>
      </c>
      <c r="AK30">
        <v>0</v>
      </c>
      <c r="AS30" s="87">
        <v>45645</v>
      </c>
      <c r="AT30">
        <v>864</v>
      </c>
      <c r="CA30" s="16" t="s">
        <v>213</v>
      </c>
      <c r="CB30">
        <v>0</v>
      </c>
      <c r="CC30">
        <v>6</v>
      </c>
      <c r="CD30">
        <v>4</v>
      </c>
      <c r="CE30">
        <v>4</v>
      </c>
      <c r="CF30">
        <v>37</v>
      </c>
      <c r="CG30">
        <v>40</v>
      </c>
      <c r="CH30">
        <v>0</v>
      </c>
      <c r="CI30">
        <v>0</v>
      </c>
      <c r="CR30" s="87">
        <v>45645</v>
      </c>
      <c r="CS30">
        <v>132</v>
      </c>
    </row>
    <row r="31" spans="4:97" x14ac:dyDescent="0.35">
      <c r="AC31" s="16" t="s">
        <v>214</v>
      </c>
      <c r="AD31">
        <v>0</v>
      </c>
      <c r="AE31">
        <v>0</v>
      </c>
      <c r="AF31">
        <v>0</v>
      </c>
      <c r="AG31">
        <v>0</v>
      </c>
      <c r="AH31">
        <v>0</v>
      </c>
      <c r="AI31">
        <v>0</v>
      </c>
      <c r="AJ31">
        <v>0</v>
      </c>
      <c r="AK31">
        <v>71</v>
      </c>
      <c r="AS31" s="87">
        <v>45646</v>
      </c>
      <c r="AT31">
        <v>783</v>
      </c>
      <c r="CA31" s="16" t="s">
        <v>214</v>
      </c>
      <c r="CB31">
        <v>0</v>
      </c>
      <c r="CC31">
        <v>0</v>
      </c>
      <c r="CD31">
        <v>0</v>
      </c>
      <c r="CE31">
        <v>0</v>
      </c>
      <c r="CF31">
        <v>0</v>
      </c>
      <c r="CG31">
        <v>0</v>
      </c>
      <c r="CH31">
        <v>0</v>
      </c>
      <c r="CI31">
        <v>0</v>
      </c>
      <c r="CR31" s="87">
        <v>45646</v>
      </c>
      <c r="CS31">
        <v>141</v>
      </c>
    </row>
    <row r="32" spans="4:97" x14ac:dyDescent="0.35">
      <c r="AC32" s="16" t="s">
        <v>215</v>
      </c>
      <c r="AD32">
        <v>0</v>
      </c>
      <c r="AE32">
        <v>0</v>
      </c>
      <c r="AF32">
        <v>0</v>
      </c>
      <c r="AG32">
        <v>0</v>
      </c>
      <c r="AH32">
        <v>0</v>
      </c>
      <c r="AI32">
        <v>0</v>
      </c>
      <c r="AJ32">
        <v>0</v>
      </c>
      <c r="AK32">
        <v>0</v>
      </c>
      <c r="AS32" s="87">
        <v>45647</v>
      </c>
      <c r="AT32">
        <v>749</v>
      </c>
      <c r="CA32" s="16" t="s">
        <v>215</v>
      </c>
      <c r="CB32">
        <v>0</v>
      </c>
      <c r="CC32">
        <v>0</v>
      </c>
      <c r="CD32">
        <v>0</v>
      </c>
      <c r="CE32">
        <v>0</v>
      </c>
      <c r="CF32">
        <v>0</v>
      </c>
      <c r="CG32">
        <v>0</v>
      </c>
      <c r="CH32">
        <v>0</v>
      </c>
      <c r="CI32">
        <v>0</v>
      </c>
      <c r="CR32" s="87">
        <v>45647</v>
      </c>
      <c r="CS32">
        <v>179</v>
      </c>
    </row>
    <row r="33" spans="29:97" x14ac:dyDescent="0.35">
      <c r="AC33" s="16" t="s">
        <v>216</v>
      </c>
      <c r="AD33">
        <v>49</v>
      </c>
      <c r="AE33">
        <v>50</v>
      </c>
      <c r="AF33">
        <v>126</v>
      </c>
      <c r="AG33">
        <v>159</v>
      </c>
      <c r="AH33">
        <v>94</v>
      </c>
      <c r="AI33">
        <v>182</v>
      </c>
      <c r="AJ33">
        <v>34</v>
      </c>
      <c r="AK33">
        <v>37</v>
      </c>
      <c r="AS33" s="87">
        <v>45648</v>
      </c>
      <c r="AT33">
        <v>734</v>
      </c>
      <c r="CA33" s="16" t="s">
        <v>216</v>
      </c>
      <c r="CB33">
        <v>6</v>
      </c>
      <c r="CC33">
        <v>5</v>
      </c>
      <c r="CD33">
        <v>20</v>
      </c>
      <c r="CE33">
        <v>39</v>
      </c>
      <c r="CF33">
        <v>17</v>
      </c>
      <c r="CG33">
        <v>44</v>
      </c>
      <c r="CH33">
        <v>5</v>
      </c>
      <c r="CI33">
        <v>5</v>
      </c>
      <c r="CR33" s="87">
        <v>45648</v>
      </c>
      <c r="CS33">
        <v>178</v>
      </c>
    </row>
    <row r="34" spans="29:97" x14ac:dyDescent="0.35">
      <c r="AC34" s="16" t="s">
        <v>217</v>
      </c>
      <c r="AD34">
        <v>0</v>
      </c>
      <c r="AE34">
        <v>0</v>
      </c>
      <c r="AF34">
        <v>0</v>
      </c>
      <c r="AG34">
        <v>0</v>
      </c>
      <c r="AH34">
        <v>6</v>
      </c>
      <c r="AI34">
        <v>0</v>
      </c>
      <c r="AJ34">
        <v>0</v>
      </c>
      <c r="AK34">
        <v>0</v>
      </c>
      <c r="AS34" s="87">
        <v>45649</v>
      </c>
      <c r="AT34">
        <v>772</v>
      </c>
      <c r="CA34" s="16" t="s">
        <v>217</v>
      </c>
      <c r="CB34">
        <v>0</v>
      </c>
      <c r="CC34">
        <v>0</v>
      </c>
      <c r="CD34">
        <v>0</v>
      </c>
      <c r="CE34">
        <v>0</v>
      </c>
      <c r="CF34">
        <v>3</v>
      </c>
      <c r="CG34">
        <v>0</v>
      </c>
      <c r="CH34">
        <v>0</v>
      </c>
      <c r="CI34">
        <v>0</v>
      </c>
      <c r="CR34" s="87">
        <v>45649</v>
      </c>
      <c r="CS34">
        <v>182</v>
      </c>
    </row>
    <row r="35" spans="29:97" x14ac:dyDescent="0.35">
      <c r="AC35" s="16" t="s">
        <v>218</v>
      </c>
      <c r="AD35">
        <v>0</v>
      </c>
      <c r="AE35">
        <v>0</v>
      </c>
      <c r="AF35">
        <v>0</v>
      </c>
      <c r="AG35">
        <v>0</v>
      </c>
      <c r="AH35">
        <v>0</v>
      </c>
      <c r="AI35">
        <v>0</v>
      </c>
      <c r="AJ35">
        <v>0</v>
      </c>
      <c r="AK35">
        <v>0</v>
      </c>
      <c r="AS35" s="87">
        <v>45650</v>
      </c>
      <c r="AT35">
        <v>705</v>
      </c>
      <c r="CA35" s="16" t="s">
        <v>218</v>
      </c>
      <c r="CB35">
        <v>0</v>
      </c>
      <c r="CC35">
        <v>0</v>
      </c>
      <c r="CD35">
        <v>0</v>
      </c>
      <c r="CE35">
        <v>0</v>
      </c>
      <c r="CF35">
        <v>0</v>
      </c>
      <c r="CG35">
        <v>0</v>
      </c>
      <c r="CH35">
        <v>0</v>
      </c>
      <c r="CI35">
        <v>0</v>
      </c>
      <c r="CR35" s="87">
        <v>45650</v>
      </c>
      <c r="CS35">
        <v>170</v>
      </c>
    </row>
    <row r="36" spans="29:97" x14ac:dyDescent="0.35">
      <c r="AC36" s="16" t="s">
        <v>219</v>
      </c>
      <c r="AD36">
        <v>0</v>
      </c>
      <c r="AE36">
        <v>0</v>
      </c>
      <c r="AF36">
        <v>0</v>
      </c>
      <c r="AG36">
        <v>0</v>
      </c>
      <c r="AH36">
        <v>0</v>
      </c>
      <c r="AI36">
        <v>0</v>
      </c>
      <c r="AJ36">
        <v>0</v>
      </c>
      <c r="AK36">
        <v>0</v>
      </c>
      <c r="AS36" s="87">
        <v>45651</v>
      </c>
      <c r="AT36">
        <v>619</v>
      </c>
      <c r="CA36" s="16" t="s">
        <v>219</v>
      </c>
      <c r="CB36">
        <v>0</v>
      </c>
      <c r="CC36">
        <v>0</v>
      </c>
      <c r="CD36">
        <v>0</v>
      </c>
      <c r="CE36">
        <v>0</v>
      </c>
      <c r="CF36">
        <v>0</v>
      </c>
      <c r="CG36">
        <v>0</v>
      </c>
      <c r="CH36">
        <v>0</v>
      </c>
      <c r="CI36">
        <v>0</v>
      </c>
      <c r="CR36" s="87">
        <v>45651</v>
      </c>
      <c r="CS36">
        <v>146</v>
      </c>
    </row>
    <row r="37" spans="29:97" x14ac:dyDescent="0.35">
      <c r="AC37" s="16" t="s">
        <v>220</v>
      </c>
      <c r="AD37">
        <v>20</v>
      </c>
      <c r="AE37">
        <v>0</v>
      </c>
      <c r="AF37">
        <v>0</v>
      </c>
      <c r="AG37">
        <v>0</v>
      </c>
      <c r="AH37">
        <v>23</v>
      </c>
      <c r="AI37">
        <v>3</v>
      </c>
      <c r="AJ37">
        <v>1</v>
      </c>
      <c r="AK37">
        <v>6</v>
      </c>
      <c r="AS37" s="87">
        <v>45652</v>
      </c>
      <c r="AT37">
        <v>584</v>
      </c>
      <c r="CA37" s="16" t="s">
        <v>220</v>
      </c>
      <c r="CB37">
        <v>20</v>
      </c>
      <c r="CC37">
        <v>0</v>
      </c>
      <c r="CD37">
        <v>0</v>
      </c>
      <c r="CE37">
        <v>0</v>
      </c>
      <c r="CF37">
        <v>23</v>
      </c>
      <c r="CG37">
        <v>3</v>
      </c>
      <c r="CH37">
        <v>1</v>
      </c>
      <c r="CI37">
        <v>6</v>
      </c>
      <c r="CR37" s="87">
        <v>45652</v>
      </c>
      <c r="CS37">
        <v>131</v>
      </c>
    </row>
    <row r="38" spans="29:97" x14ac:dyDescent="0.35">
      <c r="AC38" s="16" t="s">
        <v>221</v>
      </c>
      <c r="AD38">
        <v>18</v>
      </c>
      <c r="AE38">
        <v>42</v>
      </c>
      <c r="AF38">
        <v>3</v>
      </c>
      <c r="AG38">
        <v>0</v>
      </c>
      <c r="AH38">
        <v>42</v>
      </c>
      <c r="AI38">
        <v>6</v>
      </c>
      <c r="AJ38">
        <v>44</v>
      </c>
      <c r="AK38">
        <v>101</v>
      </c>
      <c r="AS38" s="87">
        <v>45653</v>
      </c>
      <c r="AT38">
        <v>649</v>
      </c>
      <c r="CA38" s="16" t="s">
        <v>221</v>
      </c>
      <c r="CB38">
        <v>1</v>
      </c>
      <c r="CC38">
        <v>16</v>
      </c>
      <c r="CD38">
        <v>3</v>
      </c>
      <c r="CE38">
        <v>0</v>
      </c>
      <c r="CF38">
        <v>4</v>
      </c>
      <c r="CG38">
        <v>6</v>
      </c>
      <c r="CH38">
        <v>0</v>
      </c>
      <c r="CI38">
        <v>4</v>
      </c>
      <c r="CR38" s="87">
        <v>45653</v>
      </c>
      <c r="CS38">
        <v>128</v>
      </c>
    </row>
    <row r="39" spans="29:97" x14ac:dyDescent="0.35">
      <c r="AC39" s="16" t="s">
        <v>222</v>
      </c>
      <c r="AD39">
        <v>52</v>
      </c>
      <c r="AE39">
        <v>66</v>
      </c>
      <c r="AF39">
        <v>71</v>
      </c>
      <c r="AG39">
        <v>65</v>
      </c>
      <c r="AH39">
        <v>63</v>
      </c>
      <c r="AI39">
        <v>58</v>
      </c>
      <c r="AJ39">
        <v>63</v>
      </c>
      <c r="AK39">
        <v>66</v>
      </c>
      <c r="AS39" s="87">
        <v>45654</v>
      </c>
      <c r="AT39">
        <v>661</v>
      </c>
      <c r="CA39" s="16" t="s">
        <v>222</v>
      </c>
      <c r="CB39">
        <v>8</v>
      </c>
      <c r="CC39">
        <v>0</v>
      </c>
      <c r="CD39">
        <v>0</v>
      </c>
      <c r="CE39">
        <v>0</v>
      </c>
      <c r="CF39">
        <v>0</v>
      </c>
      <c r="CG39">
        <v>8</v>
      </c>
      <c r="CH39">
        <v>0</v>
      </c>
      <c r="CI39">
        <v>0</v>
      </c>
      <c r="CR39" s="87">
        <v>45654</v>
      </c>
      <c r="CS39">
        <v>118</v>
      </c>
    </row>
    <row r="40" spans="29:97" x14ac:dyDescent="0.35">
      <c r="AC40" s="16" t="s">
        <v>223</v>
      </c>
      <c r="AD40">
        <v>0</v>
      </c>
      <c r="AE40">
        <v>0</v>
      </c>
      <c r="AF40">
        <v>0</v>
      </c>
      <c r="AG40">
        <v>0</v>
      </c>
      <c r="AH40">
        <v>0</v>
      </c>
      <c r="AI40">
        <v>0</v>
      </c>
      <c r="AJ40">
        <v>0</v>
      </c>
      <c r="AK40">
        <v>0</v>
      </c>
      <c r="AS40" s="87">
        <v>45655</v>
      </c>
      <c r="AT40">
        <v>697</v>
      </c>
      <c r="CA40" s="16" t="s">
        <v>223</v>
      </c>
      <c r="CB40">
        <v>0</v>
      </c>
      <c r="CC40">
        <v>0</v>
      </c>
      <c r="CD40">
        <v>0</v>
      </c>
      <c r="CE40">
        <v>0</v>
      </c>
      <c r="CF40">
        <v>0</v>
      </c>
      <c r="CG40">
        <v>0</v>
      </c>
      <c r="CH40">
        <v>0</v>
      </c>
      <c r="CI40">
        <v>0</v>
      </c>
      <c r="CR40" s="87">
        <v>45655</v>
      </c>
      <c r="CS40">
        <v>115</v>
      </c>
    </row>
    <row r="41" spans="29:97" x14ac:dyDescent="0.35">
      <c r="AC41" s="16" t="s">
        <v>224</v>
      </c>
      <c r="AD41">
        <v>0</v>
      </c>
      <c r="AE41">
        <v>0</v>
      </c>
      <c r="AF41">
        <v>72</v>
      </c>
      <c r="AG41">
        <v>114</v>
      </c>
      <c r="AH41">
        <v>0</v>
      </c>
      <c r="AI41">
        <v>8</v>
      </c>
      <c r="AJ41">
        <v>0</v>
      </c>
      <c r="AK41">
        <v>86</v>
      </c>
      <c r="AS41" s="87">
        <v>45656</v>
      </c>
      <c r="AT41">
        <v>755</v>
      </c>
      <c r="CA41" s="16" t="s">
        <v>224</v>
      </c>
      <c r="CB41">
        <v>0</v>
      </c>
      <c r="CC41">
        <v>0</v>
      </c>
      <c r="CD41">
        <v>17</v>
      </c>
      <c r="CE41">
        <v>21</v>
      </c>
      <c r="CF41">
        <v>0</v>
      </c>
      <c r="CG41">
        <v>0</v>
      </c>
      <c r="CH41">
        <v>0</v>
      </c>
      <c r="CI41">
        <v>14</v>
      </c>
      <c r="CR41" s="87">
        <v>45656</v>
      </c>
      <c r="CS41">
        <v>755</v>
      </c>
    </row>
    <row r="42" spans="29:97" x14ac:dyDescent="0.35">
      <c r="AC42" s="16" t="s">
        <v>225</v>
      </c>
      <c r="AD42">
        <v>0</v>
      </c>
      <c r="AE42">
        <v>0</v>
      </c>
      <c r="AF42">
        <v>3</v>
      </c>
      <c r="AG42">
        <v>1</v>
      </c>
      <c r="AH42">
        <v>0</v>
      </c>
      <c r="AI42">
        <v>0</v>
      </c>
      <c r="AJ42">
        <v>0</v>
      </c>
      <c r="AK42">
        <v>0</v>
      </c>
      <c r="AS42" s="87">
        <v>45657</v>
      </c>
      <c r="AT42">
        <v>834</v>
      </c>
      <c r="CA42" s="16" t="s">
        <v>225</v>
      </c>
      <c r="CB42">
        <v>0</v>
      </c>
      <c r="CC42">
        <v>0</v>
      </c>
      <c r="CD42">
        <v>3</v>
      </c>
      <c r="CE42">
        <v>1</v>
      </c>
      <c r="CF42">
        <v>0</v>
      </c>
      <c r="CG42">
        <v>0</v>
      </c>
      <c r="CH42">
        <v>0</v>
      </c>
      <c r="CI42">
        <v>0</v>
      </c>
      <c r="CR42" s="87">
        <v>45657</v>
      </c>
      <c r="CS42">
        <v>140</v>
      </c>
    </row>
    <row r="43" spans="29:97" x14ac:dyDescent="0.35">
      <c r="AC43" s="16" t="s">
        <v>226</v>
      </c>
      <c r="AD43">
        <v>580</v>
      </c>
      <c r="AE43">
        <v>436</v>
      </c>
      <c r="AF43">
        <v>317</v>
      </c>
      <c r="AG43">
        <v>239</v>
      </c>
      <c r="AH43">
        <v>264</v>
      </c>
      <c r="AI43">
        <v>368</v>
      </c>
      <c r="AJ43">
        <v>307</v>
      </c>
      <c r="AK43">
        <v>331</v>
      </c>
      <c r="AS43" s="87">
        <v>45658</v>
      </c>
      <c r="AT43">
        <v>806</v>
      </c>
      <c r="CA43" s="16" t="s">
        <v>226</v>
      </c>
      <c r="CB43">
        <v>64</v>
      </c>
      <c r="CC43">
        <v>54</v>
      </c>
      <c r="CD43">
        <v>19</v>
      </c>
      <c r="CE43">
        <v>10</v>
      </c>
      <c r="CF43">
        <v>17</v>
      </c>
      <c r="CG43">
        <v>65</v>
      </c>
      <c r="CH43">
        <v>9</v>
      </c>
      <c r="CI43">
        <v>21</v>
      </c>
      <c r="CR43" s="87">
        <v>45658</v>
      </c>
      <c r="CS43">
        <v>135</v>
      </c>
    </row>
    <row r="44" spans="29:97" x14ac:dyDescent="0.35">
      <c r="AC44" s="16" t="s">
        <v>227</v>
      </c>
      <c r="AD44">
        <v>21</v>
      </c>
      <c r="AE44">
        <v>16</v>
      </c>
      <c r="AF44">
        <v>30</v>
      </c>
      <c r="AG44">
        <v>10</v>
      </c>
      <c r="AH44">
        <v>16</v>
      </c>
      <c r="AI44">
        <v>23</v>
      </c>
      <c r="AJ44">
        <v>27</v>
      </c>
      <c r="AK44">
        <v>23</v>
      </c>
      <c r="AS44" s="87">
        <v>45659</v>
      </c>
      <c r="AT44">
        <v>727</v>
      </c>
      <c r="CA44" s="16" t="s">
        <v>227</v>
      </c>
      <c r="CB44">
        <v>5</v>
      </c>
      <c r="CC44">
        <v>4</v>
      </c>
      <c r="CD44">
        <v>7</v>
      </c>
      <c r="CE44">
        <v>4</v>
      </c>
      <c r="CF44">
        <v>5</v>
      </c>
      <c r="CG44">
        <v>2</v>
      </c>
      <c r="CH44">
        <v>5</v>
      </c>
      <c r="CI44">
        <v>11</v>
      </c>
      <c r="CR44" s="87">
        <v>45659</v>
      </c>
      <c r="CS44">
        <v>101</v>
      </c>
    </row>
    <row r="45" spans="29:97" x14ac:dyDescent="0.35">
      <c r="AC45" s="16" t="s">
        <v>228</v>
      </c>
      <c r="AD45">
        <v>0</v>
      </c>
      <c r="AE45">
        <v>0</v>
      </c>
      <c r="AF45">
        <v>0</v>
      </c>
      <c r="AG45">
        <v>0</v>
      </c>
      <c r="AH45">
        <v>0</v>
      </c>
      <c r="AI45">
        <v>0</v>
      </c>
      <c r="AJ45">
        <v>0</v>
      </c>
      <c r="AK45">
        <v>0</v>
      </c>
      <c r="AS45" s="87">
        <v>45660</v>
      </c>
      <c r="AT45">
        <v>762</v>
      </c>
      <c r="CA45" s="16" t="s">
        <v>228</v>
      </c>
      <c r="CB45">
        <v>0</v>
      </c>
      <c r="CC45">
        <v>0</v>
      </c>
      <c r="CD45">
        <v>0</v>
      </c>
      <c r="CE45">
        <v>0</v>
      </c>
      <c r="CF45">
        <v>0</v>
      </c>
      <c r="CG45">
        <v>0</v>
      </c>
      <c r="CH45">
        <v>0</v>
      </c>
      <c r="CI45">
        <v>0</v>
      </c>
      <c r="CR45" s="87">
        <v>45660</v>
      </c>
      <c r="CS45">
        <v>95</v>
      </c>
    </row>
    <row r="46" spans="29:97" x14ac:dyDescent="0.35">
      <c r="AC46" s="16" t="s">
        <v>229</v>
      </c>
      <c r="AD46">
        <v>45</v>
      </c>
      <c r="AE46">
        <v>8</v>
      </c>
      <c r="AF46">
        <v>10</v>
      </c>
      <c r="AG46">
        <v>9</v>
      </c>
      <c r="AH46">
        <v>6</v>
      </c>
      <c r="AI46">
        <v>0</v>
      </c>
      <c r="AJ46">
        <v>15</v>
      </c>
      <c r="AK46">
        <v>6</v>
      </c>
      <c r="AS46" s="87">
        <v>45661</v>
      </c>
      <c r="AT46">
        <v>688</v>
      </c>
      <c r="CA46" s="16" t="s">
        <v>229</v>
      </c>
      <c r="CB46">
        <v>2</v>
      </c>
      <c r="CC46">
        <v>0</v>
      </c>
      <c r="CD46">
        <v>0</v>
      </c>
      <c r="CE46">
        <v>0</v>
      </c>
      <c r="CF46">
        <v>4</v>
      </c>
      <c r="CG46">
        <v>0</v>
      </c>
      <c r="CH46">
        <v>1</v>
      </c>
      <c r="CI46">
        <v>0</v>
      </c>
      <c r="CR46" s="87">
        <v>45661</v>
      </c>
      <c r="CS46">
        <v>109</v>
      </c>
    </row>
    <row r="47" spans="29:97" x14ac:dyDescent="0.35">
      <c r="AC47" s="16" t="s">
        <v>230</v>
      </c>
      <c r="AD47">
        <v>0</v>
      </c>
      <c r="AE47">
        <v>0</v>
      </c>
      <c r="AF47">
        <v>0</v>
      </c>
      <c r="AG47">
        <v>0</v>
      </c>
      <c r="AH47">
        <v>0</v>
      </c>
      <c r="AI47">
        <v>0</v>
      </c>
      <c r="AJ47">
        <v>0</v>
      </c>
      <c r="AK47">
        <v>0</v>
      </c>
      <c r="AS47" s="87">
        <v>45662</v>
      </c>
      <c r="AT47">
        <v>641</v>
      </c>
      <c r="CA47" s="16" t="s">
        <v>230</v>
      </c>
      <c r="CB47">
        <v>0</v>
      </c>
      <c r="CC47">
        <v>0</v>
      </c>
      <c r="CD47">
        <v>0</v>
      </c>
      <c r="CE47">
        <v>0</v>
      </c>
      <c r="CF47">
        <v>0</v>
      </c>
      <c r="CG47">
        <v>0</v>
      </c>
      <c r="CH47">
        <v>0</v>
      </c>
      <c r="CI47">
        <v>0</v>
      </c>
      <c r="CR47" s="87">
        <v>45662</v>
      </c>
      <c r="CS47">
        <v>123</v>
      </c>
    </row>
    <row r="48" spans="29:97" x14ac:dyDescent="0.35">
      <c r="AC48" s="16" t="s">
        <v>231</v>
      </c>
      <c r="AD48">
        <v>0</v>
      </c>
      <c r="AE48">
        <v>0</v>
      </c>
      <c r="AF48">
        <v>0</v>
      </c>
      <c r="AG48">
        <v>0</v>
      </c>
      <c r="AH48">
        <v>0</v>
      </c>
      <c r="AI48">
        <v>0</v>
      </c>
      <c r="AJ48">
        <v>0</v>
      </c>
      <c r="AK48">
        <v>0</v>
      </c>
      <c r="AS48" s="87">
        <v>45663</v>
      </c>
      <c r="AT48">
        <v>731</v>
      </c>
      <c r="CA48" s="16" t="s">
        <v>231</v>
      </c>
      <c r="CB48">
        <v>0</v>
      </c>
      <c r="CC48">
        <v>0</v>
      </c>
      <c r="CD48">
        <v>0</v>
      </c>
      <c r="CE48">
        <v>0</v>
      </c>
      <c r="CF48">
        <v>0</v>
      </c>
      <c r="CG48">
        <v>0</v>
      </c>
      <c r="CH48">
        <v>0</v>
      </c>
      <c r="CI48">
        <v>0</v>
      </c>
      <c r="CR48" s="87">
        <v>45663</v>
      </c>
      <c r="CS48">
        <v>82</v>
      </c>
    </row>
    <row r="49" spans="29:97" x14ac:dyDescent="0.35">
      <c r="AC49" s="16" t="s">
        <v>232</v>
      </c>
      <c r="AD49">
        <v>27</v>
      </c>
      <c r="AE49">
        <v>141</v>
      </c>
      <c r="AF49">
        <v>0</v>
      </c>
      <c r="AG49">
        <v>0</v>
      </c>
      <c r="AH49">
        <v>0</v>
      </c>
      <c r="AI49">
        <v>0</v>
      </c>
      <c r="AJ49">
        <v>210</v>
      </c>
      <c r="AK49">
        <v>0</v>
      </c>
      <c r="AS49" s="87">
        <v>45664</v>
      </c>
      <c r="AT49">
        <v>713</v>
      </c>
      <c r="CA49" s="16" t="s">
        <v>232</v>
      </c>
      <c r="CB49">
        <v>7</v>
      </c>
      <c r="CC49">
        <v>44</v>
      </c>
      <c r="CD49">
        <v>0</v>
      </c>
      <c r="CE49">
        <v>0</v>
      </c>
      <c r="CF49">
        <v>0</v>
      </c>
      <c r="CG49">
        <v>0</v>
      </c>
      <c r="CH49">
        <v>29</v>
      </c>
      <c r="CI49">
        <v>0</v>
      </c>
      <c r="CR49" s="87">
        <v>45664</v>
      </c>
      <c r="CS49">
        <v>78</v>
      </c>
    </row>
    <row r="50" spans="29:97" x14ac:dyDescent="0.35">
      <c r="AC50" s="16" t="s">
        <v>233</v>
      </c>
      <c r="AD50">
        <v>0</v>
      </c>
      <c r="AE50">
        <v>0</v>
      </c>
      <c r="AF50">
        <v>0</v>
      </c>
      <c r="AG50">
        <v>0</v>
      </c>
      <c r="AH50">
        <v>0</v>
      </c>
      <c r="AI50">
        <v>0</v>
      </c>
      <c r="AJ50">
        <v>0</v>
      </c>
      <c r="AK50">
        <v>0</v>
      </c>
      <c r="AS50" s="87">
        <v>45665</v>
      </c>
      <c r="AT50">
        <v>744</v>
      </c>
      <c r="CA50" s="16" t="s">
        <v>233</v>
      </c>
      <c r="CB50">
        <v>0</v>
      </c>
      <c r="CC50">
        <v>0</v>
      </c>
      <c r="CD50">
        <v>0</v>
      </c>
      <c r="CE50">
        <v>0</v>
      </c>
      <c r="CF50">
        <v>0</v>
      </c>
      <c r="CG50">
        <v>0</v>
      </c>
      <c r="CH50">
        <v>0</v>
      </c>
      <c r="CI50">
        <v>0</v>
      </c>
      <c r="CR50" s="87">
        <v>45665</v>
      </c>
      <c r="CS50">
        <v>90</v>
      </c>
    </row>
    <row r="51" spans="29:97" x14ac:dyDescent="0.35">
      <c r="AC51" s="16" t="s">
        <v>234</v>
      </c>
      <c r="AD51">
        <v>0</v>
      </c>
      <c r="AE51">
        <v>0</v>
      </c>
      <c r="AF51">
        <v>0</v>
      </c>
      <c r="AG51">
        <v>0</v>
      </c>
      <c r="AH51">
        <v>0</v>
      </c>
      <c r="AI51">
        <v>34</v>
      </c>
      <c r="AJ51">
        <v>24</v>
      </c>
      <c r="AK51">
        <v>4</v>
      </c>
      <c r="AS51" s="87">
        <v>45666</v>
      </c>
      <c r="AT51">
        <v>753</v>
      </c>
      <c r="CA51" s="16" t="s">
        <v>234</v>
      </c>
      <c r="CB51">
        <v>0</v>
      </c>
      <c r="CC51">
        <v>0</v>
      </c>
      <c r="CD51">
        <v>0</v>
      </c>
      <c r="CE51">
        <v>0</v>
      </c>
      <c r="CF51">
        <v>0</v>
      </c>
      <c r="CG51">
        <v>13</v>
      </c>
      <c r="CH51">
        <v>8</v>
      </c>
      <c r="CI51">
        <v>1</v>
      </c>
      <c r="CR51" s="87">
        <v>45666</v>
      </c>
      <c r="CS51">
        <v>94</v>
      </c>
    </row>
    <row r="52" spans="29:97" x14ac:dyDescent="0.35">
      <c r="AC52" s="16" t="s">
        <v>235</v>
      </c>
      <c r="AE52">
        <v>12</v>
      </c>
      <c r="AF52">
        <v>12</v>
      </c>
      <c r="AG52">
        <v>30</v>
      </c>
      <c r="AH52">
        <v>12</v>
      </c>
      <c r="AI52">
        <v>0</v>
      </c>
      <c r="AJ52">
        <v>0</v>
      </c>
      <c r="AK52">
        <v>0</v>
      </c>
      <c r="AS52" s="87">
        <v>45667</v>
      </c>
      <c r="AT52">
        <v>737</v>
      </c>
      <c r="CA52" s="16" t="s">
        <v>235</v>
      </c>
      <c r="CC52">
        <v>4</v>
      </c>
      <c r="CD52">
        <v>4</v>
      </c>
      <c r="CE52">
        <v>5</v>
      </c>
      <c r="CF52">
        <v>2</v>
      </c>
      <c r="CG52">
        <v>0</v>
      </c>
      <c r="CH52">
        <v>0</v>
      </c>
      <c r="CI52">
        <v>0</v>
      </c>
      <c r="CR52" s="87">
        <v>45667</v>
      </c>
      <c r="CS52">
        <v>109</v>
      </c>
    </row>
    <row r="53" spans="29:97" x14ac:dyDescent="0.35">
      <c r="AC53" s="16" t="s">
        <v>236</v>
      </c>
      <c r="AD53">
        <v>18</v>
      </c>
      <c r="AS53" s="87">
        <v>45668</v>
      </c>
      <c r="AT53">
        <v>813</v>
      </c>
      <c r="CA53" s="16" t="s">
        <v>236</v>
      </c>
      <c r="CB53">
        <v>6</v>
      </c>
      <c r="CR53" s="87">
        <v>45668</v>
      </c>
      <c r="CS53">
        <v>142</v>
      </c>
    </row>
    <row r="54" spans="29:97" x14ac:dyDescent="0.35">
      <c r="AC54" s="16" t="s">
        <v>237</v>
      </c>
      <c r="AD54">
        <v>0</v>
      </c>
      <c r="AE54">
        <v>0</v>
      </c>
      <c r="AF54">
        <v>0</v>
      </c>
      <c r="AG54">
        <v>0</v>
      </c>
      <c r="AH54">
        <v>0</v>
      </c>
      <c r="AI54">
        <v>0</v>
      </c>
      <c r="AJ54">
        <v>0</v>
      </c>
      <c r="AK54">
        <v>0</v>
      </c>
      <c r="AS54" s="87">
        <v>45669</v>
      </c>
      <c r="AT54">
        <v>778</v>
      </c>
      <c r="CA54" s="16" t="s">
        <v>237</v>
      </c>
      <c r="CB54">
        <v>0</v>
      </c>
      <c r="CC54">
        <v>0</v>
      </c>
      <c r="CD54">
        <v>0</v>
      </c>
      <c r="CE54">
        <v>0</v>
      </c>
      <c r="CF54">
        <v>0</v>
      </c>
      <c r="CG54">
        <v>0</v>
      </c>
      <c r="CH54">
        <v>0</v>
      </c>
      <c r="CI54">
        <v>0</v>
      </c>
      <c r="CR54" s="87">
        <v>45669</v>
      </c>
      <c r="CS54">
        <v>124</v>
      </c>
    </row>
    <row r="55" spans="29:97" x14ac:dyDescent="0.35">
      <c r="AC55" s="16" t="s">
        <v>238</v>
      </c>
      <c r="AD55">
        <v>277</v>
      </c>
      <c r="AE55">
        <v>233</v>
      </c>
      <c r="AF55">
        <v>154</v>
      </c>
      <c r="AG55">
        <v>36</v>
      </c>
      <c r="AH55">
        <v>24</v>
      </c>
      <c r="AI55">
        <v>42</v>
      </c>
      <c r="AJ55">
        <v>22</v>
      </c>
      <c r="AK55">
        <v>12</v>
      </c>
      <c r="AS55" s="87">
        <v>45670</v>
      </c>
      <c r="AT55">
        <v>824</v>
      </c>
      <c r="CA55" s="16" t="s">
        <v>238</v>
      </c>
      <c r="CB55">
        <v>20</v>
      </c>
      <c r="CC55">
        <v>15</v>
      </c>
      <c r="CD55">
        <v>13</v>
      </c>
      <c r="CE55">
        <v>4</v>
      </c>
      <c r="CF55">
        <v>4</v>
      </c>
      <c r="CG55">
        <v>21</v>
      </c>
      <c r="CH55">
        <v>4</v>
      </c>
      <c r="CI55">
        <v>1</v>
      </c>
      <c r="CR55" s="87">
        <v>45670</v>
      </c>
      <c r="CS55">
        <v>124</v>
      </c>
    </row>
    <row r="56" spans="29:97" x14ac:dyDescent="0.35">
      <c r="AC56" s="16" t="s">
        <v>239</v>
      </c>
      <c r="AD56">
        <v>0</v>
      </c>
      <c r="AE56">
        <v>0</v>
      </c>
      <c r="AF56">
        <v>0</v>
      </c>
      <c r="AG56">
        <v>0</v>
      </c>
      <c r="AH56">
        <v>0</v>
      </c>
      <c r="AI56">
        <v>0</v>
      </c>
      <c r="AJ56">
        <v>0</v>
      </c>
      <c r="AK56">
        <v>0</v>
      </c>
      <c r="AS56" s="87">
        <v>45671</v>
      </c>
      <c r="AT56">
        <v>921</v>
      </c>
      <c r="CA56" s="16" t="s">
        <v>239</v>
      </c>
      <c r="CB56">
        <v>0</v>
      </c>
      <c r="CC56">
        <v>0</v>
      </c>
      <c r="CD56">
        <v>0</v>
      </c>
      <c r="CE56">
        <v>0</v>
      </c>
      <c r="CF56">
        <v>0</v>
      </c>
      <c r="CG56">
        <v>0</v>
      </c>
      <c r="CH56">
        <v>0</v>
      </c>
      <c r="CI56">
        <v>0</v>
      </c>
      <c r="CR56" s="87">
        <v>45671</v>
      </c>
      <c r="CS56">
        <v>121</v>
      </c>
    </row>
    <row r="57" spans="29:97" x14ac:dyDescent="0.35">
      <c r="AC57" s="16" t="s">
        <v>240</v>
      </c>
      <c r="AD57">
        <v>0</v>
      </c>
      <c r="AE57">
        <v>0</v>
      </c>
      <c r="AF57">
        <v>0</v>
      </c>
      <c r="AG57">
        <v>0</v>
      </c>
      <c r="AH57">
        <v>0</v>
      </c>
      <c r="AI57">
        <v>0</v>
      </c>
      <c r="AJ57">
        <v>0</v>
      </c>
      <c r="AK57">
        <v>0</v>
      </c>
      <c r="AS57" s="87">
        <v>45672</v>
      </c>
      <c r="AT57">
        <v>946</v>
      </c>
      <c r="CA57" s="16" t="s">
        <v>240</v>
      </c>
      <c r="CB57">
        <v>0</v>
      </c>
      <c r="CC57">
        <v>0</v>
      </c>
      <c r="CD57">
        <v>0</v>
      </c>
      <c r="CE57">
        <v>0</v>
      </c>
      <c r="CF57">
        <v>0</v>
      </c>
      <c r="CG57">
        <v>0</v>
      </c>
      <c r="CH57">
        <v>0</v>
      </c>
      <c r="CI57">
        <v>0</v>
      </c>
      <c r="CR57" s="87">
        <v>45672</v>
      </c>
      <c r="CS57">
        <v>137</v>
      </c>
    </row>
    <row r="58" spans="29:97" x14ac:dyDescent="0.35">
      <c r="AC58" s="16" t="s">
        <v>241</v>
      </c>
      <c r="AD58">
        <v>0</v>
      </c>
      <c r="AE58">
        <v>0</v>
      </c>
      <c r="AF58">
        <v>0</v>
      </c>
      <c r="AG58">
        <v>0</v>
      </c>
      <c r="AH58">
        <v>0</v>
      </c>
      <c r="AI58">
        <v>0</v>
      </c>
      <c r="AJ58">
        <v>0</v>
      </c>
      <c r="AK58">
        <v>0</v>
      </c>
      <c r="AS58" s="87">
        <v>45673</v>
      </c>
      <c r="AT58">
        <v>950</v>
      </c>
      <c r="CA58" s="16" t="s">
        <v>241</v>
      </c>
      <c r="CB58">
        <v>0</v>
      </c>
      <c r="CC58">
        <v>0</v>
      </c>
      <c r="CD58">
        <v>0</v>
      </c>
      <c r="CE58">
        <v>0</v>
      </c>
      <c r="CF58">
        <v>0</v>
      </c>
      <c r="CG58">
        <v>0</v>
      </c>
      <c r="CH58">
        <v>0</v>
      </c>
      <c r="CI58">
        <v>0</v>
      </c>
      <c r="CR58" s="87">
        <v>45673</v>
      </c>
      <c r="CS58">
        <v>154</v>
      </c>
    </row>
    <row r="59" spans="29:97" x14ac:dyDescent="0.35">
      <c r="AC59" s="16" t="s">
        <v>242</v>
      </c>
      <c r="AD59">
        <v>0</v>
      </c>
      <c r="AE59">
        <v>0</v>
      </c>
      <c r="AF59">
        <v>0</v>
      </c>
      <c r="AG59">
        <v>0</v>
      </c>
      <c r="AH59">
        <v>0</v>
      </c>
      <c r="AI59">
        <v>0</v>
      </c>
      <c r="AJ59">
        <v>0</v>
      </c>
      <c r="AK59">
        <v>0</v>
      </c>
      <c r="AS59" s="87">
        <v>45674</v>
      </c>
      <c r="AT59">
        <v>932</v>
      </c>
      <c r="CA59" s="16" t="s">
        <v>242</v>
      </c>
      <c r="CB59">
        <v>0</v>
      </c>
      <c r="CC59">
        <v>0</v>
      </c>
      <c r="CD59">
        <v>0</v>
      </c>
      <c r="CE59">
        <v>0</v>
      </c>
      <c r="CF59">
        <v>0</v>
      </c>
      <c r="CG59">
        <v>0</v>
      </c>
      <c r="CH59">
        <v>0</v>
      </c>
      <c r="CI59">
        <v>0</v>
      </c>
      <c r="CR59" s="87">
        <v>45674</v>
      </c>
      <c r="CS59">
        <v>167</v>
      </c>
    </row>
    <row r="60" spans="29:97" x14ac:dyDescent="0.35">
      <c r="AC60" s="16" t="s">
        <v>243</v>
      </c>
      <c r="AD60">
        <v>0</v>
      </c>
      <c r="AE60">
        <v>0</v>
      </c>
      <c r="AF60">
        <v>0</v>
      </c>
      <c r="AG60">
        <v>5</v>
      </c>
      <c r="AH60">
        <v>6</v>
      </c>
      <c r="AI60">
        <v>18</v>
      </c>
      <c r="AJ60">
        <v>16</v>
      </c>
      <c r="AK60">
        <v>198</v>
      </c>
      <c r="AS60" s="87">
        <v>45675</v>
      </c>
      <c r="AT60">
        <v>964</v>
      </c>
      <c r="CA60" s="16" t="s">
        <v>243</v>
      </c>
      <c r="CB60">
        <v>0</v>
      </c>
      <c r="CC60">
        <v>0</v>
      </c>
      <c r="CD60">
        <v>0</v>
      </c>
      <c r="CE60">
        <v>1</v>
      </c>
      <c r="CF60">
        <v>2</v>
      </c>
      <c r="CG60">
        <v>10</v>
      </c>
      <c r="CH60">
        <v>10</v>
      </c>
      <c r="CI60">
        <v>50</v>
      </c>
      <c r="CR60" s="87">
        <v>45675</v>
      </c>
      <c r="CS60">
        <v>169</v>
      </c>
    </row>
    <row r="61" spans="29:97" x14ac:dyDescent="0.35">
      <c r="AC61" s="16" t="s">
        <v>244</v>
      </c>
      <c r="AD61">
        <v>0</v>
      </c>
      <c r="AE61">
        <v>0</v>
      </c>
      <c r="AF61">
        <v>0</v>
      </c>
      <c r="AG61">
        <v>0</v>
      </c>
      <c r="AH61">
        <v>0</v>
      </c>
      <c r="AI61">
        <v>0</v>
      </c>
      <c r="AJ61">
        <v>0</v>
      </c>
      <c r="AK61">
        <v>0</v>
      </c>
      <c r="AS61" s="87">
        <v>45676</v>
      </c>
      <c r="AT61">
        <v>964</v>
      </c>
      <c r="CA61" s="16" t="s">
        <v>244</v>
      </c>
      <c r="CB61">
        <v>0</v>
      </c>
      <c r="CC61">
        <v>0</v>
      </c>
      <c r="CD61">
        <v>0</v>
      </c>
      <c r="CE61">
        <v>0</v>
      </c>
      <c r="CF61">
        <v>0</v>
      </c>
      <c r="CG61">
        <v>0</v>
      </c>
      <c r="CH61">
        <v>0</v>
      </c>
      <c r="CI61">
        <v>0</v>
      </c>
      <c r="CR61" s="87">
        <v>45676</v>
      </c>
      <c r="CS61">
        <v>144</v>
      </c>
    </row>
    <row r="62" spans="29:97" x14ac:dyDescent="0.35">
      <c r="AC62" s="16" t="s">
        <v>245</v>
      </c>
      <c r="AD62">
        <v>0</v>
      </c>
      <c r="AE62">
        <v>0</v>
      </c>
      <c r="AF62">
        <v>0</v>
      </c>
      <c r="AG62">
        <v>0</v>
      </c>
      <c r="AH62">
        <v>0</v>
      </c>
      <c r="AI62">
        <v>0</v>
      </c>
      <c r="AJ62">
        <v>0</v>
      </c>
      <c r="AK62">
        <v>0</v>
      </c>
      <c r="CA62" s="16" t="s">
        <v>245</v>
      </c>
      <c r="CB62">
        <v>0</v>
      </c>
      <c r="CC62">
        <v>0</v>
      </c>
      <c r="CD62">
        <v>0</v>
      </c>
      <c r="CE62">
        <v>0</v>
      </c>
      <c r="CF62">
        <v>0</v>
      </c>
      <c r="CG62">
        <v>0</v>
      </c>
      <c r="CH62">
        <v>0</v>
      </c>
      <c r="CI62">
        <v>0</v>
      </c>
    </row>
    <row r="63" spans="29:97" x14ac:dyDescent="0.35">
      <c r="AC63" s="16" t="s">
        <v>246</v>
      </c>
      <c r="AD63">
        <v>0</v>
      </c>
      <c r="AE63">
        <v>0</v>
      </c>
      <c r="AF63">
        <v>0</v>
      </c>
      <c r="AG63">
        <v>0</v>
      </c>
      <c r="AH63">
        <v>0</v>
      </c>
      <c r="AI63">
        <v>0</v>
      </c>
      <c r="AJ63">
        <v>0</v>
      </c>
      <c r="AK63">
        <v>0</v>
      </c>
      <c r="CA63" s="16" t="s">
        <v>246</v>
      </c>
      <c r="CB63">
        <v>0</v>
      </c>
      <c r="CC63">
        <v>0</v>
      </c>
      <c r="CD63">
        <v>0</v>
      </c>
      <c r="CE63">
        <v>0</v>
      </c>
      <c r="CF63">
        <v>0</v>
      </c>
      <c r="CG63">
        <v>0</v>
      </c>
      <c r="CH63">
        <v>0</v>
      </c>
      <c r="CI63">
        <v>0</v>
      </c>
    </row>
    <row r="64" spans="29:97" x14ac:dyDescent="0.35">
      <c r="AC64" s="16" t="s">
        <v>247</v>
      </c>
      <c r="AD64">
        <v>361</v>
      </c>
      <c r="AE64">
        <v>186</v>
      </c>
      <c r="AF64">
        <v>6</v>
      </c>
      <c r="AG64">
        <v>107</v>
      </c>
      <c r="AH64">
        <v>149</v>
      </c>
      <c r="AI64">
        <v>491</v>
      </c>
      <c r="AJ64">
        <v>368</v>
      </c>
      <c r="AK64">
        <v>99</v>
      </c>
      <c r="CA64" s="16" t="s">
        <v>247</v>
      </c>
      <c r="CB64">
        <v>63</v>
      </c>
      <c r="CC64">
        <v>37</v>
      </c>
      <c r="CD64">
        <v>0</v>
      </c>
      <c r="CE64">
        <v>21</v>
      </c>
      <c r="CF64">
        <v>51</v>
      </c>
      <c r="CG64">
        <v>156</v>
      </c>
      <c r="CH64">
        <v>113</v>
      </c>
      <c r="CI64">
        <v>25</v>
      </c>
    </row>
    <row r="65" spans="29:87" x14ac:dyDescent="0.35">
      <c r="AC65" s="16" t="s">
        <v>248</v>
      </c>
      <c r="AD65">
        <v>0</v>
      </c>
      <c r="AE65">
        <v>0</v>
      </c>
      <c r="AF65">
        <v>0</v>
      </c>
      <c r="AG65">
        <v>0</v>
      </c>
      <c r="AH65">
        <v>0</v>
      </c>
      <c r="AI65">
        <v>0</v>
      </c>
      <c r="AJ65">
        <v>0</v>
      </c>
      <c r="AK65">
        <v>0</v>
      </c>
      <c r="CA65" s="16" t="s">
        <v>248</v>
      </c>
      <c r="CB65">
        <v>0</v>
      </c>
      <c r="CC65">
        <v>0</v>
      </c>
      <c r="CD65">
        <v>0</v>
      </c>
      <c r="CE65">
        <v>0</v>
      </c>
      <c r="CF65">
        <v>0</v>
      </c>
      <c r="CG65">
        <v>0</v>
      </c>
      <c r="CH65">
        <v>0</v>
      </c>
      <c r="CI65">
        <v>0</v>
      </c>
    </row>
    <row r="66" spans="29:87" x14ac:dyDescent="0.35">
      <c r="AC66" s="16" t="s">
        <v>249</v>
      </c>
      <c r="AD66">
        <v>242</v>
      </c>
      <c r="AE66">
        <v>232</v>
      </c>
      <c r="AF66">
        <v>72</v>
      </c>
      <c r="AG66">
        <v>172</v>
      </c>
      <c r="AH66">
        <v>146</v>
      </c>
      <c r="AI66">
        <v>116</v>
      </c>
      <c r="AJ66">
        <v>144</v>
      </c>
      <c r="AK66">
        <v>156</v>
      </c>
      <c r="CA66" s="16" t="s">
        <v>249</v>
      </c>
      <c r="CB66">
        <v>21</v>
      </c>
      <c r="CC66">
        <v>37</v>
      </c>
      <c r="CD66">
        <v>11</v>
      </c>
      <c r="CE66">
        <v>14</v>
      </c>
      <c r="CF66">
        <v>32</v>
      </c>
      <c r="CG66">
        <v>42</v>
      </c>
      <c r="CH66">
        <v>27</v>
      </c>
      <c r="CI66">
        <v>29</v>
      </c>
    </row>
    <row r="67" spans="29:87" x14ac:dyDescent="0.35">
      <c r="AC67" s="16" t="s">
        <v>250</v>
      </c>
      <c r="AD67">
        <v>90</v>
      </c>
      <c r="AE67">
        <v>539</v>
      </c>
      <c r="AF67">
        <v>1342</v>
      </c>
      <c r="AG67">
        <v>790</v>
      </c>
      <c r="AH67">
        <v>322</v>
      </c>
      <c r="AI67">
        <v>166</v>
      </c>
      <c r="AJ67">
        <v>0</v>
      </c>
      <c r="AK67">
        <v>12</v>
      </c>
      <c r="CA67" s="16" t="s">
        <v>250</v>
      </c>
      <c r="CB67">
        <v>15</v>
      </c>
      <c r="CC67">
        <v>101</v>
      </c>
      <c r="CD67">
        <v>260</v>
      </c>
      <c r="CE67">
        <v>133</v>
      </c>
      <c r="CF67">
        <v>62</v>
      </c>
      <c r="CG67">
        <v>69</v>
      </c>
      <c r="CH67">
        <v>0</v>
      </c>
      <c r="CI67">
        <v>0</v>
      </c>
    </row>
    <row r="68" spans="29:87" x14ac:dyDescent="0.35">
      <c r="AC68" s="16" t="s">
        <v>251</v>
      </c>
      <c r="AD68">
        <v>0</v>
      </c>
      <c r="AE68">
        <v>0</v>
      </c>
      <c r="AF68">
        <v>0</v>
      </c>
      <c r="AG68">
        <v>0</v>
      </c>
      <c r="AH68">
        <v>0</v>
      </c>
      <c r="AI68">
        <v>0</v>
      </c>
      <c r="AJ68">
        <v>0</v>
      </c>
      <c r="AK68">
        <v>0</v>
      </c>
      <c r="CA68" s="16" t="s">
        <v>251</v>
      </c>
      <c r="CB68">
        <v>0</v>
      </c>
      <c r="CC68">
        <v>0</v>
      </c>
      <c r="CD68">
        <v>0</v>
      </c>
      <c r="CE68">
        <v>0</v>
      </c>
      <c r="CF68">
        <v>0</v>
      </c>
      <c r="CG68">
        <v>0</v>
      </c>
      <c r="CH68">
        <v>0</v>
      </c>
      <c r="CI68">
        <v>0</v>
      </c>
    </row>
    <row r="69" spans="29:87" x14ac:dyDescent="0.35">
      <c r="AC69" s="16" t="s">
        <v>252</v>
      </c>
      <c r="AD69">
        <v>0</v>
      </c>
      <c r="AE69">
        <v>0</v>
      </c>
      <c r="AF69">
        <v>0</v>
      </c>
      <c r="AG69">
        <v>0</v>
      </c>
      <c r="AH69">
        <v>0</v>
      </c>
      <c r="AI69">
        <v>0</v>
      </c>
      <c r="AJ69">
        <v>0</v>
      </c>
      <c r="AK69">
        <v>0</v>
      </c>
      <c r="CA69" s="16" t="s">
        <v>252</v>
      </c>
      <c r="CB69">
        <v>0</v>
      </c>
      <c r="CC69">
        <v>0</v>
      </c>
      <c r="CD69">
        <v>0</v>
      </c>
      <c r="CE69">
        <v>0</v>
      </c>
      <c r="CF69">
        <v>0</v>
      </c>
      <c r="CG69">
        <v>0</v>
      </c>
      <c r="CH69">
        <v>0</v>
      </c>
      <c r="CI69">
        <v>0</v>
      </c>
    </row>
    <row r="70" spans="29:87" x14ac:dyDescent="0.35">
      <c r="AC70" s="16" t="s">
        <v>253</v>
      </c>
      <c r="AD70">
        <v>0</v>
      </c>
      <c r="AE70">
        <v>1</v>
      </c>
      <c r="AF70">
        <v>4</v>
      </c>
      <c r="AG70">
        <v>0</v>
      </c>
      <c r="AH70">
        <v>12</v>
      </c>
      <c r="AI70">
        <v>17</v>
      </c>
      <c r="AJ70">
        <v>6</v>
      </c>
      <c r="AK70">
        <v>5</v>
      </c>
      <c r="CA70" s="16" t="s">
        <v>253</v>
      </c>
      <c r="CB70">
        <v>0</v>
      </c>
      <c r="CC70">
        <v>1</v>
      </c>
      <c r="CD70">
        <v>4</v>
      </c>
      <c r="CE70">
        <v>0</v>
      </c>
      <c r="CF70">
        <v>12</v>
      </c>
      <c r="CG70">
        <v>17</v>
      </c>
      <c r="CH70">
        <v>6</v>
      </c>
      <c r="CI70">
        <v>5</v>
      </c>
    </row>
    <row r="71" spans="29:87" x14ac:dyDescent="0.35">
      <c r="AC71" s="16" t="s">
        <v>254</v>
      </c>
      <c r="AD71">
        <v>0</v>
      </c>
      <c r="AE71">
        <v>0</v>
      </c>
      <c r="AF71">
        <v>0</v>
      </c>
      <c r="AG71">
        <v>0</v>
      </c>
      <c r="AH71">
        <v>0</v>
      </c>
      <c r="AI71">
        <v>0</v>
      </c>
      <c r="AJ71">
        <v>0</v>
      </c>
      <c r="AK71">
        <v>5</v>
      </c>
      <c r="CA71" s="16" t="s">
        <v>254</v>
      </c>
      <c r="CB71">
        <v>0</v>
      </c>
      <c r="CC71">
        <v>0</v>
      </c>
      <c r="CD71">
        <v>0</v>
      </c>
      <c r="CE71">
        <v>0</v>
      </c>
      <c r="CF71">
        <v>0</v>
      </c>
      <c r="CG71">
        <v>0</v>
      </c>
      <c r="CH71">
        <v>0</v>
      </c>
      <c r="CI71">
        <v>2</v>
      </c>
    </row>
    <row r="72" spans="29:87" x14ac:dyDescent="0.35">
      <c r="AC72" s="16" t="s">
        <v>255</v>
      </c>
      <c r="AD72">
        <v>83</v>
      </c>
      <c r="AE72">
        <v>325</v>
      </c>
      <c r="AF72">
        <v>430</v>
      </c>
      <c r="AG72">
        <v>198</v>
      </c>
      <c r="AH72">
        <v>164</v>
      </c>
      <c r="AI72">
        <v>62</v>
      </c>
      <c r="AJ72">
        <v>0</v>
      </c>
      <c r="AK72">
        <v>0</v>
      </c>
      <c r="CA72" s="16" t="s">
        <v>255</v>
      </c>
      <c r="CB72">
        <v>8</v>
      </c>
      <c r="CC72">
        <v>19</v>
      </c>
      <c r="CD72">
        <v>35</v>
      </c>
      <c r="CE72">
        <v>24</v>
      </c>
      <c r="CF72">
        <v>24</v>
      </c>
      <c r="CG72">
        <v>22</v>
      </c>
      <c r="CH72">
        <v>0</v>
      </c>
      <c r="CI72">
        <v>0</v>
      </c>
    </row>
    <row r="73" spans="29:87" x14ac:dyDescent="0.35">
      <c r="AC73" s="16" t="s">
        <v>256</v>
      </c>
      <c r="AD73">
        <v>0</v>
      </c>
      <c r="AE73">
        <v>0</v>
      </c>
      <c r="AF73">
        <v>0</v>
      </c>
      <c r="AG73">
        <v>0</v>
      </c>
      <c r="AH73">
        <v>0</v>
      </c>
      <c r="CA73" s="16" t="s">
        <v>256</v>
      </c>
      <c r="CB73">
        <v>0</v>
      </c>
      <c r="CC73">
        <v>0</v>
      </c>
      <c r="CD73">
        <v>0</v>
      </c>
      <c r="CE73">
        <v>0</v>
      </c>
      <c r="CF73">
        <v>0</v>
      </c>
    </row>
    <row r="74" spans="29:87" x14ac:dyDescent="0.35">
      <c r="AC74" s="16" t="s">
        <v>257</v>
      </c>
      <c r="AD74">
        <v>0</v>
      </c>
      <c r="AE74">
        <v>95</v>
      </c>
      <c r="AF74">
        <v>79</v>
      </c>
      <c r="AG74">
        <v>12</v>
      </c>
      <c r="AH74">
        <v>4</v>
      </c>
      <c r="AI74">
        <v>0</v>
      </c>
      <c r="AJ74">
        <v>0</v>
      </c>
      <c r="AK74">
        <v>0</v>
      </c>
      <c r="CA74" s="16" t="s">
        <v>257</v>
      </c>
      <c r="CB74">
        <v>0</v>
      </c>
      <c r="CC74">
        <v>24</v>
      </c>
      <c r="CD74">
        <v>31</v>
      </c>
      <c r="CE74">
        <v>3</v>
      </c>
      <c r="CF74">
        <v>0</v>
      </c>
      <c r="CG74">
        <v>0</v>
      </c>
      <c r="CH74">
        <v>0</v>
      </c>
      <c r="CI74">
        <v>0</v>
      </c>
    </row>
    <row r="75" spans="29:87" x14ac:dyDescent="0.35">
      <c r="AC75" s="16" t="s">
        <v>258</v>
      </c>
      <c r="AD75">
        <v>0</v>
      </c>
      <c r="AE75">
        <v>210</v>
      </c>
      <c r="AF75">
        <v>40</v>
      </c>
      <c r="AG75">
        <v>0</v>
      </c>
      <c r="AH75">
        <v>0</v>
      </c>
      <c r="AI75">
        <v>0</v>
      </c>
      <c r="AJ75">
        <v>6</v>
      </c>
      <c r="AK75">
        <v>0</v>
      </c>
      <c r="CA75" s="16" t="s">
        <v>258</v>
      </c>
      <c r="CB75">
        <v>0</v>
      </c>
      <c r="CC75">
        <v>12</v>
      </c>
      <c r="CD75">
        <v>7</v>
      </c>
      <c r="CE75">
        <v>0</v>
      </c>
      <c r="CF75">
        <v>0</v>
      </c>
      <c r="CG75">
        <v>0</v>
      </c>
      <c r="CH75">
        <v>3</v>
      </c>
      <c r="CI75">
        <v>0</v>
      </c>
    </row>
    <row r="76" spans="29:87" x14ac:dyDescent="0.35">
      <c r="AC76" s="16" t="s">
        <v>259</v>
      </c>
      <c r="AD76">
        <v>0</v>
      </c>
      <c r="AE76">
        <v>0</v>
      </c>
      <c r="AF76">
        <v>0</v>
      </c>
      <c r="AG76">
        <v>0</v>
      </c>
      <c r="AH76">
        <v>0</v>
      </c>
      <c r="AI76">
        <v>0</v>
      </c>
      <c r="AJ76">
        <v>0</v>
      </c>
      <c r="AK76">
        <v>0</v>
      </c>
      <c r="CA76" s="16" t="s">
        <v>259</v>
      </c>
      <c r="CB76">
        <v>0</v>
      </c>
      <c r="CC76">
        <v>0</v>
      </c>
      <c r="CD76">
        <v>0</v>
      </c>
      <c r="CE76">
        <v>0</v>
      </c>
      <c r="CF76">
        <v>0</v>
      </c>
      <c r="CG76">
        <v>0</v>
      </c>
      <c r="CH76">
        <v>0</v>
      </c>
      <c r="CI76">
        <v>0</v>
      </c>
    </row>
    <row r="77" spans="29:87" x14ac:dyDescent="0.35">
      <c r="AC77" s="16" t="s">
        <v>260</v>
      </c>
      <c r="AD77">
        <v>0</v>
      </c>
      <c r="AE77">
        <v>0</v>
      </c>
      <c r="AF77">
        <v>0</v>
      </c>
      <c r="AG77">
        <v>0</v>
      </c>
      <c r="AH77">
        <v>0</v>
      </c>
      <c r="AI77">
        <v>0</v>
      </c>
      <c r="AJ77">
        <v>0</v>
      </c>
      <c r="AK77">
        <v>0</v>
      </c>
      <c r="CA77" s="16" t="s">
        <v>260</v>
      </c>
      <c r="CB77">
        <v>0</v>
      </c>
      <c r="CC77">
        <v>0</v>
      </c>
      <c r="CD77">
        <v>0</v>
      </c>
      <c r="CE77">
        <v>0</v>
      </c>
      <c r="CF77">
        <v>0</v>
      </c>
      <c r="CG77">
        <v>0</v>
      </c>
      <c r="CH77">
        <v>0</v>
      </c>
      <c r="CI77">
        <v>0</v>
      </c>
    </row>
    <row r="78" spans="29:87" x14ac:dyDescent="0.35">
      <c r="AC78" s="16" t="s">
        <v>261</v>
      </c>
      <c r="AD78">
        <v>0</v>
      </c>
      <c r="AE78">
        <v>0</v>
      </c>
      <c r="AF78">
        <v>0</v>
      </c>
      <c r="AG78">
        <v>1</v>
      </c>
      <c r="AH78">
        <v>0</v>
      </c>
      <c r="AI78">
        <v>16</v>
      </c>
      <c r="AJ78">
        <v>2</v>
      </c>
      <c r="AK78">
        <v>0</v>
      </c>
      <c r="CA78" s="16" t="s">
        <v>261</v>
      </c>
      <c r="CB78">
        <v>0</v>
      </c>
      <c r="CC78">
        <v>0</v>
      </c>
      <c r="CD78">
        <v>0</v>
      </c>
      <c r="CE78">
        <v>1</v>
      </c>
      <c r="CF78">
        <v>0</v>
      </c>
      <c r="CG78">
        <v>16</v>
      </c>
      <c r="CH78">
        <v>2</v>
      </c>
      <c r="CI78">
        <v>0</v>
      </c>
    </row>
    <row r="79" spans="29:87" x14ac:dyDescent="0.35">
      <c r="AC79" s="16" t="s">
        <v>262</v>
      </c>
      <c r="AD79">
        <v>2</v>
      </c>
      <c r="AE79">
        <v>4</v>
      </c>
      <c r="AF79">
        <v>0</v>
      </c>
      <c r="AG79">
        <v>0</v>
      </c>
      <c r="AH79">
        <v>0</v>
      </c>
      <c r="AI79">
        <v>9</v>
      </c>
      <c r="AJ79">
        <v>3</v>
      </c>
      <c r="AK79">
        <v>4</v>
      </c>
      <c r="CA79" s="16" t="s">
        <v>262</v>
      </c>
      <c r="CB79">
        <v>2</v>
      </c>
      <c r="CC79">
        <v>4</v>
      </c>
      <c r="CD79">
        <v>0</v>
      </c>
      <c r="CE79">
        <v>0</v>
      </c>
      <c r="CF79">
        <v>0</v>
      </c>
      <c r="CG79">
        <v>9</v>
      </c>
      <c r="CH79">
        <v>3</v>
      </c>
      <c r="CI79">
        <v>4</v>
      </c>
    </row>
    <row r="80" spans="29:87" x14ac:dyDescent="0.35">
      <c r="AC80" s="16" t="s">
        <v>263</v>
      </c>
      <c r="AD80">
        <v>570</v>
      </c>
      <c r="AE80">
        <v>663</v>
      </c>
      <c r="AF80">
        <v>166</v>
      </c>
      <c r="AG80">
        <v>470</v>
      </c>
      <c r="AH80">
        <v>84</v>
      </c>
      <c r="AI80">
        <v>54</v>
      </c>
      <c r="AJ80">
        <v>172</v>
      </c>
      <c r="AK80">
        <v>250</v>
      </c>
      <c r="CA80" s="16" t="s">
        <v>263</v>
      </c>
      <c r="CB80">
        <v>86</v>
      </c>
      <c r="CC80">
        <v>147</v>
      </c>
      <c r="CD80">
        <v>39</v>
      </c>
      <c r="CE80">
        <v>63</v>
      </c>
      <c r="CF80">
        <v>19</v>
      </c>
      <c r="CG80">
        <v>7</v>
      </c>
      <c r="CH80">
        <v>3</v>
      </c>
      <c r="CI80">
        <v>33</v>
      </c>
    </row>
    <row r="81" spans="29:87" x14ac:dyDescent="0.35">
      <c r="AC81" s="16" t="s">
        <v>264</v>
      </c>
      <c r="AD81">
        <v>0</v>
      </c>
      <c r="AE81">
        <v>0</v>
      </c>
      <c r="AF81">
        <v>0</v>
      </c>
      <c r="AG81">
        <v>0</v>
      </c>
      <c r="AH81">
        <v>0</v>
      </c>
      <c r="AI81">
        <v>0</v>
      </c>
      <c r="AJ81">
        <v>0</v>
      </c>
      <c r="AK81">
        <v>0</v>
      </c>
      <c r="CA81" s="16" t="s">
        <v>264</v>
      </c>
      <c r="CB81">
        <v>0</v>
      </c>
      <c r="CC81">
        <v>0</v>
      </c>
      <c r="CD81">
        <v>0</v>
      </c>
      <c r="CE81">
        <v>0</v>
      </c>
      <c r="CF81">
        <v>0</v>
      </c>
      <c r="CG81">
        <v>0</v>
      </c>
      <c r="CH81">
        <v>0</v>
      </c>
      <c r="CI81">
        <v>0</v>
      </c>
    </row>
    <row r="82" spans="29:87" x14ac:dyDescent="0.35">
      <c r="AC82" s="16" t="s">
        <v>265</v>
      </c>
      <c r="AD82">
        <v>48</v>
      </c>
      <c r="AE82">
        <v>74</v>
      </c>
      <c r="AF82">
        <v>31</v>
      </c>
      <c r="AG82">
        <v>0</v>
      </c>
      <c r="AH82">
        <v>27</v>
      </c>
      <c r="AI82">
        <v>103</v>
      </c>
      <c r="AJ82">
        <v>96</v>
      </c>
      <c r="AK82">
        <v>174</v>
      </c>
      <c r="CA82" s="16" t="s">
        <v>265</v>
      </c>
      <c r="CB82">
        <v>8</v>
      </c>
      <c r="CC82">
        <v>32</v>
      </c>
      <c r="CD82">
        <v>12</v>
      </c>
      <c r="CE82">
        <v>0</v>
      </c>
      <c r="CF82">
        <v>15</v>
      </c>
      <c r="CG82">
        <v>22</v>
      </c>
      <c r="CH82">
        <v>20</v>
      </c>
      <c r="CI82">
        <v>35</v>
      </c>
    </row>
    <row r="83" spans="29:87" x14ac:dyDescent="0.35">
      <c r="AC83" s="16" t="s">
        <v>266</v>
      </c>
      <c r="AD83">
        <v>0</v>
      </c>
      <c r="AE83">
        <v>0</v>
      </c>
      <c r="AF83">
        <v>0</v>
      </c>
      <c r="AG83">
        <v>0</v>
      </c>
      <c r="AH83">
        <v>0</v>
      </c>
      <c r="AI83">
        <v>0</v>
      </c>
      <c r="AJ83">
        <v>0</v>
      </c>
      <c r="AK83">
        <v>0</v>
      </c>
      <c r="CA83" s="16" t="s">
        <v>266</v>
      </c>
      <c r="CB83">
        <v>0</v>
      </c>
      <c r="CC83">
        <v>0</v>
      </c>
      <c r="CD83">
        <v>0</v>
      </c>
      <c r="CE83">
        <v>0</v>
      </c>
      <c r="CF83">
        <v>0</v>
      </c>
      <c r="CG83">
        <v>0</v>
      </c>
      <c r="CH83">
        <v>0</v>
      </c>
      <c r="CI83">
        <v>0</v>
      </c>
    </row>
    <row r="84" spans="29:87" x14ac:dyDescent="0.35">
      <c r="AC84" s="16" t="s">
        <v>267</v>
      </c>
      <c r="AD84">
        <v>203</v>
      </c>
      <c r="AE84">
        <v>47</v>
      </c>
      <c r="AF84">
        <v>6</v>
      </c>
      <c r="AG84">
        <v>12</v>
      </c>
      <c r="AH84">
        <v>62</v>
      </c>
      <c r="AI84">
        <v>101</v>
      </c>
      <c r="AJ84">
        <v>199</v>
      </c>
      <c r="AK84">
        <v>30</v>
      </c>
      <c r="CA84" s="16" t="s">
        <v>267</v>
      </c>
      <c r="CB84">
        <v>80</v>
      </c>
      <c r="CC84">
        <v>24</v>
      </c>
      <c r="CD84">
        <v>0</v>
      </c>
      <c r="CE84">
        <v>4</v>
      </c>
      <c r="CF84">
        <v>4</v>
      </c>
      <c r="CG84">
        <v>36</v>
      </c>
      <c r="CH84">
        <v>26</v>
      </c>
      <c r="CI84">
        <v>8</v>
      </c>
    </row>
    <row r="85" spans="29:87" x14ac:dyDescent="0.35">
      <c r="AC85" s="16" t="s">
        <v>268</v>
      </c>
      <c r="AD85">
        <v>0</v>
      </c>
      <c r="AE85">
        <v>0</v>
      </c>
      <c r="AF85">
        <v>151</v>
      </c>
      <c r="AG85">
        <v>517</v>
      </c>
      <c r="AH85">
        <v>250</v>
      </c>
      <c r="AI85">
        <v>95</v>
      </c>
      <c r="AJ85">
        <v>4</v>
      </c>
      <c r="AK85">
        <v>6</v>
      </c>
      <c r="CA85" s="16" t="s">
        <v>268</v>
      </c>
      <c r="CB85">
        <v>0</v>
      </c>
      <c r="CC85">
        <v>0</v>
      </c>
      <c r="CD85">
        <v>9</v>
      </c>
      <c r="CE85">
        <v>103</v>
      </c>
      <c r="CF85">
        <v>44</v>
      </c>
      <c r="CG85">
        <v>30</v>
      </c>
      <c r="CH85">
        <v>0</v>
      </c>
      <c r="CI85">
        <v>0</v>
      </c>
    </row>
    <row r="86" spans="29:87" x14ac:dyDescent="0.35">
      <c r="AC86" s="16" t="s">
        <v>269</v>
      </c>
      <c r="AD86">
        <v>4</v>
      </c>
      <c r="AE86">
        <v>0</v>
      </c>
      <c r="AF86">
        <v>14</v>
      </c>
      <c r="AG86">
        <v>55</v>
      </c>
      <c r="AH86">
        <v>70</v>
      </c>
      <c r="AI86">
        <v>24</v>
      </c>
      <c r="AJ86">
        <v>18</v>
      </c>
      <c r="AK86">
        <v>12</v>
      </c>
      <c r="CA86" s="16" t="s">
        <v>269</v>
      </c>
      <c r="CB86">
        <v>0</v>
      </c>
      <c r="CC86">
        <v>0</v>
      </c>
      <c r="CD86">
        <v>0</v>
      </c>
      <c r="CE86">
        <v>35</v>
      </c>
      <c r="CF86">
        <v>62</v>
      </c>
      <c r="CG86">
        <v>15</v>
      </c>
      <c r="CH86">
        <v>8</v>
      </c>
      <c r="CI86">
        <v>6</v>
      </c>
    </row>
    <row r="87" spans="29:87" x14ac:dyDescent="0.35">
      <c r="AC87" s="16" t="s">
        <v>270</v>
      </c>
      <c r="AD87">
        <v>248</v>
      </c>
      <c r="AE87">
        <v>151</v>
      </c>
      <c r="AF87">
        <v>94</v>
      </c>
      <c r="AG87">
        <v>286</v>
      </c>
      <c r="AH87">
        <v>303</v>
      </c>
      <c r="AI87">
        <v>100</v>
      </c>
      <c r="AJ87">
        <v>104</v>
      </c>
      <c r="AK87">
        <v>72</v>
      </c>
      <c r="CA87" s="16" t="s">
        <v>270</v>
      </c>
      <c r="CB87">
        <v>54</v>
      </c>
      <c r="CC87">
        <v>18</v>
      </c>
      <c r="CD87">
        <v>9</v>
      </c>
      <c r="CE87">
        <v>44</v>
      </c>
      <c r="CF87">
        <v>71</v>
      </c>
      <c r="CG87">
        <v>19</v>
      </c>
      <c r="CH87">
        <v>8</v>
      </c>
      <c r="CI87">
        <v>6</v>
      </c>
    </row>
    <row r="88" spans="29:87" x14ac:dyDescent="0.35">
      <c r="AC88" s="16" t="s">
        <v>271</v>
      </c>
      <c r="AD88">
        <v>0</v>
      </c>
      <c r="AE88">
        <v>0</v>
      </c>
      <c r="AF88">
        <v>0</v>
      </c>
      <c r="AG88">
        <v>0</v>
      </c>
      <c r="AH88">
        <v>0</v>
      </c>
      <c r="AI88">
        <v>0</v>
      </c>
      <c r="AJ88">
        <v>0</v>
      </c>
      <c r="AK88">
        <v>0</v>
      </c>
      <c r="CA88" s="16" t="s">
        <v>271</v>
      </c>
      <c r="CB88">
        <v>0</v>
      </c>
      <c r="CC88">
        <v>0</v>
      </c>
      <c r="CD88">
        <v>0</v>
      </c>
      <c r="CE88">
        <v>0</v>
      </c>
      <c r="CF88">
        <v>0</v>
      </c>
      <c r="CG88">
        <v>0</v>
      </c>
      <c r="CH88">
        <v>0</v>
      </c>
      <c r="CI88">
        <v>0</v>
      </c>
    </row>
    <row r="89" spans="29:87" x14ac:dyDescent="0.35">
      <c r="AC89" s="16" t="s">
        <v>272</v>
      </c>
      <c r="AD89">
        <v>0</v>
      </c>
      <c r="AE89">
        <v>0</v>
      </c>
      <c r="AF89">
        <v>0</v>
      </c>
      <c r="AG89">
        <v>0</v>
      </c>
      <c r="AH89">
        <v>0</v>
      </c>
      <c r="AI89">
        <v>0</v>
      </c>
      <c r="AJ89">
        <v>0</v>
      </c>
      <c r="AK89">
        <v>0</v>
      </c>
      <c r="CA89" s="16" t="s">
        <v>272</v>
      </c>
      <c r="CB89">
        <v>0</v>
      </c>
      <c r="CC89">
        <v>0</v>
      </c>
      <c r="CD89">
        <v>0</v>
      </c>
      <c r="CE89">
        <v>0</v>
      </c>
      <c r="CF89">
        <v>0</v>
      </c>
      <c r="CG89">
        <v>0</v>
      </c>
      <c r="CH89">
        <v>0</v>
      </c>
      <c r="CI89">
        <v>0</v>
      </c>
    </row>
    <row r="90" spans="29:87" x14ac:dyDescent="0.35">
      <c r="AC90" s="16" t="s">
        <v>273</v>
      </c>
      <c r="AD90">
        <v>0</v>
      </c>
      <c r="AE90">
        <v>0</v>
      </c>
      <c r="AF90">
        <v>0</v>
      </c>
      <c r="AG90">
        <v>0</v>
      </c>
      <c r="AH90">
        <v>0</v>
      </c>
      <c r="AI90">
        <v>0</v>
      </c>
      <c r="AJ90">
        <v>0</v>
      </c>
      <c r="AK90">
        <v>0</v>
      </c>
      <c r="CA90" s="16" t="s">
        <v>273</v>
      </c>
      <c r="CB90">
        <v>0</v>
      </c>
      <c r="CC90">
        <v>0</v>
      </c>
      <c r="CD90">
        <v>0</v>
      </c>
      <c r="CE90">
        <v>0</v>
      </c>
      <c r="CF90">
        <v>0</v>
      </c>
      <c r="CG90">
        <v>0</v>
      </c>
      <c r="CH90">
        <v>0</v>
      </c>
      <c r="CI90">
        <v>0</v>
      </c>
    </row>
    <row r="91" spans="29:87" x14ac:dyDescent="0.35">
      <c r="AC91" s="16" t="s">
        <v>274</v>
      </c>
      <c r="AD91">
        <v>40</v>
      </c>
      <c r="AE91">
        <v>28</v>
      </c>
      <c r="AF91">
        <v>18</v>
      </c>
      <c r="AG91">
        <v>72</v>
      </c>
      <c r="AH91">
        <v>155</v>
      </c>
      <c r="AI91">
        <v>182</v>
      </c>
      <c r="AJ91">
        <v>87</v>
      </c>
      <c r="AK91">
        <v>348</v>
      </c>
      <c r="CA91" s="16" t="s">
        <v>274</v>
      </c>
      <c r="CB91">
        <v>4</v>
      </c>
      <c r="CC91">
        <v>0</v>
      </c>
      <c r="CD91">
        <v>2</v>
      </c>
      <c r="CE91">
        <v>10</v>
      </c>
      <c r="CF91">
        <v>14</v>
      </c>
      <c r="CG91">
        <v>56</v>
      </c>
      <c r="CH91">
        <v>10</v>
      </c>
      <c r="CI91">
        <v>29</v>
      </c>
    </row>
    <row r="92" spans="29:87" x14ac:dyDescent="0.35">
      <c r="AC92" s="16" t="s">
        <v>275</v>
      </c>
      <c r="AD92">
        <v>0</v>
      </c>
      <c r="AE92">
        <v>14</v>
      </c>
      <c r="AF92">
        <v>44</v>
      </c>
      <c r="AG92">
        <v>143</v>
      </c>
      <c r="AH92">
        <v>15</v>
      </c>
      <c r="AI92">
        <v>0</v>
      </c>
      <c r="AJ92">
        <v>16</v>
      </c>
      <c r="AK92">
        <v>12</v>
      </c>
      <c r="CA92" s="16" t="s">
        <v>275</v>
      </c>
      <c r="CB92">
        <v>0</v>
      </c>
      <c r="CC92">
        <v>1</v>
      </c>
      <c r="CD92">
        <v>5</v>
      </c>
      <c r="CE92">
        <v>35</v>
      </c>
      <c r="CF92">
        <v>3</v>
      </c>
      <c r="CG92">
        <v>0</v>
      </c>
      <c r="CH92">
        <v>5</v>
      </c>
      <c r="CI92">
        <v>2</v>
      </c>
    </row>
    <row r="93" spans="29:87" x14ac:dyDescent="0.35">
      <c r="AC93" s="16" t="s">
        <v>276</v>
      </c>
      <c r="AD93">
        <v>0</v>
      </c>
      <c r="AE93">
        <v>0</v>
      </c>
      <c r="AF93">
        <v>10</v>
      </c>
      <c r="AG93">
        <v>0</v>
      </c>
      <c r="AH93">
        <v>0</v>
      </c>
      <c r="AI93">
        <v>0</v>
      </c>
      <c r="AJ93">
        <v>0</v>
      </c>
      <c r="AK93">
        <v>0</v>
      </c>
      <c r="CA93" s="16" t="s">
        <v>276</v>
      </c>
      <c r="CB93">
        <v>0</v>
      </c>
      <c r="CC93">
        <v>0</v>
      </c>
      <c r="CD93">
        <v>0</v>
      </c>
      <c r="CE93">
        <v>0</v>
      </c>
      <c r="CF93">
        <v>0</v>
      </c>
      <c r="CG93">
        <v>0</v>
      </c>
      <c r="CH93">
        <v>0</v>
      </c>
      <c r="CI93">
        <v>0</v>
      </c>
    </row>
    <row r="94" spans="29:87" x14ac:dyDescent="0.35">
      <c r="AC94" s="16" t="s">
        <v>277</v>
      </c>
      <c r="AD94">
        <v>0</v>
      </c>
      <c r="AE94">
        <v>0</v>
      </c>
      <c r="AF94">
        <v>0</v>
      </c>
      <c r="AG94">
        <v>0</v>
      </c>
      <c r="AH94">
        <v>0</v>
      </c>
      <c r="AI94">
        <v>0</v>
      </c>
      <c r="AJ94">
        <v>0</v>
      </c>
      <c r="AK94">
        <v>0</v>
      </c>
      <c r="CA94" s="16" t="s">
        <v>277</v>
      </c>
      <c r="CB94">
        <v>0</v>
      </c>
      <c r="CC94">
        <v>0</v>
      </c>
      <c r="CD94">
        <v>0</v>
      </c>
      <c r="CE94">
        <v>0</v>
      </c>
      <c r="CF94">
        <v>0</v>
      </c>
      <c r="CG94">
        <v>0</v>
      </c>
      <c r="CH94">
        <v>0</v>
      </c>
      <c r="CI94">
        <v>0</v>
      </c>
    </row>
    <row r="95" spans="29:87" x14ac:dyDescent="0.35">
      <c r="AC95" s="16" t="s">
        <v>278</v>
      </c>
      <c r="AD95">
        <v>34</v>
      </c>
      <c r="AE95">
        <v>0</v>
      </c>
      <c r="AF95">
        <v>0</v>
      </c>
      <c r="AG95">
        <v>14</v>
      </c>
      <c r="AH95">
        <v>290</v>
      </c>
      <c r="AI95">
        <v>525</v>
      </c>
      <c r="AJ95">
        <v>358</v>
      </c>
      <c r="AK95">
        <v>246</v>
      </c>
      <c r="CA95" s="16" t="s">
        <v>278</v>
      </c>
      <c r="CB95">
        <v>8</v>
      </c>
      <c r="CC95">
        <v>0</v>
      </c>
      <c r="CD95">
        <v>0</v>
      </c>
      <c r="CE95">
        <v>1</v>
      </c>
      <c r="CF95">
        <v>35</v>
      </c>
      <c r="CG95">
        <v>129</v>
      </c>
      <c r="CH95">
        <v>35</v>
      </c>
      <c r="CI95">
        <v>27</v>
      </c>
    </row>
    <row r="96" spans="29:87" x14ac:dyDescent="0.35">
      <c r="AC96" s="16" t="s">
        <v>279</v>
      </c>
      <c r="AD96">
        <v>218</v>
      </c>
      <c r="AE96">
        <v>161</v>
      </c>
      <c r="AF96">
        <v>145</v>
      </c>
      <c r="AG96">
        <v>140</v>
      </c>
      <c r="AH96">
        <v>52</v>
      </c>
      <c r="AI96">
        <v>30</v>
      </c>
      <c r="AJ96">
        <v>71</v>
      </c>
      <c r="AK96">
        <v>129</v>
      </c>
      <c r="CA96" s="16" t="s">
        <v>279</v>
      </c>
      <c r="CB96">
        <v>25</v>
      </c>
      <c r="CC96">
        <v>7</v>
      </c>
      <c r="CD96">
        <v>14</v>
      </c>
      <c r="CE96">
        <v>2</v>
      </c>
      <c r="CF96">
        <v>0</v>
      </c>
      <c r="CG96">
        <v>4</v>
      </c>
      <c r="CH96">
        <v>3</v>
      </c>
      <c r="CI96">
        <v>1</v>
      </c>
    </row>
    <row r="97" spans="29:87" x14ac:dyDescent="0.35">
      <c r="AC97" s="16" t="s">
        <v>280</v>
      </c>
      <c r="AD97">
        <v>0</v>
      </c>
      <c r="AE97">
        <v>50</v>
      </c>
      <c r="AF97">
        <v>13</v>
      </c>
      <c r="AG97">
        <v>6</v>
      </c>
      <c r="AH97">
        <v>0</v>
      </c>
      <c r="AI97">
        <v>1</v>
      </c>
      <c r="AJ97">
        <v>161</v>
      </c>
      <c r="AK97">
        <v>158</v>
      </c>
      <c r="CA97" s="16" t="s">
        <v>280</v>
      </c>
      <c r="CB97">
        <v>0</v>
      </c>
      <c r="CC97">
        <v>8</v>
      </c>
      <c r="CD97">
        <v>1</v>
      </c>
      <c r="CE97">
        <v>2</v>
      </c>
      <c r="CF97">
        <v>0</v>
      </c>
      <c r="CG97">
        <v>1</v>
      </c>
      <c r="CH97">
        <v>14</v>
      </c>
      <c r="CI97">
        <v>46</v>
      </c>
    </row>
    <row r="98" spans="29:87" x14ac:dyDescent="0.35">
      <c r="AC98" s="16" t="s">
        <v>281</v>
      </c>
      <c r="AD98">
        <v>201</v>
      </c>
      <c r="AE98">
        <v>213</v>
      </c>
      <c r="AF98">
        <v>183</v>
      </c>
      <c r="AG98">
        <v>180</v>
      </c>
      <c r="AH98">
        <v>177</v>
      </c>
      <c r="AI98">
        <v>371</v>
      </c>
      <c r="AJ98">
        <v>554</v>
      </c>
      <c r="AK98">
        <v>341</v>
      </c>
      <c r="CA98" s="16" t="s">
        <v>281</v>
      </c>
      <c r="CB98">
        <v>0</v>
      </c>
      <c r="CC98">
        <v>0</v>
      </c>
      <c r="CD98">
        <v>2</v>
      </c>
      <c r="CE98">
        <v>4</v>
      </c>
      <c r="CF98">
        <v>4</v>
      </c>
      <c r="CG98">
        <v>95</v>
      </c>
      <c r="CH98">
        <v>67</v>
      </c>
      <c r="CI98">
        <v>20</v>
      </c>
    </row>
    <row r="99" spans="29:87" x14ac:dyDescent="0.35">
      <c r="AC99" s="16" t="s">
        <v>282</v>
      </c>
      <c r="AD99">
        <v>34</v>
      </c>
      <c r="AE99">
        <v>46</v>
      </c>
      <c r="AF99">
        <v>70</v>
      </c>
      <c r="AG99">
        <v>42</v>
      </c>
      <c r="AH99">
        <v>54</v>
      </c>
      <c r="AI99">
        <v>138</v>
      </c>
      <c r="AJ99">
        <v>383</v>
      </c>
      <c r="AK99">
        <v>713</v>
      </c>
      <c r="CA99" s="16" t="s">
        <v>282</v>
      </c>
      <c r="CB99">
        <v>0</v>
      </c>
      <c r="CC99">
        <v>4</v>
      </c>
      <c r="CD99">
        <v>13</v>
      </c>
      <c r="CE99">
        <v>21</v>
      </c>
      <c r="CF99">
        <v>27</v>
      </c>
      <c r="CG99">
        <v>25</v>
      </c>
      <c r="CH99">
        <v>70</v>
      </c>
      <c r="CI99">
        <v>130</v>
      </c>
    </row>
    <row r="100" spans="29:87" x14ac:dyDescent="0.35">
      <c r="AC100" s="16" t="s">
        <v>283</v>
      </c>
      <c r="AD100">
        <v>3</v>
      </c>
      <c r="AE100">
        <v>0</v>
      </c>
      <c r="AF100">
        <v>0</v>
      </c>
      <c r="AG100">
        <v>5</v>
      </c>
      <c r="AH100">
        <v>79</v>
      </c>
      <c r="AI100">
        <v>41</v>
      </c>
      <c r="AJ100">
        <v>216</v>
      </c>
      <c r="AK100">
        <v>271</v>
      </c>
      <c r="CA100" s="16" t="s">
        <v>283</v>
      </c>
      <c r="CB100">
        <v>1</v>
      </c>
      <c r="CC100">
        <v>0</v>
      </c>
      <c r="CD100">
        <v>0</v>
      </c>
      <c r="CE100">
        <v>0</v>
      </c>
      <c r="CF100">
        <v>25</v>
      </c>
      <c r="CG100">
        <v>4</v>
      </c>
      <c r="CH100">
        <v>12</v>
      </c>
      <c r="CI100">
        <v>24</v>
      </c>
    </row>
    <row r="101" spans="29:87" x14ac:dyDescent="0.35">
      <c r="AC101" s="16" t="s">
        <v>284</v>
      </c>
      <c r="AD101">
        <v>0</v>
      </c>
      <c r="AE101">
        <v>0</v>
      </c>
      <c r="AF101">
        <v>0</v>
      </c>
      <c r="AG101">
        <v>0</v>
      </c>
      <c r="AH101">
        <v>0</v>
      </c>
      <c r="AI101">
        <v>0</v>
      </c>
      <c r="AJ101">
        <v>0</v>
      </c>
      <c r="AK101">
        <v>61</v>
      </c>
      <c r="CA101" s="16" t="s">
        <v>284</v>
      </c>
      <c r="CB101">
        <v>0</v>
      </c>
      <c r="CC101">
        <v>0</v>
      </c>
      <c r="CD101">
        <v>0</v>
      </c>
      <c r="CE101">
        <v>0</v>
      </c>
      <c r="CF101">
        <v>0</v>
      </c>
      <c r="CG101">
        <v>0</v>
      </c>
      <c r="CH101">
        <v>0</v>
      </c>
      <c r="CI101">
        <v>4</v>
      </c>
    </row>
    <row r="102" spans="29:87" x14ac:dyDescent="0.35">
      <c r="AC102" s="16" t="s">
        <v>285</v>
      </c>
      <c r="AD102">
        <v>0</v>
      </c>
      <c r="AE102">
        <v>0</v>
      </c>
      <c r="AF102">
        <v>0</v>
      </c>
      <c r="AG102">
        <v>0</v>
      </c>
      <c r="AH102">
        <v>0</v>
      </c>
      <c r="AI102">
        <v>0</v>
      </c>
      <c r="AJ102">
        <v>0</v>
      </c>
      <c r="AK102">
        <v>0</v>
      </c>
      <c r="CA102" s="16" t="s">
        <v>285</v>
      </c>
      <c r="CB102">
        <v>0</v>
      </c>
      <c r="CC102">
        <v>0</v>
      </c>
      <c r="CD102">
        <v>0</v>
      </c>
      <c r="CE102">
        <v>0</v>
      </c>
      <c r="CF102">
        <v>0</v>
      </c>
      <c r="CG102">
        <v>0</v>
      </c>
      <c r="CH102">
        <v>0</v>
      </c>
      <c r="CI102">
        <v>0</v>
      </c>
    </row>
    <row r="103" spans="29:87" x14ac:dyDescent="0.35">
      <c r="AC103" s="16" t="s">
        <v>286</v>
      </c>
      <c r="AD103">
        <v>0</v>
      </c>
      <c r="AE103">
        <v>0</v>
      </c>
      <c r="AF103">
        <v>0</v>
      </c>
      <c r="AG103">
        <v>0</v>
      </c>
      <c r="AH103">
        <v>0</v>
      </c>
      <c r="AI103">
        <v>0</v>
      </c>
      <c r="AJ103">
        <v>0</v>
      </c>
      <c r="AK103">
        <v>0</v>
      </c>
      <c r="CA103" s="16" t="s">
        <v>286</v>
      </c>
      <c r="CB103">
        <v>0</v>
      </c>
      <c r="CC103">
        <v>0</v>
      </c>
      <c r="CD103">
        <v>0</v>
      </c>
      <c r="CE103">
        <v>0</v>
      </c>
      <c r="CF103">
        <v>0</v>
      </c>
      <c r="CG103">
        <v>0</v>
      </c>
      <c r="CH103">
        <v>0</v>
      </c>
      <c r="CI103">
        <v>0</v>
      </c>
    </row>
    <row r="104" spans="29:87" x14ac:dyDescent="0.35">
      <c r="AC104" s="16" t="s">
        <v>287</v>
      </c>
      <c r="AD104">
        <v>0</v>
      </c>
      <c r="AE104">
        <v>0</v>
      </c>
      <c r="AF104">
        <v>0</v>
      </c>
      <c r="AG104">
        <v>0</v>
      </c>
      <c r="AH104">
        <v>0</v>
      </c>
      <c r="AI104">
        <v>0</v>
      </c>
      <c r="AJ104">
        <v>0</v>
      </c>
      <c r="AK104">
        <v>0</v>
      </c>
      <c r="CA104" s="16" t="s">
        <v>287</v>
      </c>
      <c r="CB104">
        <v>0</v>
      </c>
      <c r="CC104">
        <v>0</v>
      </c>
      <c r="CD104">
        <v>0</v>
      </c>
      <c r="CE104">
        <v>0</v>
      </c>
      <c r="CF104">
        <v>0</v>
      </c>
      <c r="CG104">
        <v>0</v>
      </c>
      <c r="CH104">
        <v>0</v>
      </c>
      <c r="CI104">
        <v>0</v>
      </c>
    </row>
    <row r="105" spans="29:87" x14ac:dyDescent="0.35">
      <c r="AC105" s="16" t="s">
        <v>288</v>
      </c>
      <c r="AD105">
        <v>0</v>
      </c>
      <c r="AE105">
        <v>0</v>
      </c>
      <c r="AF105">
        <v>0</v>
      </c>
      <c r="AG105">
        <v>0</v>
      </c>
      <c r="AH105">
        <v>0</v>
      </c>
      <c r="AI105">
        <v>0</v>
      </c>
      <c r="AJ105">
        <v>0</v>
      </c>
      <c r="AK105">
        <v>0</v>
      </c>
      <c r="CA105" s="16" t="s">
        <v>288</v>
      </c>
      <c r="CB105">
        <v>0</v>
      </c>
      <c r="CC105">
        <v>0</v>
      </c>
      <c r="CD105">
        <v>0</v>
      </c>
      <c r="CE105">
        <v>0</v>
      </c>
      <c r="CF105">
        <v>0</v>
      </c>
      <c r="CG105">
        <v>0</v>
      </c>
      <c r="CH105">
        <v>0</v>
      </c>
      <c r="CI105">
        <v>0</v>
      </c>
    </row>
    <row r="106" spans="29:87" x14ac:dyDescent="0.35">
      <c r="AC106" s="16" t="s">
        <v>289</v>
      </c>
      <c r="AD106">
        <v>0</v>
      </c>
      <c r="AE106">
        <v>0</v>
      </c>
      <c r="AF106">
        <v>0</v>
      </c>
      <c r="AG106">
        <v>0</v>
      </c>
      <c r="AH106">
        <v>0</v>
      </c>
      <c r="AI106">
        <v>0</v>
      </c>
      <c r="AJ106">
        <v>0</v>
      </c>
      <c r="AK106">
        <v>0</v>
      </c>
      <c r="CA106" s="16" t="s">
        <v>289</v>
      </c>
      <c r="CB106">
        <v>0</v>
      </c>
      <c r="CC106">
        <v>0</v>
      </c>
      <c r="CD106">
        <v>0</v>
      </c>
      <c r="CE106">
        <v>0</v>
      </c>
      <c r="CF106">
        <v>0</v>
      </c>
      <c r="CG106">
        <v>0</v>
      </c>
      <c r="CH106">
        <v>0</v>
      </c>
      <c r="CI106">
        <v>0</v>
      </c>
    </row>
    <row r="107" spans="29:87" x14ac:dyDescent="0.35">
      <c r="AC107" s="16" t="s">
        <v>290</v>
      </c>
      <c r="AD107">
        <v>0</v>
      </c>
      <c r="AE107">
        <v>0</v>
      </c>
      <c r="AF107">
        <v>4</v>
      </c>
      <c r="AG107">
        <v>42</v>
      </c>
      <c r="AH107">
        <v>8</v>
      </c>
      <c r="AI107">
        <v>0</v>
      </c>
      <c r="AJ107">
        <v>0</v>
      </c>
      <c r="AK107">
        <v>16</v>
      </c>
      <c r="CA107" s="16" t="s">
        <v>290</v>
      </c>
      <c r="CB107">
        <v>0</v>
      </c>
      <c r="CC107">
        <v>0</v>
      </c>
      <c r="CD107">
        <v>1</v>
      </c>
      <c r="CE107">
        <v>15</v>
      </c>
      <c r="CF107">
        <v>4</v>
      </c>
      <c r="CG107">
        <v>0</v>
      </c>
      <c r="CH107">
        <v>0</v>
      </c>
      <c r="CI107">
        <v>1</v>
      </c>
    </row>
    <row r="108" spans="29:87" x14ac:dyDescent="0.35">
      <c r="AC108" s="16" t="s">
        <v>291</v>
      </c>
      <c r="AD108">
        <v>0</v>
      </c>
      <c r="AE108">
        <v>44</v>
      </c>
      <c r="AF108">
        <v>116</v>
      </c>
      <c r="AG108">
        <v>116</v>
      </c>
      <c r="AH108">
        <v>62</v>
      </c>
      <c r="AI108">
        <v>36</v>
      </c>
      <c r="AJ108">
        <v>0</v>
      </c>
      <c r="AK108">
        <v>6</v>
      </c>
      <c r="CA108" s="16" t="s">
        <v>291</v>
      </c>
      <c r="CB108">
        <v>0</v>
      </c>
      <c r="CC108">
        <v>19</v>
      </c>
      <c r="CD108">
        <v>88</v>
      </c>
      <c r="CE108">
        <v>49</v>
      </c>
      <c r="CF108">
        <v>53</v>
      </c>
      <c r="CG108">
        <v>22</v>
      </c>
      <c r="CH108">
        <v>0</v>
      </c>
      <c r="CI108">
        <v>6</v>
      </c>
    </row>
    <row r="109" spans="29:87" x14ac:dyDescent="0.35">
      <c r="AC109" s="16" t="s">
        <v>292</v>
      </c>
      <c r="AD109">
        <v>250</v>
      </c>
      <c r="AE109">
        <v>200</v>
      </c>
      <c r="AF109">
        <v>0</v>
      </c>
      <c r="AG109">
        <v>0</v>
      </c>
      <c r="AH109">
        <v>0</v>
      </c>
      <c r="AI109">
        <v>117</v>
      </c>
      <c r="AJ109">
        <v>203</v>
      </c>
      <c r="AK109">
        <v>87</v>
      </c>
      <c r="CA109" s="16" t="s">
        <v>292</v>
      </c>
      <c r="CB109">
        <v>11</v>
      </c>
      <c r="CC109">
        <v>2</v>
      </c>
      <c r="CD109">
        <v>0</v>
      </c>
      <c r="CE109">
        <v>0</v>
      </c>
      <c r="CF109">
        <v>0</v>
      </c>
      <c r="CG109">
        <v>13</v>
      </c>
      <c r="CH109">
        <v>38</v>
      </c>
      <c r="CI109">
        <v>6</v>
      </c>
    </row>
    <row r="110" spans="29:87" x14ac:dyDescent="0.35">
      <c r="AC110" s="16" t="s">
        <v>293</v>
      </c>
      <c r="AD110">
        <v>0</v>
      </c>
      <c r="AE110">
        <v>0</v>
      </c>
      <c r="AF110">
        <v>0</v>
      </c>
      <c r="AG110">
        <v>0</v>
      </c>
      <c r="AH110">
        <v>0</v>
      </c>
      <c r="AI110">
        <v>0</v>
      </c>
      <c r="AJ110">
        <v>0</v>
      </c>
      <c r="AK110">
        <v>0</v>
      </c>
      <c r="CA110" s="16" t="s">
        <v>293</v>
      </c>
      <c r="CB110">
        <v>0</v>
      </c>
      <c r="CC110">
        <v>0</v>
      </c>
      <c r="CD110">
        <v>0</v>
      </c>
      <c r="CE110">
        <v>0</v>
      </c>
      <c r="CF110">
        <v>0</v>
      </c>
      <c r="CG110">
        <v>0</v>
      </c>
      <c r="CH110">
        <v>0</v>
      </c>
      <c r="CI110">
        <v>0</v>
      </c>
    </row>
    <row r="111" spans="29:87" x14ac:dyDescent="0.35">
      <c r="AC111" s="16" t="s">
        <v>294</v>
      </c>
      <c r="AD111">
        <v>0</v>
      </c>
      <c r="AE111">
        <v>0</v>
      </c>
      <c r="AF111">
        <v>0</v>
      </c>
      <c r="AG111">
        <v>6</v>
      </c>
      <c r="AH111">
        <v>153</v>
      </c>
      <c r="AI111">
        <v>21</v>
      </c>
      <c r="AJ111">
        <v>6</v>
      </c>
      <c r="AK111">
        <v>0</v>
      </c>
      <c r="CA111" s="16" t="s">
        <v>294</v>
      </c>
      <c r="CB111">
        <v>0</v>
      </c>
      <c r="CC111">
        <v>0</v>
      </c>
      <c r="CD111">
        <v>0</v>
      </c>
      <c r="CE111">
        <v>0</v>
      </c>
      <c r="CF111">
        <v>8</v>
      </c>
      <c r="CG111">
        <v>11</v>
      </c>
      <c r="CH111">
        <v>0</v>
      </c>
      <c r="CI111">
        <v>0</v>
      </c>
    </row>
    <row r="112" spans="29:87" x14ac:dyDescent="0.35">
      <c r="AC112" s="16" t="s">
        <v>295</v>
      </c>
      <c r="AD112">
        <v>1</v>
      </c>
      <c r="AE112">
        <v>0</v>
      </c>
      <c r="AF112">
        <v>0</v>
      </c>
      <c r="AG112">
        <v>0</v>
      </c>
      <c r="AH112">
        <v>0</v>
      </c>
      <c r="AI112">
        <v>0</v>
      </c>
      <c r="AJ112">
        <v>0</v>
      </c>
      <c r="AK112">
        <v>0</v>
      </c>
      <c r="CA112" s="16" t="s">
        <v>295</v>
      </c>
      <c r="CB112">
        <v>0</v>
      </c>
      <c r="CC112">
        <v>0</v>
      </c>
      <c r="CD112">
        <v>0</v>
      </c>
      <c r="CE112">
        <v>0</v>
      </c>
      <c r="CF112">
        <v>0</v>
      </c>
      <c r="CG112">
        <v>0</v>
      </c>
      <c r="CH112">
        <v>0</v>
      </c>
      <c r="CI112">
        <v>0</v>
      </c>
    </row>
    <row r="113" spans="29:87" x14ac:dyDescent="0.35">
      <c r="AC113" s="16" t="s">
        <v>296</v>
      </c>
      <c r="AD113">
        <v>48</v>
      </c>
      <c r="AE113">
        <v>79</v>
      </c>
      <c r="AF113">
        <v>78</v>
      </c>
      <c r="AG113">
        <v>12</v>
      </c>
      <c r="AH113">
        <v>0</v>
      </c>
      <c r="AI113">
        <v>0</v>
      </c>
      <c r="AJ113">
        <v>10</v>
      </c>
      <c r="AK113">
        <v>10</v>
      </c>
      <c r="CA113" s="16" t="s">
        <v>296</v>
      </c>
      <c r="CB113">
        <v>10</v>
      </c>
      <c r="CC113">
        <v>13</v>
      </c>
      <c r="CD113">
        <v>13</v>
      </c>
      <c r="CE113">
        <v>0</v>
      </c>
      <c r="CF113">
        <v>0</v>
      </c>
      <c r="CG113">
        <v>0</v>
      </c>
      <c r="CH113">
        <v>3</v>
      </c>
      <c r="CI113">
        <v>3</v>
      </c>
    </row>
    <row r="114" spans="29:87" x14ac:dyDescent="0.35">
      <c r="AC114" s="16" t="s">
        <v>297</v>
      </c>
      <c r="AD114">
        <v>0</v>
      </c>
      <c r="AE114">
        <v>0</v>
      </c>
      <c r="AF114">
        <v>0</v>
      </c>
      <c r="AG114">
        <v>0</v>
      </c>
      <c r="AH114">
        <v>0</v>
      </c>
      <c r="AI114">
        <v>0</v>
      </c>
      <c r="AJ114">
        <v>0</v>
      </c>
      <c r="AK114">
        <v>0</v>
      </c>
      <c r="CA114" s="16" t="s">
        <v>297</v>
      </c>
      <c r="CB114">
        <v>0</v>
      </c>
      <c r="CC114">
        <v>0</v>
      </c>
      <c r="CD114">
        <v>0</v>
      </c>
      <c r="CE114">
        <v>0</v>
      </c>
      <c r="CF114">
        <v>0</v>
      </c>
      <c r="CG114">
        <v>0</v>
      </c>
      <c r="CH114">
        <v>0</v>
      </c>
      <c r="CI114">
        <v>0</v>
      </c>
    </row>
    <row r="115" spans="29:87" x14ac:dyDescent="0.35">
      <c r="AC115" s="16" t="s">
        <v>298</v>
      </c>
      <c r="AD115">
        <v>0</v>
      </c>
      <c r="AE115">
        <v>0</v>
      </c>
      <c r="AF115">
        <v>0</v>
      </c>
      <c r="AG115">
        <v>0</v>
      </c>
      <c r="AH115">
        <v>0</v>
      </c>
      <c r="AI115">
        <v>0</v>
      </c>
      <c r="AJ115">
        <v>0</v>
      </c>
      <c r="AK115">
        <v>0</v>
      </c>
      <c r="CA115" s="16" t="s">
        <v>298</v>
      </c>
      <c r="CB115">
        <v>0</v>
      </c>
      <c r="CC115">
        <v>0</v>
      </c>
      <c r="CD115">
        <v>0</v>
      </c>
      <c r="CE115">
        <v>0</v>
      </c>
      <c r="CF115">
        <v>0</v>
      </c>
      <c r="CG115">
        <v>0</v>
      </c>
      <c r="CH115">
        <v>0</v>
      </c>
      <c r="CI115">
        <v>0</v>
      </c>
    </row>
    <row r="116" spans="29:87" x14ac:dyDescent="0.35">
      <c r="AC116" s="16" t="s">
        <v>299</v>
      </c>
      <c r="AD116">
        <v>214</v>
      </c>
      <c r="AE116">
        <v>69</v>
      </c>
      <c r="AF116">
        <v>127</v>
      </c>
      <c r="AG116">
        <v>116</v>
      </c>
      <c r="AH116">
        <v>8</v>
      </c>
      <c r="AI116">
        <v>19</v>
      </c>
      <c r="AJ116">
        <v>99</v>
      </c>
      <c r="AK116">
        <v>318</v>
      </c>
      <c r="CA116" s="16" t="s">
        <v>299</v>
      </c>
      <c r="CB116">
        <v>36</v>
      </c>
      <c r="CC116">
        <v>21</v>
      </c>
      <c r="CD116">
        <v>12</v>
      </c>
      <c r="CE116">
        <v>27</v>
      </c>
      <c r="CF116">
        <v>2</v>
      </c>
      <c r="CG116">
        <v>10</v>
      </c>
      <c r="CH116">
        <v>25</v>
      </c>
      <c r="CI116">
        <v>73</v>
      </c>
    </row>
    <row r="117" spans="29:87" x14ac:dyDescent="0.35">
      <c r="AC117" s="16" t="s">
        <v>300</v>
      </c>
      <c r="AD117">
        <v>0</v>
      </c>
      <c r="AE117">
        <v>0</v>
      </c>
      <c r="AF117">
        <v>0</v>
      </c>
      <c r="AG117">
        <v>0</v>
      </c>
      <c r="AH117">
        <v>0</v>
      </c>
      <c r="AI117">
        <v>86</v>
      </c>
      <c r="AJ117">
        <v>177</v>
      </c>
      <c r="AK117">
        <v>253</v>
      </c>
      <c r="CA117" s="16" t="s">
        <v>300</v>
      </c>
      <c r="CB117">
        <v>0</v>
      </c>
      <c r="CC117">
        <v>0</v>
      </c>
      <c r="CD117">
        <v>0</v>
      </c>
      <c r="CE117">
        <v>0</v>
      </c>
      <c r="CF117">
        <v>0</v>
      </c>
      <c r="CG117">
        <v>13</v>
      </c>
      <c r="CH117">
        <v>10</v>
      </c>
      <c r="CI117">
        <v>34</v>
      </c>
    </row>
    <row r="118" spans="29:87" x14ac:dyDescent="0.35">
      <c r="AC118" s="16" t="s">
        <v>301</v>
      </c>
      <c r="AD118">
        <v>0</v>
      </c>
      <c r="AE118">
        <v>0</v>
      </c>
      <c r="AF118">
        <v>0</v>
      </c>
      <c r="AG118">
        <v>0</v>
      </c>
      <c r="AH118">
        <v>0</v>
      </c>
      <c r="AI118">
        <v>0</v>
      </c>
      <c r="AJ118">
        <v>0</v>
      </c>
      <c r="AK118">
        <v>0</v>
      </c>
      <c r="CA118" s="16" t="s">
        <v>301</v>
      </c>
      <c r="CB118">
        <v>0</v>
      </c>
      <c r="CC118">
        <v>0</v>
      </c>
      <c r="CD118">
        <v>0</v>
      </c>
      <c r="CE118">
        <v>0</v>
      </c>
      <c r="CF118">
        <v>0</v>
      </c>
      <c r="CG118">
        <v>0</v>
      </c>
      <c r="CH118">
        <v>0</v>
      </c>
      <c r="CI118">
        <v>0</v>
      </c>
    </row>
    <row r="119" spans="29:87" x14ac:dyDescent="0.35">
      <c r="AC119" s="16" t="s">
        <v>302</v>
      </c>
      <c r="AD119">
        <v>0</v>
      </c>
      <c r="AE119">
        <v>0</v>
      </c>
      <c r="AF119">
        <v>0</v>
      </c>
      <c r="AG119">
        <v>0</v>
      </c>
      <c r="AH119">
        <v>0</v>
      </c>
      <c r="AI119">
        <v>0</v>
      </c>
      <c r="AJ119">
        <v>0</v>
      </c>
      <c r="AK119">
        <v>6</v>
      </c>
      <c r="CA119" s="16" t="s">
        <v>302</v>
      </c>
      <c r="CB119">
        <v>0</v>
      </c>
      <c r="CC119">
        <v>0</v>
      </c>
      <c r="CD119">
        <v>0</v>
      </c>
      <c r="CE119">
        <v>0</v>
      </c>
      <c r="CF119">
        <v>0</v>
      </c>
      <c r="CG119">
        <v>0</v>
      </c>
      <c r="CH119">
        <v>0</v>
      </c>
      <c r="CI119">
        <v>0</v>
      </c>
    </row>
    <row r="120" spans="29:87" x14ac:dyDescent="0.35">
      <c r="AC120" s="16" t="s">
        <v>303</v>
      </c>
      <c r="AD120">
        <v>0</v>
      </c>
      <c r="AE120">
        <v>0</v>
      </c>
      <c r="AF120">
        <v>154</v>
      </c>
      <c r="AG120">
        <v>262</v>
      </c>
      <c r="AH120">
        <v>188</v>
      </c>
      <c r="AI120">
        <v>52</v>
      </c>
      <c r="AJ120">
        <v>0</v>
      </c>
      <c r="AK120">
        <v>0</v>
      </c>
      <c r="CA120" s="16" t="s">
        <v>303</v>
      </c>
      <c r="CB120">
        <v>0</v>
      </c>
      <c r="CC120">
        <v>0</v>
      </c>
      <c r="CD120">
        <v>46</v>
      </c>
      <c r="CE120">
        <v>77</v>
      </c>
      <c r="CF120">
        <v>86</v>
      </c>
      <c r="CG120">
        <v>34</v>
      </c>
      <c r="CH120">
        <v>0</v>
      </c>
      <c r="CI120">
        <v>0</v>
      </c>
    </row>
    <row r="121" spans="29:87" x14ac:dyDescent="0.35">
      <c r="AC121" s="16" t="s">
        <v>304</v>
      </c>
      <c r="AD121">
        <v>0</v>
      </c>
      <c r="AE121">
        <v>0</v>
      </c>
      <c r="AF121">
        <v>0</v>
      </c>
      <c r="AG121">
        <v>0</v>
      </c>
      <c r="AH121">
        <v>0</v>
      </c>
      <c r="AI121">
        <v>0</v>
      </c>
      <c r="AJ121">
        <v>98</v>
      </c>
      <c r="AK121">
        <v>0</v>
      </c>
      <c r="CA121" s="16" t="s">
        <v>304</v>
      </c>
      <c r="CB121">
        <v>0</v>
      </c>
      <c r="CC121">
        <v>0</v>
      </c>
      <c r="CD121">
        <v>0</v>
      </c>
      <c r="CE121">
        <v>0</v>
      </c>
      <c r="CF121">
        <v>0</v>
      </c>
      <c r="CG121">
        <v>0</v>
      </c>
      <c r="CH121">
        <v>31</v>
      </c>
      <c r="CI121">
        <v>0</v>
      </c>
    </row>
    <row r="122" spans="29:87" x14ac:dyDescent="0.35">
      <c r="AC122" s="16" t="s">
        <v>305</v>
      </c>
      <c r="AD122">
        <v>21</v>
      </c>
      <c r="AE122">
        <v>70</v>
      </c>
      <c r="AF122">
        <v>88</v>
      </c>
      <c r="AG122">
        <v>147</v>
      </c>
      <c r="AH122">
        <v>41</v>
      </c>
      <c r="AI122">
        <v>34</v>
      </c>
      <c r="AJ122">
        <v>43</v>
      </c>
      <c r="AK122">
        <v>24</v>
      </c>
      <c r="CA122" s="16" t="s">
        <v>305</v>
      </c>
      <c r="CB122">
        <v>2</v>
      </c>
      <c r="CC122">
        <v>3</v>
      </c>
      <c r="CD122">
        <v>7</v>
      </c>
      <c r="CE122">
        <v>23</v>
      </c>
      <c r="CF122">
        <v>15</v>
      </c>
      <c r="CG122">
        <v>8</v>
      </c>
      <c r="CH122">
        <v>7</v>
      </c>
      <c r="CI122">
        <v>3</v>
      </c>
    </row>
    <row r="123" spans="29:87" x14ac:dyDescent="0.35">
      <c r="AC123" s="16" t="s">
        <v>306</v>
      </c>
      <c r="AD123">
        <v>0</v>
      </c>
      <c r="AE123">
        <v>2</v>
      </c>
      <c r="AF123">
        <v>0</v>
      </c>
      <c r="AG123">
        <v>0</v>
      </c>
      <c r="AH123">
        <v>0</v>
      </c>
      <c r="AI123">
        <v>0</v>
      </c>
      <c r="AJ123">
        <v>0</v>
      </c>
      <c r="AK123">
        <v>0</v>
      </c>
      <c r="CA123" s="16" t="s">
        <v>306</v>
      </c>
      <c r="CB123">
        <v>0</v>
      </c>
      <c r="CC123">
        <v>2</v>
      </c>
      <c r="CD123">
        <v>0</v>
      </c>
      <c r="CE123">
        <v>0</v>
      </c>
      <c r="CF123">
        <v>0</v>
      </c>
      <c r="CG123">
        <v>0</v>
      </c>
      <c r="CH123">
        <v>0</v>
      </c>
      <c r="CI123">
        <v>0</v>
      </c>
    </row>
    <row r="124" spans="29:87" x14ac:dyDescent="0.35">
      <c r="AC124" s="16" t="s">
        <v>307</v>
      </c>
      <c r="AD124">
        <v>195</v>
      </c>
      <c r="AE124">
        <v>99</v>
      </c>
      <c r="AF124">
        <v>61</v>
      </c>
      <c r="AG124">
        <v>114</v>
      </c>
      <c r="AH124">
        <v>143</v>
      </c>
      <c r="AI124">
        <v>302</v>
      </c>
      <c r="AJ124">
        <v>130</v>
      </c>
      <c r="AK124">
        <v>162</v>
      </c>
      <c r="CA124" s="16" t="s">
        <v>307</v>
      </c>
      <c r="CB124">
        <v>29</v>
      </c>
      <c r="CC124">
        <v>19</v>
      </c>
      <c r="CD124">
        <v>6</v>
      </c>
      <c r="CE124">
        <v>15</v>
      </c>
      <c r="CF124">
        <v>18</v>
      </c>
      <c r="CG124">
        <v>74</v>
      </c>
      <c r="CH124">
        <v>14</v>
      </c>
      <c r="CI124">
        <v>14</v>
      </c>
    </row>
    <row r="125" spans="29:87" x14ac:dyDescent="0.35">
      <c r="AC125" s="16" t="s">
        <v>308</v>
      </c>
      <c r="AD125">
        <v>20</v>
      </c>
      <c r="AE125">
        <v>16</v>
      </c>
      <c r="AF125">
        <v>12</v>
      </c>
      <c r="AG125">
        <v>56</v>
      </c>
      <c r="AH125">
        <v>85</v>
      </c>
      <c r="AI125">
        <v>34</v>
      </c>
      <c r="AJ125">
        <v>50</v>
      </c>
      <c r="AK125">
        <v>17</v>
      </c>
      <c r="CA125" s="16" t="s">
        <v>308</v>
      </c>
      <c r="CB125">
        <v>4</v>
      </c>
      <c r="CC125">
        <v>2</v>
      </c>
      <c r="CD125">
        <v>3</v>
      </c>
      <c r="CE125">
        <v>18</v>
      </c>
      <c r="CF125">
        <v>31</v>
      </c>
      <c r="CG125">
        <v>17</v>
      </c>
      <c r="CH125">
        <v>9</v>
      </c>
      <c r="CI125">
        <v>3</v>
      </c>
    </row>
    <row r="126" spans="29:87" x14ac:dyDescent="0.35">
      <c r="AC126" s="16" t="s">
        <v>309</v>
      </c>
      <c r="AD126">
        <v>0</v>
      </c>
      <c r="AE126">
        <v>0</v>
      </c>
      <c r="AF126">
        <v>0</v>
      </c>
      <c r="AG126">
        <v>0</v>
      </c>
      <c r="AH126">
        <v>0</v>
      </c>
      <c r="AI126">
        <v>0</v>
      </c>
      <c r="AJ126">
        <v>0</v>
      </c>
      <c r="AK126">
        <v>0</v>
      </c>
      <c r="CA126" s="16" t="s">
        <v>309</v>
      </c>
      <c r="CB126">
        <v>0</v>
      </c>
      <c r="CC126">
        <v>0</v>
      </c>
      <c r="CD126">
        <v>0</v>
      </c>
      <c r="CE126">
        <v>0</v>
      </c>
      <c r="CF126">
        <v>0</v>
      </c>
      <c r="CG126">
        <v>0</v>
      </c>
      <c r="CH126">
        <v>0</v>
      </c>
      <c r="CI126">
        <v>0</v>
      </c>
    </row>
    <row r="127" spans="29:87" x14ac:dyDescent="0.35">
      <c r="AC127" s="16" t="s">
        <v>310</v>
      </c>
      <c r="AD127">
        <v>317</v>
      </c>
      <c r="AE127">
        <v>342</v>
      </c>
      <c r="AF127">
        <v>232</v>
      </c>
      <c r="AG127">
        <v>84</v>
      </c>
      <c r="AH127">
        <v>26</v>
      </c>
      <c r="AI127">
        <v>0</v>
      </c>
      <c r="AJ127">
        <v>20</v>
      </c>
      <c r="AK127">
        <v>235</v>
      </c>
      <c r="CA127" s="16" t="s">
        <v>310</v>
      </c>
      <c r="CB127">
        <v>71</v>
      </c>
      <c r="CC127">
        <v>58</v>
      </c>
      <c r="CD127">
        <v>38</v>
      </c>
      <c r="CE127">
        <v>22</v>
      </c>
      <c r="CF127">
        <v>7</v>
      </c>
      <c r="CG127">
        <v>0</v>
      </c>
      <c r="CH127">
        <v>7</v>
      </c>
      <c r="CI127">
        <v>27</v>
      </c>
    </row>
    <row r="128" spans="29:87" x14ac:dyDescent="0.35">
      <c r="AC128" s="16" t="s">
        <v>311</v>
      </c>
      <c r="AD128">
        <v>28</v>
      </c>
      <c r="AE128">
        <v>28</v>
      </c>
      <c r="AF128">
        <v>203</v>
      </c>
      <c r="AG128">
        <v>74</v>
      </c>
      <c r="AH128">
        <v>0</v>
      </c>
      <c r="AI128">
        <v>0</v>
      </c>
      <c r="AJ128">
        <v>12</v>
      </c>
      <c r="AK128">
        <v>42</v>
      </c>
      <c r="CA128" s="16" t="s">
        <v>311</v>
      </c>
      <c r="CB128">
        <v>1</v>
      </c>
      <c r="CC128">
        <v>0</v>
      </c>
      <c r="CD128">
        <v>42</v>
      </c>
      <c r="CE128">
        <v>9</v>
      </c>
      <c r="CF128">
        <v>0</v>
      </c>
      <c r="CG128">
        <v>0</v>
      </c>
      <c r="CH128">
        <v>0</v>
      </c>
      <c r="CI128">
        <v>5</v>
      </c>
    </row>
    <row r="129" spans="29:87" x14ac:dyDescent="0.35">
      <c r="AC129" s="16" t="s">
        <v>312</v>
      </c>
      <c r="AD129">
        <v>193</v>
      </c>
      <c r="AE129">
        <v>168</v>
      </c>
      <c r="AF129">
        <v>135</v>
      </c>
      <c r="AG129">
        <v>157</v>
      </c>
      <c r="AH129">
        <v>114</v>
      </c>
      <c r="AI129">
        <v>106</v>
      </c>
      <c r="AJ129">
        <v>118</v>
      </c>
      <c r="AK129">
        <v>144</v>
      </c>
      <c r="CA129" s="16" t="s">
        <v>312</v>
      </c>
      <c r="CB129">
        <v>0</v>
      </c>
      <c r="CC129">
        <v>0</v>
      </c>
      <c r="CD129">
        <v>0</v>
      </c>
      <c r="CE129">
        <v>0</v>
      </c>
      <c r="CF129">
        <v>0</v>
      </c>
      <c r="CG129">
        <v>14</v>
      </c>
      <c r="CH129">
        <v>0</v>
      </c>
      <c r="CI129">
        <v>0</v>
      </c>
    </row>
    <row r="130" spans="29:87" x14ac:dyDescent="0.35">
      <c r="AC130" s="16" t="s">
        <v>313</v>
      </c>
      <c r="AD130">
        <v>317</v>
      </c>
      <c r="AE130">
        <v>282</v>
      </c>
      <c r="AF130">
        <v>0</v>
      </c>
      <c r="AG130">
        <v>0</v>
      </c>
      <c r="AH130">
        <v>68</v>
      </c>
      <c r="AI130">
        <v>118</v>
      </c>
      <c r="AJ130">
        <v>112</v>
      </c>
      <c r="AK130">
        <v>416</v>
      </c>
      <c r="CA130" s="16" t="s">
        <v>313</v>
      </c>
      <c r="CB130">
        <v>36</v>
      </c>
      <c r="CC130">
        <v>54</v>
      </c>
      <c r="CD130">
        <v>0</v>
      </c>
      <c r="CE130">
        <v>0</v>
      </c>
      <c r="CF130">
        <v>13</v>
      </c>
      <c r="CG130">
        <v>25</v>
      </c>
      <c r="CH130">
        <v>17</v>
      </c>
      <c r="CI130">
        <v>101</v>
      </c>
    </row>
    <row r="131" spans="29:87" x14ac:dyDescent="0.35">
      <c r="AC131" s="16" t="s">
        <v>314</v>
      </c>
      <c r="AD131">
        <v>0</v>
      </c>
      <c r="AE131">
        <v>0</v>
      </c>
      <c r="AF131">
        <v>0</v>
      </c>
      <c r="AG131">
        <v>0</v>
      </c>
      <c r="AH131">
        <v>0</v>
      </c>
      <c r="AI131">
        <v>0</v>
      </c>
      <c r="AJ131">
        <v>0</v>
      </c>
      <c r="AK131">
        <v>0</v>
      </c>
      <c r="CA131" s="16" t="s">
        <v>314</v>
      </c>
      <c r="CB131">
        <v>0</v>
      </c>
      <c r="CC131">
        <v>0</v>
      </c>
      <c r="CD131">
        <v>0</v>
      </c>
      <c r="CE131">
        <v>0</v>
      </c>
      <c r="CF131">
        <v>0</v>
      </c>
      <c r="CG131">
        <v>0</v>
      </c>
      <c r="CH131">
        <v>0</v>
      </c>
      <c r="CI131">
        <v>0</v>
      </c>
    </row>
    <row r="132" spans="29:87" x14ac:dyDescent="0.35">
      <c r="AC132" s="16" t="s">
        <v>315</v>
      </c>
      <c r="AD132">
        <v>189</v>
      </c>
      <c r="AE132">
        <v>368</v>
      </c>
      <c r="AF132">
        <v>381</v>
      </c>
      <c r="AG132">
        <v>110</v>
      </c>
      <c r="AH132">
        <v>28</v>
      </c>
      <c r="AI132">
        <v>0</v>
      </c>
      <c r="AJ132">
        <v>0</v>
      </c>
      <c r="AK132">
        <v>36</v>
      </c>
      <c r="CA132" s="16" t="s">
        <v>315</v>
      </c>
      <c r="CB132">
        <v>43</v>
      </c>
      <c r="CC132">
        <v>113</v>
      </c>
      <c r="CD132">
        <v>103</v>
      </c>
      <c r="CE132">
        <v>18</v>
      </c>
      <c r="CF132">
        <v>8</v>
      </c>
      <c r="CG132">
        <v>0</v>
      </c>
      <c r="CH132">
        <v>0</v>
      </c>
      <c r="CI132">
        <v>10</v>
      </c>
    </row>
    <row r="133" spans="29:87" x14ac:dyDescent="0.35">
      <c r="AC133" s="16" t="s">
        <v>316</v>
      </c>
      <c r="AD133">
        <v>0</v>
      </c>
      <c r="AE133">
        <v>31</v>
      </c>
      <c r="AF133">
        <v>39</v>
      </c>
      <c r="AG133">
        <v>48</v>
      </c>
      <c r="AH133">
        <v>0</v>
      </c>
      <c r="AI133">
        <v>0</v>
      </c>
      <c r="AJ133">
        <v>0</v>
      </c>
      <c r="AK133">
        <v>0</v>
      </c>
      <c r="CA133" s="16" t="s">
        <v>316</v>
      </c>
      <c r="CB133">
        <v>0</v>
      </c>
      <c r="CC133">
        <v>11</v>
      </c>
      <c r="CD133">
        <v>9</v>
      </c>
      <c r="CE133">
        <v>5</v>
      </c>
      <c r="CF133">
        <v>0</v>
      </c>
      <c r="CG133">
        <v>0</v>
      </c>
      <c r="CH133">
        <v>0</v>
      </c>
      <c r="CI133">
        <v>0</v>
      </c>
    </row>
    <row r="134" spans="29:87" x14ac:dyDescent="0.35">
      <c r="AC134" s="16" t="s">
        <v>317</v>
      </c>
      <c r="AD134">
        <v>0</v>
      </c>
      <c r="AE134">
        <v>0</v>
      </c>
      <c r="AF134">
        <v>0</v>
      </c>
      <c r="AG134">
        <v>0</v>
      </c>
      <c r="AH134">
        <v>0</v>
      </c>
      <c r="AI134">
        <v>0</v>
      </c>
      <c r="AJ134">
        <v>13</v>
      </c>
      <c r="AK134">
        <v>153</v>
      </c>
      <c r="CA134" s="16" t="s">
        <v>317</v>
      </c>
      <c r="CB134">
        <v>0</v>
      </c>
      <c r="CC134">
        <v>0</v>
      </c>
      <c r="CD134">
        <v>0</v>
      </c>
      <c r="CE134">
        <v>0</v>
      </c>
      <c r="CF134">
        <v>0</v>
      </c>
      <c r="CG134">
        <v>0</v>
      </c>
      <c r="CH134">
        <v>1</v>
      </c>
      <c r="CI134">
        <v>47</v>
      </c>
    </row>
    <row r="135" spans="29:87" x14ac:dyDescent="0.35">
      <c r="AC135" s="16" t="s">
        <v>318</v>
      </c>
      <c r="AD135">
        <v>66</v>
      </c>
      <c r="AE135">
        <v>36</v>
      </c>
      <c r="AF135">
        <v>0</v>
      </c>
      <c r="AG135">
        <v>0</v>
      </c>
      <c r="AH135">
        <v>0</v>
      </c>
      <c r="AI135">
        <v>0</v>
      </c>
      <c r="AJ135">
        <v>0</v>
      </c>
      <c r="AK135">
        <v>0</v>
      </c>
      <c r="CA135" s="16" t="s">
        <v>318</v>
      </c>
      <c r="CB135">
        <v>17</v>
      </c>
      <c r="CC135">
        <v>11</v>
      </c>
      <c r="CD135">
        <v>0</v>
      </c>
      <c r="CE135">
        <v>0</v>
      </c>
      <c r="CF135">
        <v>0</v>
      </c>
      <c r="CG135">
        <v>0</v>
      </c>
      <c r="CH135">
        <v>0</v>
      </c>
      <c r="CI135">
        <v>0</v>
      </c>
    </row>
    <row r="136" spans="29:87" x14ac:dyDescent="0.35">
      <c r="AC136" s="16" t="s">
        <v>319</v>
      </c>
      <c r="AD136">
        <v>0</v>
      </c>
      <c r="AE136">
        <v>0</v>
      </c>
      <c r="AF136">
        <v>0</v>
      </c>
      <c r="AG136">
        <v>0</v>
      </c>
      <c r="AH136">
        <v>0</v>
      </c>
      <c r="AI136">
        <v>12</v>
      </c>
      <c r="AJ136">
        <v>0</v>
      </c>
      <c r="AK136">
        <v>0</v>
      </c>
      <c r="CA136" s="16" t="s">
        <v>319</v>
      </c>
      <c r="CB136">
        <v>0</v>
      </c>
      <c r="CC136">
        <v>0</v>
      </c>
      <c r="CD136">
        <v>0</v>
      </c>
      <c r="CE136">
        <v>0</v>
      </c>
      <c r="CF136">
        <v>0</v>
      </c>
      <c r="CG136">
        <v>2</v>
      </c>
      <c r="CH136">
        <v>0</v>
      </c>
      <c r="CI136">
        <v>0</v>
      </c>
    </row>
    <row r="137" spans="29:87" x14ac:dyDescent="0.35">
      <c r="AC137" s="16" t="s">
        <v>320</v>
      </c>
      <c r="AD137">
        <v>0</v>
      </c>
      <c r="AE137">
        <v>0</v>
      </c>
      <c r="AF137">
        <v>0</v>
      </c>
      <c r="AG137">
        <v>0</v>
      </c>
      <c r="AH137">
        <v>0</v>
      </c>
      <c r="AI137">
        <v>0</v>
      </c>
      <c r="AJ137">
        <v>0</v>
      </c>
      <c r="AK137">
        <v>0</v>
      </c>
      <c r="CA137" s="16" t="s">
        <v>320</v>
      </c>
      <c r="CB137">
        <v>0</v>
      </c>
      <c r="CC137">
        <v>0</v>
      </c>
      <c r="CD137">
        <v>0</v>
      </c>
      <c r="CE137">
        <v>0</v>
      </c>
      <c r="CF137">
        <v>0</v>
      </c>
      <c r="CG137">
        <v>0</v>
      </c>
      <c r="CH137">
        <v>0</v>
      </c>
      <c r="CI137">
        <v>0</v>
      </c>
    </row>
    <row r="138" spans="29:87" x14ac:dyDescent="0.35">
      <c r="AC138" s="16" t="s">
        <v>321</v>
      </c>
      <c r="AD138">
        <v>0</v>
      </c>
      <c r="AE138">
        <v>108</v>
      </c>
      <c r="AF138">
        <v>102</v>
      </c>
      <c r="AG138">
        <v>12</v>
      </c>
      <c r="AH138">
        <v>170</v>
      </c>
      <c r="AI138">
        <v>198</v>
      </c>
      <c r="AJ138">
        <v>96</v>
      </c>
      <c r="AK138">
        <v>8</v>
      </c>
      <c r="CA138" s="16" t="s">
        <v>321</v>
      </c>
      <c r="CB138">
        <v>0</v>
      </c>
      <c r="CC138">
        <v>12</v>
      </c>
      <c r="CD138">
        <v>12</v>
      </c>
      <c r="CE138">
        <v>0</v>
      </c>
      <c r="CF138">
        <v>23</v>
      </c>
      <c r="CG138">
        <v>72</v>
      </c>
      <c r="CH138">
        <v>8</v>
      </c>
      <c r="CI138">
        <v>8</v>
      </c>
    </row>
    <row r="139" spans="29:87" x14ac:dyDescent="0.35">
      <c r="AC139" s="16" t="s">
        <v>322</v>
      </c>
      <c r="AD139">
        <v>0</v>
      </c>
      <c r="AE139">
        <v>0</v>
      </c>
      <c r="AF139">
        <v>8</v>
      </c>
      <c r="AG139">
        <v>13</v>
      </c>
      <c r="AH139">
        <v>22</v>
      </c>
      <c r="AI139">
        <v>6</v>
      </c>
      <c r="AJ139">
        <v>0</v>
      </c>
      <c r="AK139">
        <v>0</v>
      </c>
      <c r="CA139" s="16" t="s">
        <v>322</v>
      </c>
      <c r="CB139">
        <v>0</v>
      </c>
      <c r="CC139">
        <v>0</v>
      </c>
      <c r="CD139">
        <v>2</v>
      </c>
      <c r="CE139">
        <v>2</v>
      </c>
      <c r="CF139">
        <v>4</v>
      </c>
      <c r="CG139">
        <v>6</v>
      </c>
      <c r="CH139">
        <v>0</v>
      </c>
      <c r="CI139">
        <v>0</v>
      </c>
    </row>
    <row r="140" spans="29:87" x14ac:dyDescent="0.35">
      <c r="AC140" s="16" t="s">
        <v>323</v>
      </c>
      <c r="AD140">
        <v>126</v>
      </c>
      <c r="AE140">
        <v>281</v>
      </c>
      <c r="AF140">
        <v>22</v>
      </c>
      <c r="AG140">
        <v>46</v>
      </c>
      <c r="AH140">
        <v>0</v>
      </c>
      <c r="AI140">
        <v>14</v>
      </c>
      <c r="AJ140">
        <v>18</v>
      </c>
      <c r="AK140">
        <v>0</v>
      </c>
      <c r="CA140" s="16" t="s">
        <v>323</v>
      </c>
      <c r="CB140">
        <v>22</v>
      </c>
      <c r="CC140">
        <v>48</v>
      </c>
      <c r="CD140">
        <v>4</v>
      </c>
      <c r="CE140">
        <v>2</v>
      </c>
      <c r="CF140">
        <v>0</v>
      </c>
      <c r="CG140">
        <v>0</v>
      </c>
      <c r="CH140">
        <v>0</v>
      </c>
      <c r="CI140">
        <v>0</v>
      </c>
    </row>
    <row r="141" spans="29:87" x14ac:dyDescent="0.35">
      <c r="AC141" s="16" t="s">
        <v>324</v>
      </c>
      <c r="AD141">
        <v>0</v>
      </c>
      <c r="AE141">
        <v>0</v>
      </c>
      <c r="AF141">
        <v>0</v>
      </c>
      <c r="AG141">
        <v>0</v>
      </c>
      <c r="AH141">
        <v>0</v>
      </c>
      <c r="AI141">
        <v>0</v>
      </c>
      <c r="AJ141">
        <v>0</v>
      </c>
      <c r="AK141">
        <v>0</v>
      </c>
      <c r="CA141" s="16" t="s">
        <v>324</v>
      </c>
      <c r="CB141">
        <v>0</v>
      </c>
      <c r="CC141">
        <v>0</v>
      </c>
      <c r="CD141">
        <v>0</v>
      </c>
      <c r="CE141">
        <v>0</v>
      </c>
      <c r="CF141">
        <v>0</v>
      </c>
      <c r="CG141">
        <v>0</v>
      </c>
      <c r="CH141">
        <v>0</v>
      </c>
      <c r="CI141">
        <v>0</v>
      </c>
    </row>
    <row r="142" spans="29:87" x14ac:dyDescent="0.35">
      <c r="AC142" s="16" t="s">
        <v>325</v>
      </c>
      <c r="AD142">
        <v>170</v>
      </c>
      <c r="AE142">
        <v>129</v>
      </c>
      <c r="AF142">
        <v>57</v>
      </c>
      <c r="AG142">
        <v>96</v>
      </c>
      <c r="AH142">
        <v>59</v>
      </c>
      <c r="AI142">
        <v>170</v>
      </c>
      <c r="AJ142">
        <v>123</v>
      </c>
      <c r="AK142">
        <v>215</v>
      </c>
      <c r="CA142" s="16" t="s">
        <v>325</v>
      </c>
      <c r="CB142">
        <v>24</v>
      </c>
      <c r="CC142">
        <v>14</v>
      </c>
      <c r="CD142">
        <v>6</v>
      </c>
      <c r="CE142">
        <v>7</v>
      </c>
      <c r="CF142">
        <v>4</v>
      </c>
      <c r="CG142">
        <v>51</v>
      </c>
      <c r="CH142">
        <v>13</v>
      </c>
      <c r="CI142">
        <v>48</v>
      </c>
    </row>
    <row r="147" spans="29:94" x14ac:dyDescent="0.35">
      <c r="AC147" s="23" t="s">
        <v>1</v>
      </c>
      <c r="AD147" s="23" t="s">
        <v>2</v>
      </c>
      <c r="AE147" s="23" t="s">
        <v>3</v>
      </c>
      <c r="AF147" s="23" t="s">
        <v>4</v>
      </c>
      <c r="AG147" s="23" t="s">
        <v>5</v>
      </c>
      <c r="AH147" s="23" t="s">
        <v>6</v>
      </c>
      <c r="AI147" s="23" t="s">
        <v>7</v>
      </c>
      <c r="AJ147" s="23" t="s">
        <v>8</v>
      </c>
      <c r="AK147" s="23" t="s">
        <v>9</v>
      </c>
      <c r="AL147" s="23" t="s">
        <v>10</v>
      </c>
      <c r="AM147" s="23" t="s">
        <v>11</v>
      </c>
      <c r="AN147" s="23" t="s">
        <v>12</v>
      </c>
      <c r="AO147" s="23" t="s">
        <v>13</v>
      </c>
      <c r="AP147" s="23" t="s">
        <v>14</v>
      </c>
    </row>
    <row r="148" spans="29:94" x14ac:dyDescent="0.35">
      <c r="AC148" s="8">
        <f>IF((COUNTIF(AD7:AD145,"&gt;0"))=0,"",(COUNTIF(AD7:AD145,"&gt;0")))</f>
        <v>49</v>
      </c>
      <c r="AD148" s="8">
        <f>IF((COUNTIF(AE7:AE145,"&gt;0"))=0,"",(COUNTIF(AE7:AE145,"&gt;0")))</f>
        <v>56</v>
      </c>
      <c r="AE148" s="8">
        <f>IF((COUNTIF(AF7:AF145,"&gt;0"))=0,"",(COUNTIF(AF7:AF145,"&gt;0")))</f>
        <v>57</v>
      </c>
      <c r="AF148" s="8">
        <f t="shared" ref="AF148:AG148" si="18">IF((COUNTIF(AG7:AG145,"&gt;0"))=0,"",(COUNTIF(AG7:AG145,"&gt;0")))</f>
        <v>56</v>
      </c>
      <c r="AG148" s="8">
        <f t="shared" si="18"/>
        <v>51</v>
      </c>
      <c r="AH148" s="8">
        <f>IF((COUNTIF(AI7:AI145,"&gt;0"))=0,"",(COUNTIF(AI7:AI145,"&gt;0")))</f>
        <v>54</v>
      </c>
      <c r="AI148" s="8">
        <f t="shared" ref="AI148:AO148" si="19">IF((COUNTIF(AJ7:AJ145,"&gt;0"))=0,"",(COUNTIF(AJ7:AJ145,"&gt;0")))</f>
        <v>56</v>
      </c>
      <c r="AJ148" s="8">
        <f t="shared" si="19"/>
        <v>57</v>
      </c>
      <c r="AK148" s="8" t="str">
        <f t="shared" si="19"/>
        <v/>
      </c>
      <c r="AL148" s="8" t="str">
        <f t="shared" si="19"/>
        <v/>
      </c>
      <c r="AM148" s="8" t="str">
        <f t="shared" si="19"/>
        <v/>
      </c>
      <c r="AN148" s="8" t="str">
        <f t="shared" si="19"/>
        <v/>
      </c>
      <c r="AO148" s="8" t="str">
        <f t="shared" si="19"/>
        <v/>
      </c>
      <c r="AP148" s="8" t="str">
        <f>IF((COUNTIF(AQ7:AQ145,"&gt;0"))=0,"",(COUNTIF(AQ7:AQ145,"&gt;0")))</f>
        <v/>
      </c>
      <c r="CA148" s="23" t="s">
        <v>1</v>
      </c>
      <c r="CB148" s="23" t="s">
        <v>2</v>
      </c>
      <c r="CC148" s="23" t="s">
        <v>3</v>
      </c>
      <c r="CD148" s="23" t="s">
        <v>4</v>
      </c>
      <c r="CE148" s="23" t="s">
        <v>5</v>
      </c>
      <c r="CF148" s="23" t="s">
        <v>6</v>
      </c>
      <c r="CG148" s="23" t="s">
        <v>7</v>
      </c>
      <c r="CH148" s="23" t="s">
        <v>8</v>
      </c>
      <c r="CI148" s="23" t="s">
        <v>9</v>
      </c>
      <c r="CJ148" s="23" t="s">
        <v>10</v>
      </c>
      <c r="CK148" s="23" t="s">
        <v>11</v>
      </c>
      <c r="CL148" s="23" t="s">
        <v>12</v>
      </c>
      <c r="CM148" s="23" t="s">
        <v>13</v>
      </c>
      <c r="CN148" s="23" t="s">
        <v>14</v>
      </c>
    </row>
    <row r="149" spans="29:94" x14ac:dyDescent="0.35">
      <c r="CA149" s="8">
        <f>IF((COUNTIF(CB7:CB145,"&gt;0"))=0,"",(COUNTIF(CB7:CB145,"&gt;0")))</f>
        <v>43</v>
      </c>
      <c r="CB149" s="8">
        <f>IF((COUNTIF(CC7:CC145,"&gt;0"))=0,"",(COUNTIF(CC7:CC145,"&gt;0")))</f>
        <v>47</v>
      </c>
      <c r="CC149" s="8">
        <f>IF((COUNTIF(CD7:CD145,"&gt;0"))=0,"",(COUNTIF(CD7:CD145,"&gt;0")))</f>
        <v>47</v>
      </c>
      <c r="CD149" s="8">
        <f>IF((COUNTIF(CE7:CE145,"&gt;0"))=0,"",(COUNTIF(CE7:CE145,"&gt;0")))</f>
        <v>48</v>
      </c>
      <c r="CE149" s="8">
        <f t="shared" ref="CE149:CM149" si="20">IF((COUNTIF(CF7:CF147,"&gt;0"))=0,"",(COUNTIF(CF7:CF147,"&gt;0")))</f>
        <v>46</v>
      </c>
      <c r="CF149" s="8">
        <f>IF((COUNTIF(CG7:CG147,"&gt;0"))=0,"",(COUNTIF(CG7:CG147,"&gt;0")))</f>
        <v>51</v>
      </c>
      <c r="CG149" s="8">
        <f t="shared" si="20"/>
        <v>46</v>
      </c>
      <c r="CH149" s="8">
        <f t="shared" si="20"/>
        <v>49</v>
      </c>
      <c r="CI149" s="8" t="str">
        <f t="shared" si="20"/>
        <v/>
      </c>
      <c r="CJ149" s="8" t="str">
        <f t="shared" si="20"/>
        <v/>
      </c>
      <c r="CK149" s="8" t="str">
        <f t="shared" si="20"/>
        <v/>
      </c>
      <c r="CL149" s="8" t="str">
        <f t="shared" si="20"/>
        <v/>
      </c>
      <c r="CM149" s="8" t="str">
        <f t="shared" si="20"/>
        <v/>
      </c>
      <c r="CN149" s="8" t="str">
        <f>IF((COUNTIF(CO7:CO148,"&gt;0"))=0,"",(COUNTIF(CO7:CO148,"&gt;0")))</f>
        <v/>
      </c>
    </row>
    <row r="151" spans="29:94" x14ac:dyDescent="0.35">
      <c r="BZ151" s="23"/>
      <c r="CP151" s="23"/>
    </row>
    <row r="152" spans="29:94" x14ac:dyDescent="0.35">
      <c r="BZ152" s="8"/>
      <c r="CP152" s="8"/>
    </row>
  </sheetData>
  <mergeCells count="6">
    <mergeCell ref="CR1:CU1"/>
    <mergeCell ref="G1:Y1"/>
    <mergeCell ref="AC1:AQ1"/>
    <mergeCell ref="AS1:AV1"/>
    <mergeCell ref="BD1:BV1"/>
    <mergeCell ref="CA1:CO1"/>
  </mergeCells>
  <phoneticPr fontId="20" type="noConversion"/>
  <pageMargins left="0.7" right="0.7" top="0.75" bottom="0.75" header="0.3" footer="0.3"/>
  <pageSetup paperSize="9" orientation="portrait" r:id="rId9"/>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B1:BU20"/>
  <sheetViews>
    <sheetView zoomScale="70" zoomScaleNormal="70" workbookViewId="0">
      <selection activeCell="C3" sqref="C3"/>
    </sheetView>
  </sheetViews>
  <sheetFormatPr defaultRowHeight="14.5" x14ac:dyDescent="0.35"/>
  <cols>
    <col min="1" max="1" width="4.7265625" customWidth="1"/>
    <col min="2" max="2" width="9.1796875" style="8"/>
    <col min="3" max="3" width="13.1796875" style="8" bestFit="1" customWidth="1"/>
    <col min="4" max="4" width="10.453125" style="8" bestFit="1" customWidth="1"/>
    <col min="5" max="5" width="5.81640625" style="8" bestFit="1" customWidth="1"/>
    <col min="6" max="6" width="9.1796875" style="8"/>
    <col min="9" max="9" width="13.1796875" bestFit="1" customWidth="1"/>
    <col min="10" max="10" width="15.81640625" bestFit="1" customWidth="1"/>
    <col min="11" max="11" width="5.81640625" bestFit="1" customWidth="1"/>
    <col min="12" max="12" width="7.1796875" bestFit="1" customWidth="1"/>
    <col min="13" max="13" width="5.81640625" bestFit="1" customWidth="1"/>
    <col min="14" max="14" width="8.54296875" bestFit="1" customWidth="1"/>
    <col min="15" max="15" width="5.81640625" bestFit="1" customWidth="1"/>
    <col min="16" max="16" width="22" bestFit="1" customWidth="1"/>
    <col min="17" max="17" width="5.81640625" bestFit="1" customWidth="1"/>
    <col min="18" max="18" width="10.54296875" bestFit="1" customWidth="1"/>
    <col min="19" max="19" width="5.81640625" bestFit="1" customWidth="1"/>
    <col min="20" max="20" width="9.7265625" bestFit="1" customWidth="1"/>
    <col min="21" max="21" width="5.81640625" bestFit="1" customWidth="1"/>
    <col min="22" max="22" width="10.54296875" bestFit="1" customWidth="1"/>
    <col min="23" max="23" width="5.81640625" bestFit="1" customWidth="1"/>
    <col min="24" max="24" width="9.54296875" bestFit="1" customWidth="1"/>
    <col min="25" max="25" width="8.54296875" bestFit="1" customWidth="1"/>
    <col min="26" max="39" width="9" customWidth="1"/>
    <col min="40" max="40" width="13.1796875" bestFit="1" customWidth="1"/>
    <col min="41" max="41" width="10.453125" bestFit="1" customWidth="1"/>
    <col min="42" max="42" width="5.81640625" bestFit="1" customWidth="1"/>
    <col min="46" max="46" width="13.1796875" bestFit="1" customWidth="1"/>
    <col min="47" max="47" width="15.81640625" bestFit="1" customWidth="1"/>
    <col min="48" max="48" width="5.81640625" bestFit="1" customWidth="1"/>
    <col min="49" max="49" width="7.1796875" bestFit="1" customWidth="1"/>
    <col min="50" max="50" width="5.81640625" bestFit="1" customWidth="1"/>
    <col min="51" max="51" width="8.54296875" bestFit="1" customWidth="1"/>
    <col min="52" max="52" width="5.81640625" bestFit="1" customWidth="1"/>
    <col min="53" max="53" width="22" bestFit="1" customWidth="1"/>
    <col min="54" max="54" width="5.81640625" bestFit="1" customWidth="1"/>
    <col min="55" max="55" width="10.54296875" bestFit="1" customWidth="1"/>
    <col min="56" max="56" width="5.81640625" bestFit="1" customWidth="1"/>
    <col min="57" max="57" width="9.7265625" bestFit="1" customWidth="1"/>
    <col min="58" max="58" width="5.81640625" bestFit="1" customWidth="1"/>
    <col min="59" max="59" width="10.54296875" bestFit="1" customWidth="1"/>
    <col min="60" max="60" width="5.81640625" bestFit="1" customWidth="1"/>
    <col min="61" max="61" width="9.54296875" bestFit="1" customWidth="1"/>
    <col min="62" max="62" width="8.54296875" bestFit="1" customWidth="1"/>
    <col min="63" max="63" width="10.54296875" bestFit="1" customWidth="1"/>
    <col min="64" max="64" width="6.81640625" bestFit="1" customWidth="1"/>
    <col min="65" max="65" width="20.26953125" bestFit="1" customWidth="1"/>
    <col min="66" max="66" width="5.81640625" bestFit="1" customWidth="1"/>
    <col min="67" max="67" width="9.7265625" bestFit="1" customWidth="1"/>
    <col min="68" max="68" width="6.81640625" bestFit="1" customWidth="1"/>
    <col min="69" max="69" width="19.1796875" bestFit="1" customWidth="1"/>
    <col min="70" max="70" width="5.81640625" bestFit="1" customWidth="1"/>
    <col min="71" max="71" width="15.1796875" bestFit="1" customWidth="1"/>
    <col min="72" max="72" width="5.81640625" bestFit="1" customWidth="1"/>
    <col min="73" max="73" width="10.54296875" bestFit="1" customWidth="1"/>
    <col min="74" max="74" width="5.81640625" bestFit="1" customWidth="1"/>
    <col min="75" max="75" width="20" bestFit="1" customWidth="1"/>
    <col min="76" max="76" width="5.81640625" bestFit="1" customWidth="1"/>
    <col min="77" max="77" width="9.54296875" bestFit="1" customWidth="1"/>
    <col min="78" max="78" width="8.54296875" bestFit="1" customWidth="1"/>
  </cols>
  <sheetData>
    <row r="1" spans="2:73" s="14" customFormat="1" x14ac:dyDescent="0.35">
      <c r="B1" s="23"/>
      <c r="C1" s="35" t="s">
        <v>344</v>
      </c>
      <c r="D1" s="35"/>
      <c r="E1" s="34"/>
      <c r="F1" s="34"/>
      <c r="H1" s="23"/>
      <c r="I1" s="35" t="s">
        <v>345</v>
      </c>
      <c r="J1" s="34"/>
      <c r="K1" s="34"/>
      <c r="L1" s="34"/>
      <c r="M1" s="34"/>
      <c r="N1" s="34"/>
      <c r="O1" s="34"/>
      <c r="P1" s="34"/>
      <c r="Q1" s="34"/>
      <c r="R1" s="34"/>
      <c r="S1" s="34"/>
      <c r="T1" s="34"/>
      <c r="U1" s="34"/>
      <c r="V1" s="34"/>
      <c r="W1" s="34"/>
      <c r="X1" s="34"/>
      <c r="Y1" s="34"/>
      <c r="Z1" s="34"/>
      <c r="AA1" s="34"/>
      <c r="AB1" s="34"/>
      <c r="AC1" s="34"/>
      <c r="AD1" s="34"/>
      <c r="AE1" s="34"/>
      <c r="AF1" s="34"/>
      <c r="AG1" s="34"/>
      <c r="AH1" s="34"/>
      <c r="AI1" s="34"/>
      <c r="AJ1" s="34"/>
      <c r="AK1" s="34"/>
      <c r="AL1" s="34"/>
      <c r="AM1" s="23"/>
      <c r="AN1" s="35" t="s">
        <v>140</v>
      </c>
      <c r="AO1" s="34"/>
      <c r="AP1" s="34"/>
      <c r="AQ1" s="34"/>
      <c r="AR1" s="34"/>
      <c r="AT1" s="43" t="s">
        <v>142</v>
      </c>
      <c r="AU1" s="43"/>
      <c r="AV1" s="43"/>
      <c r="AW1" s="43"/>
      <c r="AX1" s="43"/>
      <c r="AY1" s="43"/>
      <c r="AZ1" s="43"/>
      <c r="BA1" s="43"/>
      <c r="BB1" s="43"/>
      <c r="BC1" s="43"/>
      <c r="BD1" s="43"/>
      <c r="BE1" s="43"/>
      <c r="BF1" s="43"/>
      <c r="BG1" s="43"/>
      <c r="BH1" s="43"/>
      <c r="BI1" s="43"/>
      <c r="BJ1" s="43"/>
      <c r="BK1" s="43"/>
      <c r="BL1" s="43"/>
      <c r="BM1" s="43"/>
      <c r="BN1" s="43"/>
      <c r="BO1" s="43"/>
      <c r="BP1" s="43"/>
      <c r="BQ1" s="43"/>
      <c r="BR1" s="43"/>
      <c r="BS1" s="43"/>
      <c r="BT1" s="43"/>
    </row>
    <row r="3" spans="2:73" x14ac:dyDescent="0.35">
      <c r="C3" s="15" t="s">
        <v>129</v>
      </c>
      <c r="D3" t="s" vm="1">
        <v>130</v>
      </c>
      <c r="E3"/>
      <c r="I3" s="15" t="s">
        <v>129</v>
      </c>
      <c r="J3" t="s" vm="1">
        <v>130</v>
      </c>
      <c r="AC3" t="s">
        <v>132</v>
      </c>
      <c r="AD3" t="s">
        <v>21</v>
      </c>
      <c r="AE3" t="s">
        <v>22</v>
      </c>
      <c r="AF3" t="s">
        <v>25</v>
      </c>
      <c r="AG3" t="s">
        <v>27</v>
      </c>
      <c r="AH3" t="s">
        <v>28</v>
      </c>
      <c r="AI3" t="s">
        <v>133</v>
      </c>
      <c r="AJ3" t="s">
        <v>37</v>
      </c>
      <c r="AN3" s="15" t="s">
        <v>129</v>
      </c>
      <c r="AO3" t="s" vm="1">
        <v>130</v>
      </c>
      <c r="AT3" s="15" t="s">
        <v>129</v>
      </c>
      <c r="AU3" t="s" vm="1">
        <v>130</v>
      </c>
    </row>
    <row r="4" spans="2:73" x14ac:dyDescent="0.35">
      <c r="C4"/>
      <c r="D4"/>
      <c r="E4"/>
      <c r="AB4" t="s">
        <v>1</v>
      </c>
      <c r="AC4" s="24">
        <f>VLOOKUP($AB4,$I$8:$Y$1048576,17,FALSE)/VLOOKUP($AB4,$I$8:$Y$1048576,16,FALSE)</f>
        <v>0.81032092604145001</v>
      </c>
      <c r="AD4" s="24">
        <f>VLOOKUP($AB4,$I$8:$Y$1048576,5,FALSE)/VLOOKUP($AB4,$I$8:$Y$1048576,4,FALSE)</f>
        <v>0.89756446991404015</v>
      </c>
      <c r="AE4" s="24">
        <f>VLOOKUP($AB4,$I$8:$Y$1048576,7,FALSE)/VLOOKUP($AB4,$I$8:$Y$1048576,6,FALSE)</f>
        <v>0.7887386388827311</v>
      </c>
      <c r="AF4" s="24">
        <f>VLOOKUP($AB4,$I$8:$Y$1048576,9,FALSE)/VLOOKUP($AB4,$I$8:$Y$1048576,8,FALSE)</f>
        <v>0.75740040062319158</v>
      </c>
      <c r="AG4" s="24">
        <f>VLOOKUP($AB4,$I$8:$Y$1048576,13,FALSE)/VLOOKUP($AB4,$I$8:$Y$1048576,12,FALSE)</f>
        <v>0.78872863247863245</v>
      </c>
      <c r="AH4" s="24">
        <f>VLOOKUP($AB4,$I$8:$Y$1048576,15,FALSE)/VLOOKUP($AB4,$I$8:$Y$1048576,14,FALSE)</f>
        <v>0.74967630556754428</v>
      </c>
      <c r="AI4" s="24">
        <f>VLOOKUP($AB4,$I$8:$Y$1048576,3,FALSE)/VLOOKUP($AB4,$I$8:$Y$1048576,2,FALSE)</f>
        <v>0.82233321441312879</v>
      </c>
      <c r="AJ4" s="24">
        <f>VLOOKUP($AB4,$I$8:$Y$1048576,11,FALSE)/VLOOKUP($AB4,$I$8:$Y$1048576,10,FALSE)</f>
        <v>0.78881677483774337</v>
      </c>
      <c r="AK4" s="37"/>
      <c r="AL4" s="37"/>
    </row>
    <row r="5" spans="2:73" x14ac:dyDescent="0.35">
      <c r="C5" s="15" t="s">
        <v>134</v>
      </c>
      <c r="D5" t="s">
        <v>346</v>
      </c>
      <c r="E5" t="s">
        <v>347</v>
      </c>
      <c r="J5" s="15" t="s">
        <v>136</v>
      </c>
      <c r="AB5" t="s">
        <v>2</v>
      </c>
      <c r="AC5" s="24">
        <f t="shared" ref="AC5:AC15" si="0">VLOOKUP($AB5,$I$8:$Y$1048576,17,FALSE)/VLOOKUP($AB5,$I$8:$Y$1048576,16,FALSE)</f>
        <v>0.8122512545423084</v>
      </c>
      <c r="AD5" s="24">
        <f t="shared" ref="AD5:AD15" si="1">VLOOKUP($AB5,$I$8:$Y$1048576,5,FALSE)/VLOOKUP($AB5,$I$8:$Y$1048576,4,FALSE)</f>
        <v>0.89981499928845876</v>
      </c>
      <c r="AE5" s="24">
        <f t="shared" ref="AE5:AE15" si="2">VLOOKUP($AB5,$I$8:$Y$1048576,7,FALSE)/VLOOKUP($AB5,$I$8:$Y$1048576,6,FALSE)</f>
        <v>0.80145118733509235</v>
      </c>
      <c r="AF5" s="24">
        <f t="shared" ref="AF5:AF15" si="3">VLOOKUP($AB5,$I$8:$Y$1048576,9,FALSE)/VLOOKUP($AB5,$I$8:$Y$1048576,8,FALSE)</f>
        <v>0.76242969628796398</v>
      </c>
      <c r="AG5" s="24">
        <f t="shared" ref="AG5:AG15" si="4">VLOOKUP($AB5,$I$8:$Y$1048576,13,FALSE)/VLOOKUP($AB5,$I$8:$Y$1048576,12,FALSE)</f>
        <v>0.76957911561001602</v>
      </c>
      <c r="AH5" s="24">
        <f t="shared" ref="AH5:AH15" si="5">VLOOKUP($AB5,$I$8:$Y$1048576,15,FALSE)/VLOOKUP($AB5,$I$8:$Y$1048576,14,FALSE)</f>
        <v>0.75216637781629114</v>
      </c>
      <c r="AI5" s="24">
        <f t="shared" ref="AI5:AI15" si="6">VLOOKUP($AB5,$I$8:$Y$1048576,3,FALSE)/VLOOKUP($AB5,$I$8:$Y$1048576,2,FALSE)</f>
        <v>0.80904522613065322</v>
      </c>
      <c r="AJ5" s="24">
        <f t="shared" ref="AJ5:AJ14" si="7">VLOOKUP($AB5,$I$8:$Y$1048576,11,FALSE)/VLOOKUP($AB5,$I$8:$Y$1048576,10,FALSE)</f>
        <v>0.80307921529674697</v>
      </c>
      <c r="AK5" s="37"/>
      <c r="AL5" s="37"/>
      <c r="AN5" s="15" t="s">
        <v>134</v>
      </c>
      <c r="AO5" t="s">
        <v>346</v>
      </c>
      <c r="AP5" t="s">
        <v>347</v>
      </c>
      <c r="AU5" s="15" t="s">
        <v>136</v>
      </c>
      <c r="BN5" t="s">
        <v>132</v>
      </c>
      <c r="BO5" t="s">
        <v>21</v>
      </c>
      <c r="BP5" t="s">
        <v>22</v>
      </c>
      <c r="BQ5" t="s">
        <v>25</v>
      </c>
      <c r="BR5" t="s">
        <v>27</v>
      </c>
      <c r="BS5" t="s">
        <v>28</v>
      </c>
      <c r="BT5" t="s">
        <v>133</v>
      </c>
      <c r="BU5" t="s">
        <v>37</v>
      </c>
    </row>
    <row r="6" spans="2:73" x14ac:dyDescent="0.35">
      <c r="B6" s="24"/>
      <c r="C6" s="16">
        <v>1</v>
      </c>
      <c r="D6">
        <v>28854</v>
      </c>
      <c r="E6">
        <v>23381</v>
      </c>
      <c r="F6" s="24">
        <f>E6/D6</f>
        <v>0.81032092604145001</v>
      </c>
      <c r="H6" s="24"/>
      <c r="J6" t="s">
        <v>137</v>
      </c>
      <c r="L6" t="s">
        <v>21</v>
      </c>
      <c r="N6" t="s">
        <v>22</v>
      </c>
      <c r="P6" t="s">
        <v>138</v>
      </c>
      <c r="R6" t="s">
        <v>26</v>
      </c>
      <c r="T6" t="s">
        <v>27</v>
      </c>
      <c r="V6" t="s">
        <v>28</v>
      </c>
      <c r="X6" t="s">
        <v>348</v>
      </c>
      <c r="Y6" t="s">
        <v>349</v>
      </c>
      <c r="AB6" t="s">
        <v>3</v>
      </c>
      <c r="AC6" s="24">
        <f t="shared" si="0"/>
        <v>0.81234013135153815</v>
      </c>
      <c r="AD6" s="24">
        <f t="shared" si="1"/>
        <v>0.89714608646510319</v>
      </c>
      <c r="AE6" s="24">
        <f t="shared" si="2"/>
        <v>0.81687062937062938</v>
      </c>
      <c r="AF6" s="24">
        <f t="shared" si="3"/>
        <v>0.75878949710725407</v>
      </c>
      <c r="AG6" s="24">
        <f t="shared" si="4"/>
        <v>0.75570469798657713</v>
      </c>
      <c r="AH6" s="24">
        <f t="shared" si="5"/>
        <v>0.75921908893709322</v>
      </c>
      <c r="AI6" s="24">
        <f t="shared" si="6"/>
        <v>0.80926130099228222</v>
      </c>
      <c r="AJ6" s="24">
        <f t="shared" si="7"/>
        <v>0.8027784668816671</v>
      </c>
      <c r="AK6" s="37"/>
      <c r="AL6" s="37"/>
      <c r="AN6" s="16">
        <v>1</v>
      </c>
      <c r="AO6">
        <v>28854</v>
      </c>
      <c r="AP6">
        <v>23381</v>
      </c>
      <c r="AQ6" s="17">
        <f>(AO6-AP6)/4</f>
        <v>1368.25</v>
      </c>
      <c r="AR6" s="17"/>
      <c r="AU6" t="s">
        <v>137</v>
      </c>
      <c r="AW6" t="s">
        <v>21</v>
      </c>
      <c r="AY6" t="s">
        <v>22</v>
      </c>
      <c r="BA6" t="s">
        <v>138</v>
      </c>
      <c r="BC6" t="s">
        <v>26</v>
      </c>
      <c r="BE6" t="s">
        <v>27</v>
      </c>
      <c r="BG6" t="s">
        <v>28</v>
      </c>
      <c r="BI6" t="s">
        <v>348</v>
      </c>
      <c r="BJ6" t="s">
        <v>349</v>
      </c>
      <c r="BM6" s="8" t="s">
        <v>1</v>
      </c>
      <c r="BN6" s="21">
        <f>(VLOOKUP($BM6,$AT$8:$BJ$1048576,16,FALSE)-VLOOKUP($BM6,$AT$8:$BJ$1048576,17,FALSE))/7</f>
        <v>781.85714285714289</v>
      </c>
      <c r="BO6" s="21">
        <f>(VLOOKUP($BM6,$AT$8:$BJ$1048576,4,FALSE)-VLOOKUP($BM6,$AT$8:$BJ$1048576,5,FALSE))/7</f>
        <v>102.14285714285714</v>
      </c>
      <c r="BP6" s="21">
        <f>(VLOOKUP($BM6,$AT$8:$BJ$1048576,6,FALSE)-VLOOKUP($BM6,$AT$8:$BJ$1048576,7,FALSE))/7</f>
        <v>136.14285714285714</v>
      </c>
      <c r="BQ6" s="21">
        <f>(VLOOKUP($BM6,$AT$8:$BJ$1048576,8,FALSE)-VLOOKUP($BM6,$AT$8:$BJ$1048576,9,FALSE))/7</f>
        <v>155.71428571428572</v>
      </c>
      <c r="BR6" s="21">
        <f>(VLOOKUP($BM6,$AT$8:$BJ$1048576,12,FALSE)-VLOOKUP($BM6,$AT$8:$BJ$1048576,13,FALSE))/7</f>
        <v>113</v>
      </c>
      <c r="BS6" s="21">
        <f>(VLOOKUP($BM6,$AT$8:$BJ$1048576,14,FALSE)-VLOOKUP($BM6,$AT$8:$BJ$1048576,15,FALSE))/7</f>
        <v>82.857142857142861</v>
      </c>
      <c r="BT6" s="21">
        <f>(VLOOKUP($BM6,$AT$8:$BJ$1048576,2,FALSE)-VLOOKUP($BM6,$AT$8:$BJ$1048576,3,FALSE))/7</f>
        <v>71.142857142857139</v>
      </c>
      <c r="BU6" s="21">
        <f>(VLOOKUP($BM6,$AT$8:$BJ$1048576,10,FALSE)-VLOOKUP($BM6,$AT$8:$BJ$1048576,11,FALSE))/7</f>
        <v>120.85714285714286</v>
      </c>
    </row>
    <row r="7" spans="2:73" x14ac:dyDescent="0.35">
      <c r="B7" s="24"/>
      <c r="C7" s="16">
        <v>2</v>
      </c>
      <c r="D7">
        <v>28895</v>
      </c>
      <c r="E7">
        <v>23470</v>
      </c>
      <c r="F7" s="24">
        <f t="shared" ref="F7:F20" si="8">E7/D7</f>
        <v>0.8122512545423084</v>
      </c>
      <c r="H7" s="24"/>
      <c r="I7" s="15" t="s">
        <v>134</v>
      </c>
      <c r="J7" t="s">
        <v>346</v>
      </c>
      <c r="K7" t="s">
        <v>347</v>
      </c>
      <c r="L7" t="s">
        <v>346</v>
      </c>
      <c r="M7" t="s">
        <v>347</v>
      </c>
      <c r="N7" t="s">
        <v>346</v>
      </c>
      <c r="O7" t="s">
        <v>347</v>
      </c>
      <c r="P7" t="s">
        <v>346</v>
      </c>
      <c r="Q7" t="s">
        <v>347</v>
      </c>
      <c r="R7" t="s">
        <v>346</v>
      </c>
      <c r="S7" t="s">
        <v>347</v>
      </c>
      <c r="T7" t="s">
        <v>346</v>
      </c>
      <c r="U7" t="s">
        <v>347</v>
      </c>
      <c r="V7" t="s">
        <v>346</v>
      </c>
      <c r="W7" t="s">
        <v>347</v>
      </c>
      <c r="AB7" t="s">
        <v>4</v>
      </c>
      <c r="AC7" s="24">
        <f t="shared" si="0"/>
        <v>0.81154230226231883</v>
      </c>
      <c r="AD7" s="24">
        <f t="shared" si="1"/>
        <v>0.90015534529021324</v>
      </c>
      <c r="AE7" s="24">
        <f t="shared" si="2"/>
        <v>0.81492864983534574</v>
      </c>
      <c r="AF7" s="24">
        <f t="shared" si="3"/>
        <v>0.75448833034111307</v>
      </c>
      <c r="AG7" s="24">
        <f t="shared" si="4"/>
        <v>0.76168969181721569</v>
      </c>
      <c r="AH7" s="24">
        <f t="shared" si="5"/>
        <v>0.78199052132701419</v>
      </c>
      <c r="AI7" s="24">
        <f t="shared" si="6"/>
        <v>0.81077250177179305</v>
      </c>
      <c r="AJ7" s="24">
        <f t="shared" si="7"/>
        <v>0.77931716971796139</v>
      </c>
      <c r="AK7" s="37"/>
      <c r="AL7" s="37"/>
      <c r="AN7" s="16">
        <v>2</v>
      </c>
      <c r="AO7">
        <v>28895</v>
      </c>
      <c r="AP7">
        <v>23470</v>
      </c>
      <c r="AQ7" s="17">
        <f>(AO7-AP7)/7</f>
        <v>775</v>
      </c>
      <c r="AR7" s="17"/>
      <c r="AT7" s="15" t="s">
        <v>134</v>
      </c>
      <c r="AU7" t="s">
        <v>346</v>
      </c>
      <c r="AV7" t="s">
        <v>347</v>
      </c>
      <c r="AW7" t="s">
        <v>346</v>
      </c>
      <c r="AX7" t="s">
        <v>347</v>
      </c>
      <c r="AY7" t="s">
        <v>346</v>
      </c>
      <c r="AZ7" t="s">
        <v>347</v>
      </c>
      <c r="BA7" t="s">
        <v>346</v>
      </c>
      <c r="BB7" t="s">
        <v>347</v>
      </c>
      <c r="BC7" t="s">
        <v>346</v>
      </c>
      <c r="BD7" t="s">
        <v>347</v>
      </c>
      <c r="BE7" t="s">
        <v>346</v>
      </c>
      <c r="BF7" t="s">
        <v>347</v>
      </c>
      <c r="BG7" t="s">
        <v>346</v>
      </c>
      <c r="BH7" t="s">
        <v>347</v>
      </c>
      <c r="BM7" s="8" t="s">
        <v>2</v>
      </c>
      <c r="BN7" s="21">
        <f t="shared" ref="BN7:BN19" si="9">(VLOOKUP($BM7,$AT$8:$BJ$1048576,16,FALSE)-VLOOKUP($BM7,$AT$8:$BJ$1048576,17,FALSE))/7</f>
        <v>775</v>
      </c>
      <c r="BO7" s="21">
        <f t="shared" ref="BO7:BO19" si="10">(VLOOKUP($BM7,$AT$8:$BJ$1048576,4,FALSE)-VLOOKUP($BM7,$AT$8:$BJ$1048576,5,FALSE))/7</f>
        <v>100.57142857142857</v>
      </c>
      <c r="BP7" s="21">
        <f t="shared" ref="BP7:BP19" si="11">(VLOOKUP($BM7,$AT$8:$BJ$1048576,6,FALSE)-VLOOKUP($BM7,$AT$8:$BJ$1048576,7,FALSE))/7</f>
        <v>129</v>
      </c>
      <c r="BQ7" s="21">
        <f t="shared" ref="BQ7:BQ19" si="12">(VLOOKUP($BM7,$AT$8:$BJ$1048576,8,FALSE)-VLOOKUP($BM7,$AT$8:$BJ$1048576,9,FALSE))/7</f>
        <v>150.85714285714286</v>
      </c>
      <c r="BR7" s="21">
        <f t="shared" ref="BR7:BR19" si="13">(VLOOKUP($BM7,$AT$8:$BJ$1048576,12,FALSE)-VLOOKUP($BM7,$AT$8:$BJ$1048576,13,FALSE))/7</f>
        <v>123.57142857142857</v>
      </c>
      <c r="BS7" s="21">
        <f t="shared" ref="BS7:BS19" si="14">(VLOOKUP($BM7,$AT$8:$BJ$1048576,14,FALSE)-VLOOKUP($BM7,$AT$8:$BJ$1048576,15,FALSE))/7</f>
        <v>81.714285714285708</v>
      </c>
      <c r="BT7" s="21">
        <f t="shared" ref="BT7:BT19" si="15">(VLOOKUP($BM7,$AT$8:$BJ$1048576,2,FALSE)-VLOOKUP($BM7,$AT$8:$BJ$1048576,3,FALSE))/7</f>
        <v>76</v>
      </c>
      <c r="BU7" s="21">
        <f t="shared" ref="BU7:BU17" si="16">(VLOOKUP($BM7,$AT$8:$BJ$1048576,10,FALSE)-VLOOKUP($BM7,$AT$8:$BJ$1048576,11,FALSE))/7</f>
        <v>113.28571428571429</v>
      </c>
    </row>
    <row r="8" spans="2:73" x14ac:dyDescent="0.35">
      <c r="B8" s="24"/>
      <c r="C8" s="16">
        <v>3</v>
      </c>
      <c r="D8">
        <v>28930</v>
      </c>
      <c r="E8">
        <v>23501</v>
      </c>
      <c r="F8" s="24">
        <f t="shared" si="8"/>
        <v>0.81234013135153815</v>
      </c>
      <c r="H8" s="24"/>
      <c r="I8" s="16" t="s">
        <v>1</v>
      </c>
      <c r="J8">
        <v>2803</v>
      </c>
      <c r="K8">
        <v>2305</v>
      </c>
      <c r="L8">
        <v>6980</v>
      </c>
      <c r="M8">
        <v>6265</v>
      </c>
      <c r="N8">
        <v>4511</v>
      </c>
      <c r="O8">
        <v>3558</v>
      </c>
      <c r="P8">
        <v>4493</v>
      </c>
      <c r="Q8">
        <v>3403</v>
      </c>
      <c r="R8">
        <v>4006</v>
      </c>
      <c r="S8">
        <v>3160</v>
      </c>
      <c r="T8">
        <v>3744</v>
      </c>
      <c r="U8">
        <v>2953</v>
      </c>
      <c r="V8">
        <v>2317</v>
      </c>
      <c r="W8">
        <v>1737</v>
      </c>
      <c r="X8">
        <v>28854</v>
      </c>
      <c r="Y8">
        <v>23381</v>
      </c>
      <c r="AB8" s="17" t="s">
        <v>5</v>
      </c>
      <c r="AC8" s="24">
        <f t="shared" si="0"/>
        <v>0.77247681303261573</v>
      </c>
      <c r="AD8" s="24">
        <f t="shared" si="1"/>
        <v>0.85016568217836042</v>
      </c>
      <c r="AE8" s="24">
        <f t="shared" si="2"/>
        <v>0.77530809859154926</v>
      </c>
      <c r="AF8" s="24">
        <f t="shared" si="3"/>
        <v>0.7403965303593556</v>
      </c>
      <c r="AG8" s="24">
        <f t="shared" si="4"/>
        <v>0.74439340718724667</v>
      </c>
      <c r="AH8" s="24">
        <f t="shared" si="5"/>
        <v>0.72455608488523171</v>
      </c>
      <c r="AI8" s="24">
        <f>VLOOKUP($AB8,$I$8:$Y$1048576,3,FALSE)/VLOOKUP($AB8,$I$8:$Y$1048576,2,FALSE)</f>
        <v>0.78458844133099825</v>
      </c>
      <c r="AJ8" s="24">
        <f t="shared" si="7"/>
        <v>0.71864911845045942</v>
      </c>
      <c r="AK8" s="37"/>
      <c r="AL8" s="37"/>
      <c r="AN8" s="16">
        <v>3</v>
      </c>
      <c r="AO8">
        <v>28930</v>
      </c>
      <c r="AP8">
        <v>23501</v>
      </c>
      <c r="AQ8" s="17">
        <f t="shared" ref="AQ8:AQ19" si="17">(AO8-AP8)/7</f>
        <v>775.57142857142856</v>
      </c>
      <c r="AR8" s="17"/>
      <c r="AT8" s="16" t="s">
        <v>1</v>
      </c>
      <c r="AU8">
        <v>2803</v>
      </c>
      <c r="AV8">
        <v>2305</v>
      </c>
      <c r="AW8">
        <v>6980</v>
      </c>
      <c r="AX8">
        <v>6265</v>
      </c>
      <c r="AY8">
        <v>4511</v>
      </c>
      <c r="AZ8">
        <v>3558</v>
      </c>
      <c r="BA8">
        <v>4493</v>
      </c>
      <c r="BB8">
        <v>3403</v>
      </c>
      <c r="BC8">
        <v>4006</v>
      </c>
      <c r="BD8">
        <v>3160</v>
      </c>
      <c r="BE8">
        <v>3744</v>
      </c>
      <c r="BF8">
        <v>2953</v>
      </c>
      <c r="BG8">
        <v>2317</v>
      </c>
      <c r="BH8">
        <v>1737</v>
      </c>
      <c r="BI8">
        <v>28854</v>
      </c>
      <c r="BJ8">
        <v>23381</v>
      </c>
      <c r="BM8" s="8" t="s">
        <v>3</v>
      </c>
      <c r="BN8" s="21">
        <f t="shared" si="9"/>
        <v>775.57142857142856</v>
      </c>
      <c r="BO8" s="21">
        <f t="shared" si="10"/>
        <v>104</v>
      </c>
      <c r="BP8" s="21">
        <f t="shared" si="11"/>
        <v>119.71428571428571</v>
      </c>
      <c r="BQ8" s="21">
        <f t="shared" si="12"/>
        <v>154.85714285714286</v>
      </c>
      <c r="BR8" s="21">
        <f t="shared" si="13"/>
        <v>130</v>
      </c>
      <c r="BS8" s="21">
        <f t="shared" si="14"/>
        <v>79.285714285714292</v>
      </c>
      <c r="BT8" s="21">
        <f t="shared" si="15"/>
        <v>74.142857142857139</v>
      </c>
      <c r="BU8" s="21">
        <f t="shared" si="16"/>
        <v>113.57142857142857</v>
      </c>
    </row>
    <row r="9" spans="2:73" x14ac:dyDescent="0.35">
      <c r="B9" s="24"/>
      <c r="C9" s="16">
        <v>4</v>
      </c>
      <c r="D9">
        <v>29041</v>
      </c>
      <c r="E9">
        <v>23568</v>
      </c>
      <c r="F9" s="24">
        <f>E9/D9</f>
        <v>0.81154230226231883</v>
      </c>
      <c r="H9" s="24"/>
      <c r="I9" s="16" t="s">
        <v>2</v>
      </c>
      <c r="J9">
        <v>2786</v>
      </c>
      <c r="K9">
        <v>2254</v>
      </c>
      <c r="L9">
        <v>7027</v>
      </c>
      <c r="M9">
        <v>6323</v>
      </c>
      <c r="N9">
        <v>4548</v>
      </c>
      <c r="O9">
        <v>3645</v>
      </c>
      <c r="P9">
        <v>4445</v>
      </c>
      <c r="Q9">
        <v>3389</v>
      </c>
      <c r="R9">
        <v>4027</v>
      </c>
      <c r="S9">
        <v>3234</v>
      </c>
      <c r="T9">
        <v>3754</v>
      </c>
      <c r="U9">
        <v>2889</v>
      </c>
      <c r="V9">
        <v>2308</v>
      </c>
      <c r="W9">
        <v>1736</v>
      </c>
      <c r="X9">
        <v>28895</v>
      </c>
      <c r="Y9">
        <v>23470</v>
      </c>
      <c r="AB9" s="17" t="s">
        <v>6</v>
      </c>
      <c r="AC9" s="24">
        <f t="shared" si="0"/>
        <v>0.81202356202356207</v>
      </c>
      <c r="AD9" s="24">
        <f t="shared" si="1"/>
        <v>0.87732124579616899</v>
      </c>
      <c r="AE9" s="24">
        <f t="shared" si="2"/>
        <v>0.80938864628820961</v>
      </c>
      <c r="AF9" s="24">
        <f t="shared" si="3"/>
        <v>0.77480314960629926</v>
      </c>
      <c r="AG9" s="24">
        <f t="shared" si="4"/>
        <v>0.7901069518716578</v>
      </c>
      <c r="AH9" s="24">
        <f t="shared" si="5"/>
        <v>0.77931631328429252</v>
      </c>
      <c r="AI9" s="24">
        <f t="shared" si="6"/>
        <v>0.80781089414182938</v>
      </c>
      <c r="AJ9" s="24">
        <f t="shared" si="7"/>
        <v>0.78738201689021359</v>
      </c>
      <c r="AK9" s="37"/>
      <c r="AL9" s="37"/>
      <c r="AN9" s="16">
        <v>4</v>
      </c>
      <c r="AO9">
        <v>29041</v>
      </c>
      <c r="AP9">
        <v>23568</v>
      </c>
      <c r="AQ9" s="17">
        <f t="shared" si="17"/>
        <v>781.85714285714289</v>
      </c>
      <c r="AR9" s="17"/>
      <c r="AT9" s="16" t="s">
        <v>2</v>
      </c>
      <c r="AU9">
        <v>2786</v>
      </c>
      <c r="AV9">
        <v>2254</v>
      </c>
      <c r="AW9">
        <v>7027</v>
      </c>
      <c r="AX9">
        <v>6323</v>
      </c>
      <c r="AY9">
        <v>4548</v>
      </c>
      <c r="AZ9">
        <v>3645</v>
      </c>
      <c r="BA9">
        <v>4445</v>
      </c>
      <c r="BB9">
        <v>3389</v>
      </c>
      <c r="BC9">
        <v>4027</v>
      </c>
      <c r="BD9">
        <v>3234</v>
      </c>
      <c r="BE9">
        <v>3754</v>
      </c>
      <c r="BF9">
        <v>2889</v>
      </c>
      <c r="BG9">
        <v>2308</v>
      </c>
      <c r="BH9">
        <v>1736</v>
      </c>
      <c r="BI9">
        <v>28895</v>
      </c>
      <c r="BJ9">
        <v>23470</v>
      </c>
      <c r="BM9" s="8" t="s">
        <v>4</v>
      </c>
      <c r="BN9" s="21">
        <f t="shared" si="9"/>
        <v>781.85714285714289</v>
      </c>
      <c r="BO9" s="21">
        <f t="shared" si="10"/>
        <v>101</v>
      </c>
      <c r="BP9" s="21">
        <f t="shared" si="11"/>
        <v>120.42857142857143</v>
      </c>
      <c r="BQ9" s="21">
        <f t="shared" si="12"/>
        <v>156.28571428571428</v>
      </c>
      <c r="BR9" s="21">
        <f t="shared" si="13"/>
        <v>128.14285714285714</v>
      </c>
      <c r="BS9" s="21">
        <f t="shared" si="14"/>
        <v>72.285714285714292</v>
      </c>
      <c r="BT9" s="21">
        <f t="shared" si="15"/>
        <v>76.285714285714292</v>
      </c>
      <c r="BU9" s="21">
        <f t="shared" si="16"/>
        <v>127.42857142857143</v>
      </c>
    </row>
    <row r="10" spans="2:73" x14ac:dyDescent="0.35">
      <c r="B10" s="24"/>
      <c r="C10" s="16">
        <v>5</v>
      </c>
      <c r="D10">
        <v>29219</v>
      </c>
      <c r="E10">
        <v>22571</v>
      </c>
      <c r="F10" s="24">
        <f t="shared" si="8"/>
        <v>0.77247681303261573</v>
      </c>
      <c r="H10" s="24"/>
      <c r="I10" s="16" t="s">
        <v>3</v>
      </c>
      <c r="J10">
        <v>2721</v>
      </c>
      <c r="K10">
        <v>2202</v>
      </c>
      <c r="L10">
        <v>7078</v>
      </c>
      <c r="M10">
        <v>6350</v>
      </c>
      <c r="N10">
        <v>4576</v>
      </c>
      <c r="O10">
        <v>3738</v>
      </c>
      <c r="P10">
        <v>4494</v>
      </c>
      <c r="Q10">
        <v>3410</v>
      </c>
      <c r="R10">
        <v>4031</v>
      </c>
      <c r="S10">
        <v>3236</v>
      </c>
      <c r="T10">
        <v>3725</v>
      </c>
      <c r="U10">
        <v>2815</v>
      </c>
      <c r="V10">
        <v>2305</v>
      </c>
      <c r="W10">
        <v>1750</v>
      </c>
      <c r="X10">
        <v>28930</v>
      </c>
      <c r="Y10">
        <v>23501</v>
      </c>
      <c r="AA10" s="24"/>
      <c r="AB10" s="17" t="s">
        <v>7</v>
      </c>
      <c r="AC10" s="24">
        <f t="shared" si="0"/>
        <v>0.83891492491362496</v>
      </c>
      <c r="AD10" s="24">
        <f>VLOOKUP($AB10,$I$8:$Y$1048576,5,FALSE)/VLOOKUP($AB10,$I$8:$Y$1048576,4,FALSE)</f>
        <v>0.91985273293684511</v>
      </c>
      <c r="AE10" s="24">
        <f t="shared" si="2"/>
        <v>0.8314754098360656</v>
      </c>
      <c r="AF10" s="24">
        <f t="shared" si="3"/>
        <v>0.78771195771856417</v>
      </c>
      <c r="AG10" s="24">
        <f t="shared" si="4"/>
        <v>0.82130763219588432</v>
      </c>
      <c r="AH10" s="24">
        <f>VLOOKUP($AB10,$I$8:$Y$1048576,15,FALSE)/VLOOKUP($AB10,$I$8:$Y$1048576,14,FALSE)</f>
        <v>0.78462874511506731</v>
      </c>
      <c r="AI10" s="24">
        <f t="shared" si="6"/>
        <v>0.83327580255436662</v>
      </c>
      <c r="AJ10" s="24">
        <f t="shared" si="7"/>
        <v>0.81499003984063745</v>
      </c>
      <c r="AK10" s="37"/>
      <c r="AL10" s="37"/>
      <c r="AM10" s="24"/>
      <c r="AN10" s="16">
        <v>5</v>
      </c>
      <c r="AO10">
        <v>29219</v>
      </c>
      <c r="AP10">
        <v>22571</v>
      </c>
      <c r="AQ10" s="17">
        <f t="shared" si="17"/>
        <v>949.71428571428567</v>
      </c>
      <c r="AT10" s="16" t="s">
        <v>3</v>
      </c>
      <c r="AU10">
        <v>2721</v>
      </c>
      <c r="AV10">
        <v>2202</v>
      </c>
      <c r="AW10">
        <v>7078</v>
      </c>
      <c r="AX10">
        <v>6350</v>
      </c>
      <c r="AY10">
        <v>4576</v>
      </c>
      <c r="AZ10">
        <v>3738</v>
      </c>
      <c r="BA10">
        <v>4494</v>
      </c>
      <c r="BB10">
        <v>3410</v>
      </c>
      <c r="BC10">
        <v>4031</v>
      </c>
      <c r="BD10">
        <v>3236</v>
      </c>
      <c r="BE10">
        <v>3725</v>
      </c>
      <c r="BF10">
        <v>2815</v>
      </c>
      <c r="BG10">
        <v>2305</v>
      </c>
      <c r="BH10">
        <v>1750</v>
      </c>
      <c r="BI10">
        <v>28930</v>
      </c>
      <c r="BJ10">
        <v>23501</v>
      </c>
      <c r="BM10" s="17" t="s">
        <v>5</v>
      </c>
      <c r="BN10" s="21">
        <f t="shared" si="9"/>
        <v>949.71428571428567</v>
      </c>
      <c r="BO10" s="21">
        <f t="shared" si="10"/>
        <v>148.57142857142858</v>
      </c>
      <c r="BP10" s="21">
        <f t="shared" si="11"/>
        <v>145.85714285714286</v>
      </c>
      <c r="BQ10" s="21">
        <f t="shared" si="12"/>
        <v>179.57142857142858</v>
      </c>
      <c r="BR10" s="21">
        <f t="shared" si="13"/>
        <v>135.14285714285714</v>
      </c>
      <c r="BS10" s="21">
        <f t="shared" si="14"/>
        <v>90.857142857142861</v>
      </c>
      <c r="BT10" s="21">
        <f t="shared" si="15"/>
        <v>87.857142857142861</v>
      </c>
      <c r="BU10" s="21">
        <f t="shared" si="16"/>
        <v>161.85714285714286</v>
      </c>
    </row>
    <row r="11" spans="2:73" x14ac:dyDescent="0.35">
      <c r="B11" s="24"/>
      <c r="C11" s="16">
        <v>6</v>
      </c>
      <c r="D11">
        <v>28860</v>
      </c>
      <c r="E11">
        <v>23435</v>
      </c>
      <c r="F11" s="24">
        <f t="shared" si="8"/>
        <v>0.81202356202356207</v>
      </c>
      <c r="H11" s="24"/>
      <c r="I11" s="16" t="s">
        <v>4</v>
      </c>
      <c r="J11">
        <v>2822</v>
      </c>
      <c r="K11">
        <v>2288</v>
      </c>
      <c r="L11">
        <v>7081</v>
      </c>
      <c r="M11">
        <v>6374</v>
      </c>
      <c r="N11">
        <v>4555</v>
      </c>
      <c r="O11">
        <v>3712</v>
      </c>
      <c r="P11">
        <v>4456</v>
      </c>
      <c r="Q11">
        <v>3362</v>
      </c>
      <c r="R11">
        <v>4042</v>
      </c>
      <c r="S11">
        <v>3150</v>
      </c>
      <c r="T11">
        <v>3764</v>
      </c>
      <c r="U11">
        <v>2867</v>
      </c>
      <c r="V11">
        <v>2321</v>
      </c>
      <c r="W11">
        <v>1815</v>
      </c>
      <c r="X11">
        <v>29041</v>
      </c>
      <c r="Y11">
        <v>23568</v>
      </c>
      <c r="AA11" s="24"/>
      <c r="AB11" s="17" t="s">
        <v>8</v>
      </c>
      <c r="AC11" s="24">
        <f t="shared" si="0"/>
        <v>0.83017500258879573</v>
      </c>
      <c r="AD11" s="24">
        <f t="shared" si="1"/>
        <v>0.9128329297820823</v>
      </c>
      <c r="AE11" s="24">
        <f t="shared" si="2"/>
        <v>0.84105240269623827</v>
      </c>
      <c r="AF11" s="24">
        <f t="shared" si="3"/>
        <v>0.77328918322295803</v>
      </c>
      <c r="AG11" s="24">
        <f t="shared" si="4"/>
        <v>0.82279156658660257</v>
      </c>
      <c r="AH11" s="24">
        <f t="shared" si="5"/>
        <v>0.78450152372659987</v>
      </c>
      <c r="AI11" s="24">
        <f t="shared" si="6"/>
        <v>0.78329168154230633</v>
      </c>
      <c r="AJ11" s="24">
        <f>VLOOKUP($AB11,$I$8:$Y$1048576,11,FALSE)/VLOOKUP($AB11,$I$8:$Y$1048576,10,FALSE)</f>
        <v>0.80281690140845074</v>
      </c>
      <c r="AK11" s="37"/>
      <c r="AL11" s="37"/>
      <c r="AM11" s="24"/>
      <c r="AN11" s="16">
        <v>6</v>
      </c>
      <c r="AO11">
        <v>28860</v>
      </c>
      <c r="AP11">
        <v>23435</v>
      </c>
      <c r="AQ11" s="17">
        <f t="shared" si="17"/>
        <v>775</v>
      </c>
      <c r="AR11" s="17"/>
      <c r="AT11" s="16" t="s">
        <v>4</v>
      </c>
      <c r="AU11">
        <v>2822</v>
      </c>
      <c r="AV11">
        <v>2288</v>
      </c>
      <c r="AW11">
        <v>7081</v>
      </c>
      <c r="AX11">
        <v>6374</v>
      </c>
      <c r="AY11">
        <v>4555</v>
      </c>
      <c r="AZ11">
        <v>3712</v>
      </c>
      <c r="BA11">
        <v>4456</v>
      </c>
      <c r="BB11">
        <v>3362</v>
      </c>
      <c r="BC11">
        <v>4042</v>
      </c>
      <c r="BD11">
        <v>3150</v>
      </c>
      <c r="BE11">
        <v>3764</v>
      </c>
      <c r="BF11">
        <v>2867</v>
      </c>
      <c r="BG11">
        <v>2321</v>
      </c>
      <c r="BH11">
        <v>1815</v>
      </c>
      <c r="BI11">
        <v>29041</v>
      </c>
      <c r="BJ11">
        <v>23568</v>
      </c>
      <c r="BM11" s="17" t="s">
        <v>6</v>
      </c>
      <c r="BN11" s="21">
        <f t="shared" si="9"/>
        <v>775</v>
      </c>
      <c r="BO11" s="21">
        <f t="shared" si="10"/>
        <v>119.85714285714286</v>
      </c>
      <c r="BP11" s="21">
        <f t="shared" si="11"/>
        <v>124.71428571428571</v>
      </c>
      <c r="BQ11" s="21">
        <f t="shared" si="12"/>
        <v>143</v>
      </c>
      <c r="BR11" s="21">
        <f t="shared" si="13"/>
        <v>112.14285714285714</v>
      </c>
      <c r="BS11" s="21">
        <f t="shared" si="14"/>
        <v>72.857142857142861</v>
      </c>
      <c r="BT11" s="21">
        <f t="shared" si="15"/>
        <v>80.142857142857139</v>
      </c>
      <c r="BU11" s="21">
        <f t="shared" si="16"/>
        <v>122.28571428571429</v>
      </c>
    </row>
    <row r="12" spans="2:73" x14ac:dyDescent="0.35">
      <c r="B12" s="24"/>
      <c r="C12" s="16">
        <v>7</v>
      </c>
      <c r="D12">
        <v>29233</v>
      </c>
      <c r="E12">
        <v>24524</v>
      </c>
      <c r="F12" s="24">
        <f t="shared" si="8"/>
        <v>0.83891492491362496</v>
      </c>
      <c r="H12" s="24"/>
      <c r="I12" s="16" t="s">
        <v>5</v>
      </c>
      <c r="J12">
        <v>2855</v>
      </c>
      <c r="K12">
        <v>2240</v>
      </c>
      <c r="L12">
        <v>6941</v>
      </c>
      <c r="M12">
        <v>5901</v>
      </c>
      <c r="N12">
        <v>4544</v>
      </c>
      <c r="O12">
        <v>3523</v>
      </c>
      <c r="P12">
        <v>4842</v>
      </c>
      <c r="Q12">
        <v>3585</v>
      </c>
      <c r="R12">
        <v>4027</v>
      </c>
      <c r="S12">
        <v>2894</v>
      </c>
      <c r="T12">
        <v>3701</v>
      </c>
      <c r="U12">
        <v>2755</v>
      </c>
      <c r="V12">
        <v>2309</v>
      </c>
      <c r="W12">
        <v>1673</v>
      </c>
      <c r="X12">
        <v>29219</v>
      </c>
      <c r="Y12">
        <v>22571</v>
      </c>
      <c r="AA12" s="24"/>
      <c r="AB12" s="17" t="s">
        <v>9</v>
      </c>
      <c r="AC12" s="24" t="e">
        <f t="shared" si="0"/>
        <v>#N/A</v>
      </c>
      <c r="AD12" s="24" t="e">
        <f t="shared" si="1"/>
        <v>#N/A</v>
      </c>
      <c r="AE12" s="24" t="e">
        <f t="shared" si="2"/>
        <v>#N/A</v>
      </c>
      <c r="AF12" s="24" t="e">
        <f t="shared" si="3"/>
        <v>#N/A</v>
      </c>
      <c r="AG12" s="24" t="e">
        <f t="shared" si="4"/>
        <v>#N/A</v>
      </c>
      <c r="AH12" s="24" t="e">
        <f t="shared" si="5"/>
        <v>#N/A</v>
      </c>
      <c r="AI12" s="24" t="e">
        <f t="shared" si="6"/>
        <v>#N/A</v>
      </c>
      <c r="AJ12" s="24" t="e">
        <f t="shared" si="7"/>
        <v>#N/A</v>
      </c>
      <c r="AK12" s="37"/>
      <c r="AL12" s="37"/>
      <c r="AM12" s="24"/>
      <c r="AN12" s="16">
        <v>7</v>
      </c>
      <c r="AO12">
        <v>29233</v>
      </c>
      <c r="AP12">
        <v>24524</v>
      </c>
      <c r="AQ12" s="17">
        <f t="shared" si="17"/>
        <v>672.71428571428567</v>
      </c>
      <c r="AR12" s="17"/>
      <c r="AT12" s="16" t="s">
        <v>5</v>
      </c>
      <c r="AU12">
        <v>2855</v>
      </c>
      <c r="AV12">
        <v>2240</v>
      </c>
      <c r="AW12">
        <v>6941</v>
      </c>
      <c r="AX12">
        <v>5901</v>
      </c>
      <c r="AY12">
        <v>4544</v>
      </c>
      <c r="AZ12">
        <v>3523</v>
      </c>
      <c r="BA12">
        <v>4842</v>
      </c>
      <c r="BB12">
        <v>3585</v>
      </c>
      <c r="BC12">
        <v>4027</v>
      </c>
      <c r="BD12">
        <v>2894</v>
      </c>
      <c r="BE12">
        <v>3701</v>
      </c>
      <c r="BF12">
        <v>2755</v>
      </c>
      <c r="BG12">
        <v>2309</v>
      </c>
      <c r="BH12">
        <v>1673</v>
      </c>
      <c r="BI12">
        <v>29219</v>
      </c>
      <c r="BJ12">
        <v>22571</v>
      </c>
      <c r="BM12" s="17" t="s">
        <v>7</v>
      </c>
      <c r="BN12" s="21">
        <f t="shared" si="9"/>
        <v>672.71428571428567</v>
      </c>
      <c r="BO12" s="21">
        <f t="shared" si="10"/>
        <v>80.857142857142861</v>
      </c>
      <c r="BP12" s="21">
        <f t="shared" si="11"/>
        <v>110.14285714285714</v>
      </c>
      <c r="BQ12" s="21">
        <f>(VLOOKUP($BM12,$AT$8:$BJ$1048576,8,FALSE)-VLOOKUP($BM12,$AT$8:$BJ$1048576,9,FALSE))/7</f>
        <v>137.71428571428572</v>
      </c>
      <c r="BR12" s="21">
        <f t="shared" si="13"/>
        <v>98</v>
      </c>
      <c r="BS12" s="21">
        <f t="shared" si="14"/>
        <v>70.857142857142861</v>
      </c>
      <c r="BT12" s="21">
        <f t="shared" si="15"/>
        <v>69</v>
      </c>
      <c r="BU12" s="21">
        <f t="shared" si="16"/>
        <v>106.14285714285714</v>
      </c>
    </row>
    <row r="13" spans="2:73" x14ac:dyDescent="0.35">
      <c r="B13" s="24"/>
      <c r="C13" s="16">
        <v>8</v>
      </c>
      <c r="D13">
        <v>28971</v>
      </c>
      <c r="E13">
        <v>24051</v>
      </c>
      <c r="F13" s="24">
        <f t="shared" si="8"/>
        <v>0.83017500258879573</v>
      </c>
      <c r="H13" s="24"/>
      <c r="I13" s="16" t="s">
        <v>6</v>
      </c>
      <c r="J13">
        <v>2919</v>
      </c>
      <c r="K13">
        <v>2358</v>
      </c>
      <c r="L13">
        <v>6839</v>
      </c>
      <c r="M13">
        <v>6000</v>
      </c>
      <c r="N13">
        <v>4580</v>
      </c>
      <c r="O13">
        <v>3707</v>
      </c>
      <c r="P13">
        <v>4445</v>
      </c>
      <c r="Q13">
        <v>3444</v>
      </c>
      <c r="R13">
        <v>4026</v>
      </c>
      <c r="S13">
        <v>3170</v>
      </c>
      <c r="T13">
        <v>3740</v>
      </c>
      <c r="U13">
        <v>2955</v>
      </c>
      <c r="V13">
        <v>2311</v>
      </c>
      <c r="W13">
        <v>1801</v>
      </c>
      <c r="X13">
        <v>28860</v>
      </c>
      <c r="Y13">
        <v>23435</v>
      </c>
      <c r="AA13" s="24"/>
      <c r="AB13" s="17" t="s">
        <v>10</v>
      </c>
      <c r="AC13" s="24" t="e">
        <f t="shared" si="0"/>
        <v>#N/A</v>
      </c>
      <c r="AD13" s="24" t="e">
        <f t="shared" si="1"/>
        <v>#N/A</v>
      </c>
      <c r="AE13" s="24" t="e">
        <f t="shared" si="2"/>
        <v>#N/A</v>
      </c>
      <c r="AF13" s="24" t="e">
        <f t="shared" si="3"/>
        <v>#N/A</v>
      </c>
      <c r="AG13" s="24" t="e">
        <f t="shared" si="4"/>
        <v>#N/A</v>
      </c>
      <c r="AH13" s="24" t="e">
        <f t="shared" si="5"/>
        <v>#N/A</v>
      </c>
      <c r="AI13" s="24" t="e">
        <f t="shared" si="6"/>
        <v>#N/A</v>
      </c>
      <c r="AJ13" s="24" t="e">
        <f>VLOOKUP($AB13,$I$8:$Y$1048576,11,FALSE)/VLOOKUP($AB13,$I$8:$Y$1048576,10,FALSE)</f>
        <v>#N/A</v>
      </c>
      <c r="AK13" s="37"/>
      <c r="AL13" s="37"/>
      <c r="AM13" s="24"/>
      <c r="AN13" s="16">
        <v>8</v>
      </c>
      <c r="AO13">
        <v>28971</v>
      </c>
      <c r="AP13">
        <v>24051</v>
      </c>
      <c r="AQ13" s="17">
        <f t="shared" si="17"/>
        <v>702.85714285714289</v>
      </c>
      <c r="AR13" s="17"/>
      <c r="AT13" s="16" t="s">
        <v>6</v>
      </c>
      <c r="AU13">
        <v>2919</v>
      </c>
      <c r="AV13">
        <v>2358</v>
      </c>
      <c r="AW13">
        <v>6839</v>
      </c>
      <c r="AX13">
        <v>6000</v>
      </c>
      <c r="AY13">
        <v>4580</v>
      </c>
      <c r="AZ13">
        <v>3707</v>
      </c>
      <c r="BA13">
        <v>4445</v>
      </c>
      <c r="BB13">
        <v>3444</v>
      </c>
      <c r="BC13">
        <v>4026</v>
      </c>
      <c r="BD13">
        <v>3170</v>
      </c>
      <c r="BE13">
        <v>3740</v>
      </c>
      <c r="BF13">
        <v>2955</v>
      </c>
      <c r="BG13">
        <v>2311</v>
      </c>
      <c r="BH13">
        <v>1801</v>
      </c>
      <c r="BI13">
        <v>28860</v>
      </c>
      <c r="BJ13">
        <v>23435</v>
      </c>
      <c r="BM13" s="17" t="s">
        <v>8</v>
      </c>
      <c r="BN13" s="21">
        <f t="shared" si="9"/>
        <v>702.85714285714289</v>
      </c>
      <c r="BO13" s="21">
        <f t="shared" si="10"/>
        <v>87.428571428571431</v>
      </c>
      <c r="BP13" s="21">
        <f t="shared" si="11"/>
        <v>104.42857142857143</v>
      </c>
      <c r="BQ13" s="21">
        <f t="shared" si="12"/>
        <v>146.71428571428572</v>
      </c>
      <c r="BR13" s="21">
        <f t="shared" si="13"/>
        <v>94.857142857142861</v>
      </c>
      <c r="BS13" s="21">
        <f t="shared" si="14"/>
        <v>70.714285714285708</v>
      </c>
      <c r="BT13" s="21">
        <f t="shared" si="15"/>
        <v>86.714285714285708</v>
      </c>
      <c r="BU13" s="21">
        <f t="shared" si="16"/>
        <v>112</v>
      </c>
    </row>
    <row r="14" spans="2:73" x14ac:dyDescent="0.35">
      <c r="B14" s="24"/>
      <c r="C14"/>
      <c r="D14"/>
      <c r="E14"/>
      <c r="F14" s="24" t="e">
        <f t="shared" si="8"/>
        <v>#DIV/0!</v>
      </c>
      <c r="H14" s="24"/>
      <c r="I14" s="16" t="s">
        <v>7</v>
      </c>
      <c r="J14">
        <v>2897</v>
      </c>
      <c r="K14">
        <v>2414</v>
      </c>
      <c r="L14">
        <v>7062</v>
      </c>
      <c r="M14">
        <v>6496</v>
      </c>
      <c r="N14">
        <v>4575</v>
      </c>
      <c r="O14">
        <v>3804</v>
      </c>
      <c r="P14">
        <v>4541</v>
      </c>
      <c r="Q14">
        <v>3577</v>
      </c>
      <c r="R14">
        <v>4016</v>
      </c>
      <c r="S14">
        <v>3273</v>
      </c>
      <c r="T14">
        <v>3839</v>
      </c>
      <c r="U14">
        <v>3153</v>
      </c>
      <c r="V14">
        <v>2303</v>
      </c>
      <c r="W14">
        <v>1807</v>
      </c>
      <c r="X14">
        <v>29233</v>
      </c>
      <c r="Y14">
        <v>24524</v>
      </c>
      <c r="AA14" s="24"/>
      <c r="AB14" s="17" t="s">
        <v>11</v>
      </c>
      <c r="AC14" s="24" t="e">
        <f t="shared" si="0"/>
        <v>#N/A</v>
      </c>
      <c r="AD14" s="24" t="e">
        <f t="shared" si="1"/>
        <v>#N/A</v>
      </c>
      <c r="AE14" s="24" t="e">
        <f t="shared" si="2"/>
        <v>#N/A</v>
      </c>
      <c r="AF14" s="24" t="e">
        <f t="shared" si="3"/>
        <v>#N/A</v>
      </c>
      <c r="AG14" s="24" t="e">
        <f t="shared" si="4"/>
        <v>#N/A</v>
      </c>
      <c r="AH14" s="24" t="e">
        <f t="shared" si="5"/>
        <v>#N/A</v>
      </c>
      <c r="AI14" s="24" t="e">
        <f t="shared" si="6"/>
        <v>#N/A</v>
      </c>
      <c r="AJ14" s="24" t="e">
        <f t="shared" si="7"/>
        <v>#N/A</v>
      </c>
      <c r="AK14" s="37"/>
      <c r="AL14" s="37"/>
      <c r="AM14" s="24"/>
      <c r="AQ14" s="17">
        <f t="shared" si="17"/>
        <v>0</v>
      </c>
      <c r="AR14" s="17"/>
      <c r="AT14" s="16" t="s">
        <v>7</v>
      </c>
      <c r="AU14">
        <v>2897</v>
      </c>
      <c r="AV14">
        <v>2414</v>
      </c>
      <c r="AW14">
        <v>7062</v>
      </c>
      <c r="AX14">
        <v>6496</v>
      </c>
      <c r="AY14">
        <v>4575</v>
      </c>
      <c r="AZ14">
        <v>3804</v>
      </c>
      <c r="BA14">
        <v>4541</v>
      </c>
      <c r="BB14">
        <v>3577</v>
      </c>
      <c r="BC14">
        <v>4016</v>
      </c>
      <c r="BD14">
        <v>3273</v>
      </c>
      <c r="BE14">
        <v>3839</v>
      </c>
      <c r="BF14">
        <v>3153</v>
      </c>
      <c r="BG14">
        <v>2303</v>
      </c>
      <c r="BH14">
        <v>1807</v>
      </c>
      <c r="BI14">
        <v>29233</v>
      </c>
      <c r="BJ14">
        <v>24524</v>
      </c>
      <c r="BM14" s="17" t="s">
        <v>9</v>
      </c>
      <c r="BN14" s="21" t="e">
        <f t="shared" si="9"/>
        <v>#N/A</v>
      </c>
      <c r="BO14" s="21" t="e">
        <f t="shared" si="10"/>
        <v>#N/A</v>
      </c>
      <c r="BP14" s="21" t="e">
        <f t="shared" si="11"/>
        <v>#N/A</v>
      </c>
      <c r="BQ14" s="21" t="e">
        <f t="shared" si="12"/>
        <v>#N/A</v>
      </c>
      <c r="BR14" s="21" t="e">
        <f t="shared" si="13"/>
        <v>#N/A</v>
      </c>
      <c r="BS14" s="21" t="e">
        <f t="shared" si="14"/>
        <v>#N/A</v>
      </c>
      <c r="BT14" s="21" t="e">
        <f t="shared" si="15"/>
        <v>#N/A</v>
      </c>
      <c r="BU14" s="21" t="e">
        <f t="shared" si="16"/>
        <v>#N/A</v>
      </c>
    </row>
    <row r="15" spans="2:73" x14ac:dyDescent="0.35">
      <c r="B15" s="24"/>
      <c r="C15"/>
      <c r="D15"/>
      <c r="E15"/>
      <c r="F15" s="24" t="e">
        <f t="shared" si="8"/>
        <v>#DIV/0!</v>
      </c>
      <c r="H15" s="24"/>
      <c r="I15" s="16" t="s">
        <v>8</v>
      </c>
      <c r="J15">
        <v>2801</v>
      </c>
      <c r="K15">
        <v>2194</v>
      </c>
      <c r="L15">
        <v>7021</v>
      </c>
      <c r="M15">
        <v>6409</v>
      </c>
      <c r="N15">
        <v>4599</v>
      </c>
      <c r="O15">
        <v>3868</v>
      </c>
      <c r="P15">
        <v>4530</v>
      </c>
      <c r="Q15">
        <v>3503</v>
      </c>
      <c r="R15">
        <v>3976</v>
      </c>
      <c r="S15">
        <v>3192</v>
      </c>
      <c r="T15">
        <v>3747</v>
      </c>
      <c r="U15">
        <v>3083</v>
      </c>
      <c r="V15">
        <v>2297</v>
      </c>
      <c r="W15">
        <v>1802</v>
      </c>
      <c r="X15">
        <v>28971</v>
      </c>
      <c r="Y15">
        <v>24051</v>
      </c>
      <c r="AA15" s="24"/>
      <c r="AB15" s="17" t="s">
        <v>12</v>
      </c>
      <c r="AC15" s="24" t="e">
        <f t="shared" si="0"/>
        <v>#N/A</v>
      </c>
      <c r="AD15" s="24" t="e">
        <f t="shared" si="1"/>
        <v>#N/A</v>
      </c>
      <c r="AE15" s="24" t="e">
        <f t="shared" si="2"/>
        <v>#N/A</v>
      </c>
      <c r="AF15" s="24" t="e">
        <f t="shared" si="3"/>
        <v>#N/A</v>
      </c>
      <c r="AG15" s="24" t="e">
        <f t="shared" si="4"/>
        <v>#N/A</v>
      </c>
      <c r="AH15" s="24" t="e">
        <f t="shared" si="5"/>
        <v>#N/A</v>
      </c>
      <c r="AI15" s="24" t="e">
        <f t="shared" si="6"/>
        <v>#N/A</v>
      </c>
      <c r="AJ15" s="24" t="e">
        <f>VLOOKUP($AB15,$I$8:$Y$1048576,11,FALSE)/VLOOKUP($AB15,$I$8:$Y$1048576,10,FALSE)</f>
        <v>#N/A</v>
      </c>
      <c r="AK15" s="37"/>
      <c r="AL15" s="37"/>
      <c r="AM15" s="24"/>
      <c r="AQ15" s="17">
        <f t="shared" si="17"/>
        <v>0</v>
      </c>
      <c r="AR15" s="17"/>
      <c r="AT15" s="16" t="s">
        <v>8</v>
      </c>
      <c r="AU15">
        <v>2801</v>
      </c>
      <c r="AV15">
        <v>2194</v>
      </c>
      <c r="AW15">
        <v>7021</v>
      </c>
      <c r="AX15">
        <v>6409</v>
      </c>
      <c r="AY15">
        <v>4599</v>
      </c>
      <c r="AZ15">
        <v>3868</v>
      </c>
      <c r="BA15">
        <v>4530</v>
      </c>
      <c r="BB15">
        <v>3503</v>
      </c>
      <c r="BC15">
        <v>3976</v>
      </c>
      <c r="BD15">
        <v>3192</v>
      </c>
      <c r="BE15">
        <v>3747</v>
      </c>
      <c r="BF15">
        <v>3083</v>
      </c>
      <c r="BG15">
        <v>2297</v>
      </c>
      <c r="BH15">
        <v>1802</v>
      </c>
      <c r="BI15">
        <v>28971</v>
      </c>
      <c r="BJ15">
        <v>24051</v>
      </c>
      <c r="BM15" s="17" t="s">
        <v>10</v>
      </c>
      <c r="BN15" s="21" t="e">
        <f t="shared" si="9"/>
        <v>#N/A</v>
      </c>
      <c r="BO15" s="21" t="e">
        <f t="shared" si="10"/>
        <v>#N/A</v>
      </c>
      <c r="BP15" s="21" t="e">
        <f t="shared" si="11"/>
        <v>#N/A</v>
      </c>
      <c r="BQ15" s="21" t="e">
        <f t="shared" si="12"/>
        <v>#N/A</v>
      </c>
      <c r="BR15" s="21" t="e">
        <f t="shared" si="13"/>
        <v>#N/A</v>
      </c>
      <c r="BS15" s="21" t="e">
        <f t="shared" si="14"/>
        <v>#N/A</v>
      </c>
      <c r="BT15" s="21" t="e">
        <f t="shared" si="15"/>
        <v>#N/A</v>
      </c>
      <c r="BU15" s="21" t="e">
        <f t="shared" si="16"/>
        <v>#N/A</v>
      </c>
    </row>
    <row r="16" spans="2:73" x14ac:dyDescent="0.35">
      <c r="B16" s="24"/>
      <c r="C16"/>
      <c r="D16"/>
      <c r="E16"/>
      <c r="F16" s="24" t="e">
        <f t="shared" si="8"/>
        <v>#DIV/0!</v>
      </c>
      <c r="H16" s="24"/>
      <c r="I16" s="16" t="s">
        <v>139</v>
      </c>
      <c r="J16">
        <v>22604</v>
      </c>
      <c r="K16">
        <v>18255</v>
      </c>
      <c r="L16">
        <v>56029</v>
      </c>
      <c r="M16">
        <v>50118</v>
      </c>
      <c r="N16">
        <v>36488</v>
      </c>
      <c r="O16">
        <v>29555</v>
      </c>
      <c r="P16">
        <v>36246</v>
      </c>
      <c r="Q16">
        <v>27673</v>
      </c>
      <c r="R16">
        <v>32151</v>
      </c>
      <c r="S16">
        <v>25309</v>
      </c>
      <c r="T16">
        <v>30014</v>
      </c>
      <c r="U16">
        <v>23470</v>
      </c>
      <c r="V16">
        <v>18471</v>
      </c>
      <c r="W16">
        <v>14121</v>
      </c>
      <c r="X16">
        <v>232003</v>
      </c>
      <c r="Y16">
        <v>188501</v>
      </c>
      <c r="AA16" s="24"/>
      <c r="AB16" s="17" t="s">
        <v>13</v>
      </c>
      <c r="AC16" s="24" t="e">
        <f>VLOOKUP($AB16,$I$8:$Y$1048576,17,FALSE)/VLOOKUP($AB16,$I$8:$Y$1048576,16,FALSE)</f>
        <v>#N/A</v>
      </c>
      <c r="AD16" s="24" t="e">
        <f>VLOOKUP($AB16,$I$8:$Y$1048576,5,FALSE)/VLOOKUP($AB16,$I$8:$Y$1048576,4,FALSE)</f>
        <v>#N/A</v>
      </c>
      <c r="AE16" s="24" t="e">
        <f>VLOOKUP($AB16,$I$8:$Y$1048576,7,FALSE)/VLOOKUP($AB16,$I$8:$Y$1048576,6,FALSE)</f>
        <v>#N/A</v>
      </c>
      <c r="AF16" s="24" t="e">
        <f>VLOOKUP($AB16,$I$8:$Y$1048576,9,FALSE)/VLOOKUP($AB16,$I$8:$Y$1048576,8,FALSE)</f>
        <v>#N/A</v>
      </c>
      <c r="AG16" s="24" t="e">
        <f>VLOOKUP($AB16,$I$8:$Y$1048576,13,FALSE)/VLOOKUP($AB16,$I$8:$Y$1048576,12,FALSE)</f>
        <v>#N/A</v>
      </c>
      <c r="AH16" s="24" t="e">
        <f>VLOOKUP($AB16,$I$8:$Y$1048576,15,FALSE)/VLOOKUP($AB16,$I$8:$Y$1048576,14,FALSE)</f>
        <v>#N/A</v>
      </c>
      <c r="AI16" s="24" t="e">
        <f>VLOOKUP($AB16,$I$8:$Y$1048576,3,FALSE)/VLOOKUP($AB16,$I$8:$Y$1048576,2,FALSE)</f>
        <v>#N/A</v>
      </c>
      <c r="AJ16" s="24" t="e">
        <f>VLOOKUP($AB16,$I$8:$Y$1048576,11,FALSE)/VLOOKUP($AB16,$I$8:$Y$1048576,10,FALSE)</f>
        <v>#N/A</v>
      </c>
      <c r="AK16" s="37"/>
      <c r="AL16" s="37"/>
      <c r="AM16" s="24"/>
      <c r="AQ16" s="17">
        <f t="shared" si="17"/>
        <v>0</v>
      </c>
      <c r="AR16" s="17"/>
      <c r="AT16" s="16" t="s">
        <v>139</v>
      </c>
      <c r="AU16">
        <v>22604</v>
      </c>
      <c r="AV16">
        <v>18255</v>
      </c>
      <c r="AW16">
        <v>56029</v>
      </c>
      <c r="AX16">
        <v>50118</v>
      </c>
      <c r="AY16">
        <v>36488</v>
      </c>
      <c r="AZ16">
        <v>29555</v>
      </c>
      <c r="BA16">
        <v>36246</v>
      </c>
      <c r="BB16">
        <v>27673</v>
      </c>
      <c r="BC16">
        <v>32151</v>
      </c>
      <c r="BD16">
        <v>25309</v>
      </c>
      <c r="BE16">
        <v>30014</v>
      </c>
      <c r="BF16">
        <v>23470</v>
      </c>
      <c r="BG16">
        <v>18471</v>
      </c>
      <c r="BH16">
        <v>14121</v>
      </c>
      <c r="BI16">
        <v>232003</v>
      </c>
      <c r="BJ16">
        <v>188501</v>
      </c>
      <c r="BM16" s="17" t="s">
        <v>11</v>
      </c>
      <c r="BN16" s="21" t="e">
        <f t="shared" si="9"/>
        <v>#N/A</v>
      </c>
      <c r="BO16" s="21" t="e">
        <f t="shared" si="10"/>
        <v>#N/A</v>
      </c>
      <c r="BP16" s="21" t="e">
        <f t="shared" si="11"/>
        <v>#N/A</v>
      </c>
      <c r="BQ16" s="21" t="e">
        <f t="shared" si="12"/>
        <v>#N/A</v>
      </c>
      <c r="BR16" s="21" t="e">
        <f t="shared" si="13"/>
        <v>#N/A</v>
      </c>
      <c r="BS16" s="21" t="e">
        <f t="shared" si="14"/>
        <v>#N/A</v>
      </c>
      <c r="BT16" s="21" t="e">
        <f t="shared" si="15"/>
        <v>#N/A</v>
      </c>
      <c r="BU16" s="21" t="e">
        <f t="shared" si="16"/>
        <v>#N/A</v>
      </c>
    </row>
    <row r="17" spans="2:73" x14ac:dyDescent="0.35">
      <c r="B17" s="24"/>
      <c r="C17"/>
      <c r="D17"/>
      <c r="E17"/>
      <c r="F17" s="24" t="e">
        <f t="shared" si="8"/>
        <v>#DIV/0!</v>
      </c>
      <c r="H17" s="24"/>
      <c r="AA17" s="24"/>
      <c r="AB17" s="17" t="s">
        <v>14</v>
      </c>
      <c r="AC17" s="24" t="e">
        <f>VLOOKUP($AB17,$I$8:$Y$1048576,17,FALSE)/VLOOKUP($AB17,$I$8:$Y$1048576,16,FALSE)</f>
        <v>#N/A</v>
      </c>
      <c r="AD17" s="24" t="e">
        <f>VLOOKUP($AB17,$I$8:$Y$1048576,5,FALSE)/VLOOKUP($AB17,$I$8:$Y$1048576,4,FALSE)</f>
        <v>#N/A</v>
      </c>
      <c r="AE17" s="24" t="e">
        <f>VLOOKUP($AB17,$I$8:$Y$1048576,7,FALSE)/VLOOKUP($AB17,$I$8:$Y$1048576,6,FALSE)</f>
        <v>#N/A</v>
      </c>
      <c r="AF17" s="24" t="e">
        <f>VLOOKUP($AB17,$I$8:$Y$1048576,9,FALSE)/VLOOKUP($AB17,$I$8:$Y$1048576,8,FALSE)</f>
        <v>#N/A</v>
      </c>
      <c r="AG17" s="24" t="e">
        <f>VLOOKUP($AB17,$I$8:$Y$1048576,13,FALSE)/VLOOKUP($AB17,$I$8:$Y$1048576,12,FALSE)</f>
        <v>#N/A</v>
      </c>
      <c r="AH17" s="24" t="e">
        <f>VLOOKUP($AB17,$I$8:$Y$1048576,15,FALSE)/VLOOKUP($AB17,$I$8:$Y$1048576,14,FALSE)</f>
        <v>#N/A</v>
      </c>
      <c r="AI17" s="24" t="e">
        <f>VLOOKUP($AB17,$I$8:$Y$1048576,3,FALSE)/VLOOKUP($AB17,$I$8:$Y$1048576,2,FALSE)</f>
        <v>#N/A</v>
      </c>
      <c r="AJ17" s="24" t="e">
        <f>VLOOKUP($AB17,$I$8:$Y$1048576,11,FALSE)/VLOOKUP($AB17,$I$8:$Y$1048576,10,FALSE)</f>
        <v>#N/A</v>
      </c>
      <c r="AK17" s="37"/>
      <c r="AL17" s="37"/>
      <c r="AM17" s="24"/>
      <c r="AQ17" s="17">
        <f t="shared" si="17"/>
        <v>0</v>
      </c>
      <c r="AR17" s="17"/>
      <c r="BM17" s="17" t="s">
        <v>12</v>
      </c>
      <c r="BN17" s="21" t="e">
        <f t="shared" si="9"/>
        <v>#N/A</v>
      </c>
      <c r="BO17" s="21" t="e">
        <f t="shared" si="10"/>
        <v>#N/A</v>
      </c>
      <c r="BP17" s="21" t="e">
        <f t="shared" si="11"/>
        <v>#N/A</v>
      </c>
      <c r="BQ17" s="21" t="e">
        <f t="shared" si="12"/>
        <v>#N/A</v>
      </c>
      <c r="BR17" s="21" t="e">
        <f t="shared" si="13"/>
        <v>#N/A</v>
      </c>
      <c r="BS17" s="21" t="e">
        <f t="shared" si="14"/>
        <v>#N/A</v>
      </c>
      <c r="BT17" s="21" t="e">
        <f t="shared" si="15"/>
        <v>#N/A</v>
      </c>
      <c r="BU17" s="21" t="e">
        <f t="shared" si="16"/>
        <v>#N/A</v>
      </c>
    </row>
    <row r="18" spans="2:73" x14ac:dyDescent="0.35">
      <c r="B18" s="24"/>
      <c r="C18"/>
      <c r="D18"/>
      <c r="E18"/>
      <c r="F18" s="24" t="e">
        <f t="shared" si="8"/>
        <v>#DIV/0!</v>
      </c>
      <c r="H18" s="24"/>
      <c r="AA18" s="24"/>
      <c r="AB18" s="24"/>
      <c r="AC18" s="24"/>
      <c r="AD18" s="24"/>
      <c r="AE18" s="24"/>
      <c r="AF18" s="24"/>
      <c r="AG18" s="24"/>
      <c r="AH18" s="24"/>
      <c r="AI18" s="24"/>
      <c r="AJ18" s="24"/>
      <c r="AK18" s="24"/>
      <c r="AL18" s="24"/>
      <c r="AM18" s="24"/>
      <c r="AQ18" s="17">
        <f t="shared" si="17"/>
        <v>0</v>
      </c>
      <c r="AR18" s="17"/>
      <c r="BM18" s="17" t="s">
        <v>13</v>
      </c>
      <c r="BN18" s="21" t="e">
        <f t="shared" si="9"/>
        <v>#N/A</v>
      </c>
      <c r="BO18" s="21" t="e">
        <f t="shared" si="10"/>
        <v>#N/A</v>
      </c>
      <c r="BP18" s="21" t="e">
        <f t="shared" si="11"/>
        <v>#N/A</v>
      </c>
      <c r="BQ18" s="21" t="e">
        <f t="shared" si="12"/>
        <v>#N/A</v>
      </c>
      <c r="BR18" s="21" t="e">
        <f t="shared" si="13"/>
        <v>#N/A</v>
      </c>
      <c r="BS18" s="21" t="e">
        <f t="shared" si="14"/>
        <v>#N/A</v>
      </c>
      <c r="BT18" s="21" t="e">
        <f t="shared" si="15"/>
        <v>#N/A</v>
      </c>
      <c r="BU18" s="21" t="e">
        <f>(VLOOKUP($BM18,$AT$8:$BJ$1048576,10,FALSE)-VLOOKUP($BM18,$AT$8:$BJ$1048576,11,FALSE))/7</f>
        <v>#N/A</v>
      </c>
    </row>
    <row r="19" spans="2:73" x14ac:dyDescent="0.35">
      <c r="B19" s="24"/>
      <c r="C19"/>
      <c r="D19"/>
      <c r="E19"/>
      <c r="F19" s="24" t="e">
        <f t="shared" si="8"/>
        <v>#DIV/0!</v>
      </c>
      <c r="H19" s="24"/>
      <c r="AA19" s="24"/>
      <c r="AB19" s="24"/>
      <c r="AC19" s="24"/>
      <c r="AD19" s="24"/>
      <c r="AE19" s="24"/>
      <c r="AF19" s="24"/>
      <c r="AG19" s="24"/>
      <c r="AH19" s="24"/>
      <c r="AI19" s="24"/>
      <c r="AJ19" s="24"/>
      <c r="AK19" s="24"/>
      <c r="AL19" s="24"/>
      <c r="AM19" s="24"/>
      <c r="AQ19" s="17">
        <f t="shared" si="17"/>
        <v>0</v>
      </c>
      <c r="AR19" s="17"/>
      <c r="BM19" s="17" t="s">
        <v>14</v>
      </c>
      <c r="BN19" s="21" t="e">
        <f t="shared" si="9"/>
        <v>#N/A</v>
      </c>
      <c r="BO19" s="21" t="e">
        <f t="shared" si="10"/>
        <v>#N/A</v>
      </c>
      <c r="BP19" s="21" t="e">
        <f t="shared" si="11"/>
        <v>#N/A</v>
      </c>
      <c r="BQ19" s="21" t="e">
        <f t="shared" si="12"/>
        <v>#N/A</v>
      </c>
      <c r="BR19" s="21" t="e">
        <f t="shared" si="13"/>
        <v>#N/A</v>
      </c>
      <c r="BS19" s="21" t="e">
        <f t="shared" si="14"/>
        <v>#N/A</v>
      </c>
      <c r="BT19" s="21" t="e">
        <f t="shared" si="15"/>
        <v>#N/A</v>
      </c>
      <c r="BU19" s="21" t="e">
        <f>(VLOOKUP($BM19,$AT$8:$BJ$1048576,10,FALSE)-VLOOKUP($BM19,$AT$8:$BJ$1048576,11,FALSE))/7</f>
        <v>#N/A</v>
      </c>
    </row>
    <row r="20" spans="2:73" x14ac:dyDescent="0.35">
      <c r="B20" s="24"/>
      <c r="C20"/>
      <c r="D20"/>
      <c r="E20"/>
      <c r="F20" s="24" t="e">
        <f t="shared" si="8"/>
        <v>#DIV/0!</v>
      </c>
      <c r="AQ20" s="17">
        <f>(AO20-AP20)/7</f>
        <v>0</v>
      </c>
      <c r="AR20" s="17"/>
    </row>
  </sheetData>
  <phoneticPr fontId="20" type="noConversion"/>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BU20"/>
  <sheetViews>
    <sheetView topLeftCell="AX1" zoomScale="55" zoomScaleNormal="55" workbookViewId="0">
      <selection activeCell="B3" sqref="B3"/>
    </sheetView>
  </sheetViews>
  <sheetFormatPr defaultRowHeight="14.5" x14ac:dyDescent="0.35"/>
  <cols>
    <col min="1" max="1" width="9.1796875" style="8"/>
    <col min="2" max="2" width="14.453125" style="8" bestFit="1" customWidth="1"/>
    <col min="3" max="3" width="23.26953125" style="8" bestFit="1" customWidth="1"/>
    <col min="4" max="4" width="22.1796875" style="8" bestFit="1" customWidth="1"/>
    <col min="5" max="6" width="9.1796875" style="8"/>
    <col min="8" max="8" width="14.453125" bestFit="1" customWidth="1"/>
    <col min="9" max="9" width="23.26953125" bestFit="1" customWidth="1"/>
    <col min="10" max="10" width="22.1796875" bestFit="1" customWidth="1"/>
    <col min="11" max="11" width="23.26953125" bestFit="1" customWidth="1"/>
    <col min="12" max="12" width="22.1796875" bestFit="1" customWidth="1"/>
    <col min="13" max="13" width="23.26953125" bestFit="1" customWidth="1"/>
    <col min="14" max="14" width="22.1796875" bestFit="1" customWidth="1"/>
    <col min="15" max="15" width="23.26953125" bestFit="1" customWidth="1"/>
    <col min="16" max="16" width="22.1796875" bestFit="1" customWidth="1"/>
    <col min="17" max="17" width="23.26953125" bestFit="1" customWidth="1"/>
    <col min="18" max="18" width="22.1796875" bestFit="1" customWidth="1"/>
    <col min="19" max="19" width="23.26953125" bestFit="1" customWidth="1"/>
    <col min="20" max="20" width="22.1796875" bestFit="1" customWidth="1"/>
    <col min="21" max="21" width="23.26953125" bestFit="1" customWidth="1"/>
    <col min="22" max="22" width="22.1796875" bestFit="1" customWidth="1"/>
    <col min="23" max="23" width="28" bestFit="1" customWidth="1"/>
    <col min="24" max="24" width="26.81640625" bestFit="1" customWidth="1"/>
    <col min="25" max="25" width="28.26953125" customWidth="1"/>
    <col min="39" max="39" width="14.453125" bestFit="1" customWidth="1"/>
    <col min="40" max="40" width="23.26953125" bestFit="1" customWidth="1"/>
    <col min="41" max="41" width="22.1796875" bestFit="1" customWidth="1"/>
    <col min="46" max="46" width="14.453125" bestFit="1" customWidth="1"/>
    <col min="47" max="47" width="23.26953125" bestFit="1" customWidth="1"/>
    <col min="48" max="48" width="22.1796875" bestFit="1" customWidth="1"/>
    <col min="49" max="49" width="23.26953125" bestFit="1" customWidth="1"/>
    <col min="50" max="50" width="22.1796875" bestFit="1" customWidth="1"/>
    <col min="51" max="51" width="23.26953125" bestFit="1" customWidth="1"/>
    <col min="52" max="52" width="22.1796875" bestFit="1" customWidth="1"/>
    <col min="53" max="53" width="23.26953125" bestFit="1" customWidth="1"/>
    <col min="54" max="54" width="22.1796875" bestFit="1" customWidth="1"/>
    <col min="55" max="55" width="23.26953125" bestFit="1" customWidth="1"/>
    <col min="56" max="56" width="22.1796875" bestFit="1" customWidth="1"/>
    <col min="57" max="57" width="23.26953125" bestFit="1" customWidth="1"/>
    <col min="58" max="58" width="22.1796875" bestFit="1" customWidth="1"/>
    <col min="59" max="59" width="23.26953125" bestFit="1" customWidth="1"/>
    <col min="60" max="60" width="22.1796875" bestFit="1" customWidth="1"/>
    <col min="61" max="61" width="28" bestFit="1" customWidth="1"/>
    <col min="62" max="62" width="26.81640625" bestFit="1" customWidth="1"/>
    <col min="63" max="63" width="23.26953125" bestFit="1" customWidth="1"/>
    <col min="64" max="64" width="22.1796875" bestFit="1" customWidth="1"/>
    <col min="65" max="65" width="23.26953125" bestFit="1" customWidth="1"/>
    <col min="66" max="66" width="22.1796875" bestFit="1" customWidth="1"/>
    <col min="67" max="67" width="23.26953125" bestFit="1" customWidth="1"/>
    <col min="68" max="68" width="22.1796875" bestFit="1" customWidth="1"/>
    <col min="69" max="69" width="23.26953125" bestFit="1" customWidth="1"/>
    <col min="70" max="70" width="22.1796875" bestFit="1" customWidth="1"/>
    <col min="71" max="71" width="23.26953125" bestFit="1" customWidth="1"/>
    <col min="72" max="72" width="22.1796875" bestFit="1" customWidth="1"/>
    <col min="73" max="73" width="23.26953125" bestFit="1" customWidth="1"/>
    <col min="74" max="74" width="22.1796875" bestFit="1" customWidth="1"/>
    <col min="75" max="75" width="23.26953125" bestFit="1" customWidth="1"/>
    <col min="76" max="76" width="22.1796875" bestFit="1" customWidth="1"/>
    <col min="77" max="77" width="28" bestFit="1" customWidth="1"/>
    <col min="78" max="78" width="26.81640625" bestFit="1" customWidth="1"/>
  </cols>
  <sheetData>
    <row r="1" spans="1:73" s="14" customFormat="1" x14ac:dyDescent="0.35">
      <c r="A1" s="23"/>
      <c r="B1" s="35" t="s">
        <v>344</v>
      </c>
      <c r="C1" s="34"/>
      <c r="D1" s="34"/>
      <c r="E1" s="34"/>
      <c r="F1" s="23"/>
      <c r="G1" s="23"/>
      <c r="H1" s="170" t="s">
        <v>345</v>
      </c>
      <c r="I1" s="170"/>
      <c r="J1" s="170"/>
      <c r="K1" s="170"/>
      <c r="L1" s="170"/>
      <c r="M1" s="170"/>
      <c r="N1" s="170"/>
      <c r="O1" s="170"/>
      <c r="P1" s="170"/>
      <c r="Q1" s="170"/>
      <c r="R1" s="170"/>
      <c r="S1" s="170"/>
      <c r="T1" s="170"/>
      <c r="U1" s="170"/>
      <c r="V1" s="170"/>
      <c r="W1" s="170"/>
      <c r="X1" s="170"/>
      <c r="Y1" s="170"/>
      <c r="Z1" s="170"/>
      <c r="AA1" s="170"/>
      <c r="AB1" s="170"/>
      <c r="AC1" s="170"/>
      <c r="AD1" s="170"/>
      <c r="AE1" s="170"/>
      <c r="AF1" s="170"/>
      <c r="AG1" s="170"/>
      <c r="AH1" s="170"/>
      <c r="AI1" s="82"/>
      <c r="AJ1" s="82"/>
      <c r="AK1" s="23"/>
      <c r="AM1" s="169" t="s">
        <v>140</v>
      </c>
      <c r="AN1" s="169"/>
      <c r="AO1" s="169"/>
      <c r="AP1" s="169"/>
      <c r="AT1" s="169" t="s">
        <v>142</v>
      </c>
      <c r="AU1" s="169"/>
      <c r="AV1" s="169"/>
      <c r="AW1" s="169"/>
      <c r="AX1" s="169"/>
      <c r="AY1" s="169"/>
      <c r="AZ1" s="169"/>
      <c r="BA1" s="169"/>
      <c r="BB1" s="169"/>
      <c r="BC1" s="169"/>
      <c r="BD1" s="169"/>
      <c r="BE1" s="169"/>
      <c r="BF1" s="169"/>
      <c r="BG1" s="169"/>
      <c r="BH1" s="169"/>
      <c r="BI1" s="169"/>
      <c r="BJ1" s="169"/>
      <c r="BK1" s="169"/>
      <c r="BL1" s="169"/>
      <c r="BM1" s="169"/>
      <c r="BN1" s="169"/>
      <c r="BO1" s="169"/>
    </row>
    <row r="3" spans="1:73" x14ac:dyDescent="0.35">
      <c r="B3" s="15" t="s">
        <v>129</v>
      </c>
      <c r="C3" t="s" vm="1">
        <v>130</v>
      </c>
      <c r="D3"/>
      <c r="H3" s="15" t="s">
        <v>129</v>
      </c>
      <c r="I3" t="s" vm="1">
        <v>130</v>
      </c>
      <c r="AM3" s="15" t="s">
        <v>129</v>
      </c>
      <c r="AN3" t="s" vm="1">
        <v>130</v>
      </c>
      <c r="AT3" s="15" t="s">
        <v>129</v>
      </c>
      <c r="AU3" t="s" vm="1">
        <v>130</v>
      </c>
    </row>
    <row r="4" spans="1:73" x14ac:dyDescent="0.35">
      <c r="B4"/>
      <c r="C4"/>
      <c r="D4"/>
    </row>
    <row r="5" spans="1:73" x14ac:dyDescent="0.35">
      <c r="B5" s="15" t="s">
        <v>134</v>
      </c>
      <c r="C5" t="s">
        <v>350</v>
      </c>
      <c r="D5" t="s">
        <v>351</v>
      </c>
      <c r="I5" s="15" t="s">
        <v>136</v>
      </c>
      <c r="AB5" t="s">
        <v>132</v>
      </c>
      <c r="AC5" t="s">
        <v>21</v>
      </c>
      <c r="AD5" t="s">
        <v>22</v>
      </c>
      <c r="AE5" t="s">
        <v>25</v>
      </c>
      <c r="AF5" t="s">
        <v>27</v>
      </c>
      <c r="AG5" t="s">
        <v>28</v>
      </c>
      <c r="AH5" t="s">
        <v>133</v>
      </c>
      <c r="AI5" t="s">
        <v>37</v>
      </c>
      <c r="AM5" s="15" t="s">
        <v>134</v>
      </c>
      <c r="AN5" t="s">
        <v>350</v>
      </c>
      <c r="AO5" t="s">
        <v>351</v>
      </c>
      <c r="AU5" s="15" t="s">
        <v>136</v>
      </c>
      <c r="BN5" t="s">
        <v>132</v>
      </c>
      <c r="BO5" t="s">
        <v>21</v>
      </c>
      <c r="BP5" t="s">
        <v>22</v>
      </c>
      <c r="BQ5" t="s">
        <v>25</v>
      </c>
      <c r="BR5" t="s">
        <v>27</v>
      </c>
      <c r="BS5" t="s">
        <v>28</v>
      </c>
      <c r="BT5" t="s">
        <v>133</v>
      </c>
      <c r="BU5" t="s">
        <v>37</v>
      </c>
    </row>
    <row r="6" spans="1:73" x14ac:dyDescent="0.35">
      <c r="A6" s="24"/>
      <c r="B6" s="16">
        <v>1</v>
      </c>
      <c r="C6">
        <v>2650</v>
      </c>
      <c r="D6">
        <v>2281</v>
      </c>
      <c r="E6" s="24">
        <f>D6/C6</f>
        <v>0.86075471698113204</v>
      </c>
      <c r="F6" s="24"/>
      <c r="G6" s="24"/>
      <c r="I6" t="s">
        <v>137</v>
      </c>
      <c r="K6" t="s">
        <v>21</v>
      </c>
      <c r="M6" t="s">
        <v>22</v>
      </c>
      <c r="O6" t="s">
        <v>138</v>
      </c>
      <c r="Q6" t="s">
        <v>26</v>
      </c>
      <c r="S6" t="s">
        <v>27</v>
      </c>
      <c r="U6" t="s">
        <v>28</v>
      </c>
      <c r="W6" t="s">
        <v>352</v>
      </c>
      <c r="X6" t="s">
        <v>353</v>
      </c>
      <c r="Z6" s="24"/>
      <c r="AA6" s="17" t="s">
        <v>1</v>
      </c>
      <c r="AB6" s="24">
        <f>VLOOKUP($AA6,$H$8:$X$1048576,17,FALSE)/VLOOKUP($AA6,$H$8:$X$1048576,16,FALSE)</f>
        <v>0.86075471698113204</v>
      </c>
      <c r="AC6" s="24">
        <f>VLOOKUP($AA6,$H$8:$X$1048576,5,FALSE)/VLOOKUP($AA6,$H$8:$X$1048576,4,FALSE)</f>
        <v>0.8</v>
      </c>
      <c r="AD6" s="24">
        <f>VLOOKUP($AA6,$H$8:$X$1048576,7,FALSE)/VLOOKUP($AA6,$H$8:$X$1048576,6,FALSE)</f>
        <v>0.92070484581497802</v>
      </c>
      <c r="AE6" s="24">
        <f>VLOOKUP($AA6,$H$8:$X$1048576,9,FALSE)/VLOOKUP($AA6,$H$8:$X$1048576,8,FALSE)</f>
        <v>0.94647887323943658</v>
      </c>
      <c r="AF6" s="24">
        <f>VLOOKUP($AA6,$H$8:$X$1048576,13,FALSE)/VLOOKUP($AA6,$H$8:$X$1048576,12,FALSE)</f>
        <v>0.85779816513761464</v>
      </c>
      <c r="AG6" s="24">
        <f>VLOOKUP($AA6,$H$8:$X$1048576,15,FALSE)/VLOOKUP($AA6,$H$8:$X$1048576,14,FALSE)</f>
        <v>0.94444444444444442</v>
      </c>
      <c r="AH6" s="24">
        <f>VLOOKUP($AA6,$H$8:$X$1048576,3,FALSE)/VLOOKUP($AA6,$H$8:$X$1048576,2,FALSE)</f>
        <v>0.5714285714285714</v>
      </c>
      <c r="AI6" s="24">
        <f>VLOOKUP($AA6,$H$8:$X$1048576,11,FALSE)/VLOOKUP($AA6,$H$8:$X$1048576,10,FALSE)</f>
        <v>0.88059701492537312</v>
      </c>
      <c r="AJ6" s="24"/>
      <c r="AK6" s="24"/>
      <c r="AM6" s="16">
        <v>1</v>
      </c>
      <c r="AN6">
        <v>2650</v>
      </c>
      <c r="AO6">
        <v>2281</v>
      </c>
      <c r="AP6" s="22">
        <f>(AN6-D6)/4</f>
        <v>92.25</v>
      </c>
      <c r="AQ6" s="40"/>
      <c r="AR6" s="22"/>
      <c r="AU6" t="s">
        <v>137</v>
      </c>
      <c r="AW6" t="s">
        <v>21</v>
      </c>
      <c r="AY6" t="s">
        <v>22</v>
      </c>
      <c r="BA6" t="s">
        <v>138</v>
      </c>
      <c r="BC6" t="s">
        <v>26</v>
      </c>
      <c r="BE6" t="s">
        <v>27</v>
      </c>
      <c r="BG6" t="s">
        <v>28</v>
      </c>
      <c r="BI6" t="s">
        <v>352</v>
      </c>
      <c r="BJ6" t="s">
        <v>353</v>
      </c>
      <c r="BM6" s="41" t="s">
        <v>1</v>
      </c>
      <c r="BN6" s="21">
        <f>(VLOOKUP($BM6,$AT$8:$BJ$1048576,16,FALSE)-VLOOKUP($BM6,$AT$8:$BJ$1048576,17,FALSE))/7</f>
        <v>52.714285714285715</v>
      </c>
      <c r="BO6" s="21">
        <f>(VLOOKUP($BM6,$AT$8:$BJ$1048576,4,FALSE)-VLOOKUP($BM6,$AT$8:$BJ$1048576,5,FALSE))/7</f>
        <v>27.571428571428573</v>
      </c>
      <c r="BP6" s="21">
        <f>(VLOOKUP($BM6,$AT$8:$BJ$1048576,6,FALSE)-VLOOKUP($BM6,$AT$8:$BJ$1048576,7,FALSE))/7</f>
        <v>5.1428571428571432</v>
      </c>
      <c r="BQ6" s="21">
        <f>(VLOOKUP($BM6,$AT$8:$BJ$1048576,8,FALSE)-VLOOKUP($BM6,$AT$8:$BJ$1048576,9,FALSE))/7</f>
        <v>2.7142857142857144</v>
      </c>
      <c r="BR6" s="21">
        <f>(VLOOKUP($BM6,$AT$8:$BJ$1048576,12,FALSE)-VLOOKUP($BM6,$AT$8:$BJ$1048576,13,FALSE))/7</f>
        <v>4.4285714285714288</v>
      </c>
      <c r="BS6" s="21">
        <f>(VLOOKUP($BM6,$AT$8:$BJ$1048576,14,FALSE)-VLOOKUP($BM6,$AT$8:$BJ$1048576,15,FALSE))/7</f>
        <v>1</v>
      </c>
      <c r="BT6" s="21">
        <f>(VLOOKUP($BM6,$AT$8:$BJ$1048576,2,FALSE)-VLOOKUP($BM6,$AT$8:$BJ$1048576,3,FALSE))/7</f>
        <v>3.8571428571428572</v>
      </c>
      <c r="BU6" s="21">
        <f>(VLOOKUP($BM6,$AT$8:$BJ$1048576,10,FALSE)-VLOOKUP($BM6,$AT$8:$BJ$1048576,11,FALSE))/7</f>
        <v>8</v>
      </c>
    </row>
    <row r="7" spans="1:73" x14ac:dyDescent="0.35">
      <c r="A7" s="24"/>
      <c r="B7" s="16">
        <v>2</v>
      </c>
      <c r="C7">
        <v>2629</v>
      </c>
      <c r="D7">
        <v>2239</v>
      </c>
      <c r="E7" s="24">
        <f>D7/C7</f>
        <v>0.85165462152909854</v>
      </c>
      <c r="F7" s="24"/>
      <c r="G7" s="24"/>
      <c r="H7" s="15" t="s">
        <v>134</v>
      </c>
      <c r="I7" t="s">
        <v>350</v>
      </c>
      <c r="J7" t="s">
        <v>351</v>
      </c>
      <c r="K7" t="s">
        <v>350</v>
      </c>
      <c r="L7" t="s">
        <v>351</v>
      </c>
      <c r="M7" t="s">
        <v>350</v>
      </c>
      <c r="N7" t="s">
        <v>351</v>
      </c>
      <c r="O7" t="s">
        <v>350</v>
      </c>
      <c r="P7" t="s">
        <v>351</v>
      </c>
      <c r="Q7" t="s">
        <v>350</v>
      </c>
      <c r="R7" t="s">
        <v>351</v>
      </c>
      <c r="S7" t="s">
        <v>350</v>
      </c>
      <c r="T7" t="s">
        <v>351</v>
      </c>
      <c r="U7" t="s">
        <v>350</v>
      </c>
      <c r="V7" t="s">
        <v>351</v>
      </c>
      <c r="Z7" s="24"/>
      <c r="AA7" s="17" t="s">
        <v>2</v>
      </c>
      <c r="AB7" s="24">
        <f t="shared" ref="AB7:AB19" si="0">VLOOKUP($AA7,$H$8:$X$1048576,17,FALSE)/VLOOKUP($AA7,$H$8:$X$1048576,16,FALSE)</f>
        <v>0.85165462152909854</v>
      </c>
      <c r="AC7" s="24">
        <f t="shared" ref="AC7:AC18" si="1">VLOOKUP($AA7,$H$8:$X$1048576,5,FALSE)/VLOOKUP($AA7,$H$8:$X$1048576,4,FALSE)</f>
        <v>0.80590717299578063</v>
      </c>
      <c r="AD7" s="24">
        <f t="shared" ref="AD7:AD19" si="2">VLOOKUP($AA7,$H$8:$X$1048576,7,FALSE)/VLOOKUP($AA7,$H$8:$X$1048576,6,FALSE)</f>
        <v>0.92592592592592593</v>
      </c>
      <c r="AE7" s="24">
        <f t="shared" ref="AE7:AE19" si="3">VLOOKUP($AA7,$H$8:$X$1048576,9,FALSE)/VLOOKUP($AA7,$H$8:$X$1048576,8,FALSE)</f>
        <v>0.89020771513353114</v>
      </c>
      <c r="AF7" s="24">
        <f t="shared" ref="AF7:AF19" si="4">VLOOKUP($AA7,$H$8:$X$1048576,13,FALSE)/VLOOKUP($AA7,$H$8:$X$1048576,12,FALSE)</f>
        <v>0.83700440528634357</v>
      </c>
      <c r="AG7" s="24">
        <f t="shared" ref="AG7:AG19" si="5">VLOOKUP($AA7,$H$8:$X$1048576,15,FALSE)/VLOOKUP($AA7,$H$8:$X$1048576,14,FALSE)</f>
        <v>0.96031746031746035</v>
      </c>
      <c r="AH7" s="24">
        <f t="shared" ref="AH7:AH19" si="6">VLOOKUP($AA7,$H$8:$X$1048576,3,FALSE)/VLOOKUP($AA7,$H$8:$X$1048576,2,FALSE)</f>
        <v>0.5714285714285714</v>
      </c>
      <c r="AI7" s="24">
        <f t="shared" ref="AI7:AI17" si="7">VLOOKUP($AA7,$H$8:$X$1048576,11,FALSE)/VLOOKUP($AA7,$H$8:$X$1048576,10,FALSE)</f>
        <v>0.85927505330490406</v>
      </c>
      <c r="AJ7" s="24"/>
      <c r="AK7" s="24"/>
      <c r="AM7" s="16">
        <v>2</v>
      </c>
      <c r="AN7">
        <v>2629</v>
      </c>
      <c r="AO7">
        <v>2239</v>
      </c>
      <c r="AP7" s="22">
        <f t="shared" ref="AP7:AP20" si="8">(AN7-D7)/7</f>
        <v>55.714285714285715</v>
      </c>
      <c r="AQ7" s="40"/>
      <c r="AR7" s="22"/>
      <c r="AT7" s="15" t="s">
        <v>134</v>
      </c>
      <c r="AU7" t="s">
        <v>350</v>
      </c>
      <c r="AV7" t="s">
        <v>351</v>
      </c>
      <c r="AW7" t="s">
        <v>350</v>
      </c>
      <c r="AX7" t="s">
        <v>351</v>
      </c>
      <c r="AY7" t="s">
        <v>350</v>
      </c>
      <c r="AZ7" t="s">
        <v>351</v>
      </c>
      <c r="BA7" t="s">
        <v>350</v>
      </c>
      <c r="BB7" t="s">
        <v>351</v>
      </c>
      <c r="BC7" t="s">
        <v>350</v>
      </c>
      <c r="BD7" t="s">
        <v>351</v>
      </c>
      <c r="BE7" t="s">
        <v>350</v>
      </c>
      <c r="BF7" t="s">
        <v>351</v>
      </c>
      <c r="BG7" t="s">
        <v>350</v>
      </c>
      <c r="BH7" t="s">
        <v>351</v>
      </c>
      <c r="BM7" s="41" t="s">
        <v>2</v>
      </c>
      <c r="BN7" s="21">
        <f t="shared" ref="BN7:BN19" si="9">(VLOOKUP($BM7,$AT$8:$BJ$1048576,16,FALSE)-VLOOKUP($BM7,$AT$8:$BJ$1048576,17,FALSE))/7</f>
        <v>55.714285714285715</v>
      </c>
      <c r="BO7" s="21">
        <f t="shared" ref="BO7:BO19" si="10">(VLOOKUP($BM7,$AT$8:$BJ$1048576,4,FALSE)-VLOOKUP($BM7,$AT$8:$BJ$1048576,5,FALSE))/7</f>
        <v>26.285714285714285</v>
      </c>
      <c r="BP7" s="21">
        <f t="shared" ref="BP7:BP19" si="11">(VLOOKUP($BM7,$AT$8:$BJ$1048576,6,FALSE)-VLOOKUP($BM7,$AT$8:$BJ$1048576,7,FALSE))/7</f>
        <v>4.8571428571428568</v>
      </c>
      <c r="BQ7" s="21">
        <f t="shared" ref="BQ7:BQ19" si="12">(VLOOKUP($BM7,$AT$8:$BJ$1048576,8,FALSE)-VLOOKUP($BM7,$AT$8:$BJ$1048576,9,FALSE))/7</f>
        <v>5.2857142857142856</v>
      </c>
      <c r="BR7" s="21">
        <f t="shared" ref="BR7:BR19" si="13">(VLOOKUP($BM7,$AT$8:$BJ$1048576,12,FALSE)-VLOOKUP($BM7,$AT$8:$BJ$1048576,13,FALSE))/7</f>
        <v>5.2857142857142856</v>
      </c>
      <c r="BS7" s="21">
        <f t="shared" ref="BS7:BS19" si="14">(VLOOKUP($BM7,$AT$8:$BJ$1048576,14,FALSE)-VLOOKUP($BM7,$AT$8:$BJ$1048576,15,FALSE))/7</f>
        <v>0.7142857142857143</v>
      </c>
      <c r="BT7" s="21">
        <f t="shared" ref="BT7:BT19" si="15">(VLOOKUP($BM7,$AT$8:$BJ$1048576,2,FALSE)-VLOOKUP($BM7,$AT$8:$BJ$1048576,3,FALSE))/7</f>
        <v>3.8571428571428572</v>
      </c>
      <c r="BU7" s="21">
        <f t="shared" ref="BU7:BU19" si="16">(VLOOKUP($BM7,$AT$8:$BJ$1048576,10,FALSE)-VLOOKUP($BM7,$AT$8:$BJ$1048576,11,FALSE))/7</f>
        <v>9.4285714285714288</v>
      </c>
    </row>
    <row r="8" spans="1:73" x14ac:dyDescent="0.35">
      <c r="A8" s="24"/>
      <c r="B8" s="16">
        <v>3</v>
      </c>
      <c r="C8">
        <v>2655</v>
      </c>
      <c r="D8">
        <v>2208</v>
      </c>
      <c r="E8" s="24">
        <f t="shared" ref="E8:E20" si="17">D8/C8</f>
        <v>0.831638418079096</v>
      </c>
      <c r="F8" s="24"/>
      <c r="G8" s="24"/>
      <c r="H8" s="16" t="s">
        <v>1</v>
      </c>
      <c r="I8">
        <v>63</v>
      </c>
      <c r="J8">
        <v>36</v>
      </c>
      <c r="K8">
        <v>965</v>
      </c>
      <c r="L8">
        <v>772</v>
      </c>
      <c r="M8">
        <v>454</v>
      </c>
      <c r="N8">
        <v>418</v>
      </c>
      <c r="O8">
        <v>355</v>
      </c>
      <c r="P8">
        <v>336</v>
      </c>
      <c r="Q8">
        <v>469</v>
      </c>
      <c r="R8">
        <v>413</v>
      </c>
      <c r="S8">
        <v>218</v>
      </c>
      <c r="T8">
        <v>187</v>
      </c>
      <c r="U8">
        <v>126</v>
      </c>
      <c r="V8">
        <v>119</v>
      </c>
      <c r="W8">
        <v>2650</v>
      </c>
      <c r="X8">
        <v>2281</v>
      </c>
      <c r="Z8" s="24"/>
      <c r="AA8" s="17" t="s">
        <v>3</v>
      </c>
      <c r="AB8" s="24">
        <f t="shared" si="0"/>
        <v>0.831638418079096</v>
      </c>
      <c r="AC8" s="24">
        <f t="shared" si="1"/>
        <v>0.72573839662447259</v>
      </c>
      <c r="AD8" s="24">
        <f t="shared" si="2"/>
        <v>0.97674418604651159</v>
      </c>
      <c r="AE8" s="24">
        <f t="shared" si="3"/>
        <v>0.83760683760683763</v>
      </c>
      <c r="AF8" s="24">
        <f t="shared" si="4"/>
        <v>0.84888888888888892</v>
      </c>
      <c r="AG8" s="24">
        <f t="shared" si="5"/>
        <v>0.95238095238095233</v>
      </c>
      <c r="AH8" s="24">
        <f t="shared" si="6"/>
        <v>0.55555555555555558</v>
      </c>
      <c r="AI8" s="24">
        <f t="shared" si="7"/>
        <v>0.89125799573560771</v>
      </c>
      <c r="AJ8" s="24"/>
      <c r="AK8" s="24"/>
      <c r="AM8" s="16">
        <v>3</v>
      </c>
      <c r="AN8">
        <v>2655</v>
      </c>
      <c r="AO8">
        <v>2208</v>
      </c>
      <c r="AP8" s="22">
        <f t="shared" si="8"/>
        <v>63.857142857142854</v>
      </c>
      <c r="AQ8" s="40"/>
      <c r="AR8" s="22"/>
      <c r="AT8" s="16" t="s">
        <v>1</v>
      </c>
      <c r="AU8">
        <v>63</v>
      </c>
      <c r="AV8">
        <v>36</v>
      </c>
      <c r="AW8">
        <v>965</v>
      </c>
      <c r="AX8">
        <v>772</v>
      </c>
      <c r="AY8">
        <v>454</v>
      </c>
      <c r="AZ8">
        <v>418</v>
      </c>
      <c r="BA8">
        <v>355</v>
      </c>
      <c r="BB8">
        <v>336</v>
      </c>
      <c r="BC8">
        <v>469</v>
      </c>
      <c r="BD8">
        <v>413</v>
      </c>
      <c r="BE8">
        <v>218</v>
      </c>
      <c r="BF8">
        <v>187</v>
      </c>
      <c r="BG8">
        <v>126</v>
      </c>
      <c r="BH8">
        <v>119</v>
      </c>
      <c r="BI8">
        <v>2650</v>
      </c>
      <c r="BJ8">
        <v>2281</v>
      </c>
      <c r="BM8" s="41" t="s">
        <v>3</v>
      </c>
      <c r="BN8" s="21">
        <f t="shared" si="9"/>
        <v>63.857142857142854</v>
      </c>
      <c r="BO8" s="21">
        <f t="shared" si="10"/>
        <v>37.142857142857146</v>
      </c>
      <c r="BP8" s="21">
        <f t="shared" si="11"/>
        <v>1.5714285714285714</v>
      </c>
      <c r="BQ8" s="21">
        <f t="shared" si="12"/>
        <v>8.1428571428571423</v>
      </c>
      <c r="BR8" s="21">
        <f t="shared" si="13"/>
        <v>4.8571428571428568</v>
      </c>
      <c r="BS8" s="21">
        <f t="shared" si="14"/>
        <v>0.8571428571428571</v>
      </c>
      <c r="BT8" s="21">
        <f t="shared" si="15"/>
        <v>4</v>
      </c>
      <c r="BU8" s="21">
        <f t="shared" si="16"/>
        <v>7.2857142857142856</v>
      </c>
    </row>
    <row r="9" spans="1:73" x14ac:dyDescent="0.35">
      <c r="A9" s="24"/>
      <c r="B9" s="16">
        <v>4</v>
      </c>
      <c r="C9">
        <v>2649</v>
      </c>
      <c r="D9">
        <v>2268</v>
      </c>
      <c r="E9" s="24">
        <f t="shared" si="17"/>
        <v>0.85617214043035106</v>
      </c>
      <c r="F9" s="24"/>
      <c r="G9" s="24"/>
      <c r="H9" s="16" t="s">
        <v>2</v>
      </c>
      <c r="I9">
        <v>63</v>
      </c>
      <c r="J9">
        <v>36</v>
      </c>
      <c r="K9">
        <v>948</v>
      </c>
      <c r="L9">
        <v>764</v>
      </c>
      <c r="M9">
        <v>459</v>
      </c>
      <c r="N9">
        <v>425</v>
      </c>
      <c r="O9">
        <v>337</v>
      </c>
      <c r="P9">
        <v>300</v>
      </c>
      <c r="Q9">
        <v>469</v>
      </c>
      <c r="R9">
        <v>403</v>
      </c>
      <c r="S9">
        <v>227</v>
      </c>
      <c r="T9">
        <v>190</v>
      </c>
      <c r="U9">
        <v>126</v>
      </c>
      <c r="V9">
        <v>121</v>
      </c>
      <c r="W9">
        <v>2629</v>
      </c>
      <c r="X9">
        <v>2239</v>
      </c>
      <c r="Z9" s="24"/>
      <c r="AA9" s="17" t="s">
        <v>4</v>
      </c>
      <c r="AB9" s="24">
        <f t="shared" si="0"/>
        <v>0.85617214043035106</v>
      </c>
      <c r="AC9" s="24">
        <f t="shared" si="1"/>
        <v>0.7927736450584485</v>
      </c>
      <c r="AD9" s="24">
        <f t="shared" si="2"/>
        <v>0.97634408602150535</v>
      </c>
      <c r="AE9" s="24">
        <f t="shared" si="3"/>
        <v>0.8587257617728532</v>
      </c>
      <c r="AF9" s="24">
        <f t="shared" si="4"/>
        <v>0.8571428571428571</v>
      </c>
      <c r="AG9" s="24">
        <f t="shared" si="5"/>
        <v>0.83333333333333337</v>
      </c>
      <c r="AH9" s="24">
        <f t="shared" si="6"/>
        <v>0.82539682539682535</v>
      </c>
      <c r="AI9" s="24">
        <f t="shared" si="7"/>
        <v>0.8720682302771855</v>
      </c>
      <c r="AJ9" s="24"/>
      <c r="AK9" s="24"/>
      <c r="AM9" s="16">
        <v>4</v>
      </c>
      <c r="AN9">
        <v>2649</v>
      </c>
      <c r="AO9">
        <v>2268</v>
      </c>
      <c r="AP9" s="22">
        <f t="shared" si="8"/>
        <v>54.428571428571431</v>
      </c>
      <c r="AQ9" s="40"/>
      <c r="AR9" s="22"/>
      <c r="AT9" s="16" t="s">
        <v>2</v>
      </c>
      <c r="AU9">
        <v>63</v>
      </c>
      <c r="AV9">
        <v>36</v>
      </c>
      <c r="AW9">
        <v>948</v>
      </c>
      <c r="AX9">
        <v>764</v>
      </c>
      <c r="AY9">
        <v>459</v>
      </c>
      <c r="AZ9">
        <v>425</v>
      </c>
      <c r="BA9">
        <v>337</v>
      </c>
      <c r="BB9">
        <v>300</v>
      </c>
      <c r="BC9">
        <v>469</v>
      </c>
      <c r="BD9">
        <v>403</v>
      </c>
      <c r="BE9">
        <v>227</v>
      </c>
      <c r="BF9">
        <v>190</v>
      </c>
      <c r="BG9">
        <v>126</v>
      </c>
      <c r="BH9">
        <v>121</v>
      </c>
      <c r="BI9">
        <v>2629</v>
      </c>
      <c r="BJ9">
        <v>2239</v>
      </c>
      <c r="BM9" s="41" t="s">
        <v>4</v>
      </c>
      <c r="BN9" s="21">
        <f t="shared" si="9"/>
        <v>54.428571428571431</v>
      </c>
      <c r="BO9" s="21">
        <f t="shared" si="10"/>
        <v>27.857142857142858</v>
      </c>
      <c r="BP9" s="21">
        <f t="shared" si="11"/>
        <v>1.5714285714285714</v>
      </c>
      <c r="BQ9" s="21">
        <f t="shared" si="12"/>
        <v>7.2857142857142856</v>
      </c>
      <c r="BR9" s="21">
        <f t="shared" si="13"/>
        <v>4.5714285714285712</v>
      </c>
      <c r="BS9" s="21">
        <f t="shared" si="14"/>
        <v>3</v>
      </c>
      <c r="BT9" s="21">
        <f t="shared" si="15"/>
        <v>1.5714285714285714</v>
      </c>
      <c r="BU9" s="21">
        <f t="shared" si="16"/>
        <v>8.5714285714285712</v>
      </c>
    </row>
    <row r="10" spans="1:73" x14ac:dyDescent="0.35">
      <c r="A10" s="24"/>
      <c r="B10" s="16">
        <v>5</v>
      </c>
      <c r="C10">
        <v>2635</v>
      </c>
      <c r="D10">
        <v>2069</v>
      </c>
      <c r="E10" s="24">
        <f t="shared" si="17"/>
        <v>0.78519924098671723</v>
      </c>
      <c r="F10" s="24"/>
      <c r="G10" s="24"/>
      <c r="H10" s="16" t="s">
        <v>3</v>
      </c>
      <c r="I10">
        <v>63</v>
      </c>
      <c r="J10">
        <v>35</v>
      </c>
      <c r="K10">
        <v>948</v>
      </c>
      <c r="L10">
        <v>688</v>
      </c>
      <c r="M10">
        <v>473</v>
      </c>
      <c r="N10">
        <v>462</v>
      </c>
      <c r="O10">
        <v>351</v>
      </c>
      <c r="P10">
        <v>294</v>
      </c>
      <c r="Q10">
        <v>469</v>
      </c>
      <c r="R10">
        <v>418</v>
      </c>
      <c r="S10">
        <v>225</v>
      </c>
      <c r="T10">
        <v>191</v>
      </c>
      <c r="U10">
        <v>126</v>
      </c>
      <c r="V10">
        <v>120</v>
      </c>
      <c r="W10">
        <v>2655</v>
      </c>
      <c r="X10">
        <v>2208</v>
      </c>
      <c r="Z10" s="24"/>
      <c r="AA10" s="17" t="s">
        <v>5</v>
      </c>
      <c r="AB10" s="24">
        <f t="shared" si="0"/>
        <v>0.78519924098671723</v>
      </c>
      <c r="AC10" s="24">
        <f t="shared" si="1"/>
        <v>0.71099476439790577</v>
      </c>
      <c r="AD10" s="24">
        <f t="shared" si="2"/>
        <v>0.93156732891832228</v>
      </c>
      <c r="AE10" s="24">
        <f t="shared" si="3"/>
        <v>0.79714285714285715</v>
      </c>
      <c r="AF10" s="24">
        <f t="shared" si="4"/>
        <v>0.84018264840182644</v>
      </c>
      <c r="AG10" s="24">
        <f t="shared" si="5"/>
        <v>0.6428571428571429</v>
      </c>
      <c r="AH10" s="24">
        <f t="shared" si="6"/>
        <v>0.55555555555555558</v>
      </c>
      <c r="AI10" s="24">
        <f t="shared" si="7"/>
        <v>0.82942430703624737</v>
      </c>
      <c r="AJ10" s="24"/>
      <c r="AK10" s="24"/>
      <c r="AM10" s="16">
        <v>5</v>
      </c>
      <c r="AN10">
        <v>2635</v>
      </c>
      <c r="AO10">
        <v>2069</v>
      </c>
      <c r="AP10" s="22">
        <f t="shared" si="8"/>
        <v>80.857142857142861</v>
      </c>
      <c r="AQ10" s="40"/>
      <c r="AR10" s="22"/>
      <c r="AT10" s="16" t="s">
        <v>3</v>
      </c>
      <c r="AU10">
        <v>63</v>
      </c>
      <c r="AV10">
        <v>35</v>
      </c>
      <c r="AW10">
        <v>948</v>
      </c>
      <c r="AX10">
        <v>688</v>
      </c>
      <c r="AY10">
        <v>473</v>
      </c>
      <c r="AZ10">
        <v>462</v>
      </c>
      <c r="BA10">
        <v>351</v>
      </c>
      <c r="BB10">
        <v>294</v>
      </c>
      <c r="BC10">
        <v>469</v>
      </c>
      <c r="BD10">
        <v>418</v>
      </c>
      <c r="BE10">
        <v>225</v>
      </c>
      <c r="BF10">
        <v>191</v>
      </c>
      <c r="BG10">
        <v>126</v>
      </c>
      <c r="BH10">
        <v>120</v>
      </c>
      <c r="BI10">
        <v>2655</v>
      </c>
      <c r="BJ10">
        <v>2208</v>
      </c>
      <c r="BM10" s="17" t="s">
        <v>5</v>
      </c>
      <c r="BN10" s="21">
        <f t="shared" si="9"/>
        <v>80.857142857142861</v>
      </c>
      <c r="BO10" s="21">
        <f t="shared" si="10"/>
        <v>39.428571428571431</v>
      </c>
      <c r="BP10" s="21">
        <f t="shared" si="11"/>
        <v>4.4285714285714288</v>
      </c>
      <c r="BQ10" s="21">
        <f t="shared" si="12"/>
        <v>10.142857142857142</v>
      </c>
      <c r="BR10" s="21">
        <f t="shared" si="13"/>
        <v>5</v>
      </c>
      <c r="BS10" s="21">
        <f t="shared" si="14"/>
        <v>6.4285714285714288</v>
      </c>
      <c r="BT10" s="21">
        <f t="shared" si="15"/>
        <v>4</v>
      </c>
      <c r="BU10" s="21">
        <f t="shared" si="16"/>
        <v>11.428571428571429</v>
      </c>
    </row>
    <row r="11" spans="1:73" x14ac:dyDescent="0.35">
      <c r="A11" s="24"/>
      <c r="B11" s="16">
        <v>6</v>
      </c>
      <c r="C11">
        <v>2637</v>
      </c>
      <c r="D11">
        <v>1920</v>
      </c>
      <c r="E11" s="24">
        <f t="shared" si="17"/>
        <v>0.72810011376564276</v>
      </c>
      <c r="F11" s="24"/>
      <c r="G11" s="24"/>
      <c r="H11" s="16" t="s">
        <v>4</v>
      </c>
      <c r="I11">
        <v>63</v>
      </c>
      <c r="J11">
        <v>52</v>
      </c>
      <c r="K11">
        <v>941</v>
      </c>
      <c r="L11">
        <v>746</v>
      </c>
      <c r="M11">
        <v>465</v>
      </c>
      <c r="N11">
        <v>454</v>
      </c>
      <c r="O11">
        <v>361</v>
      </c>
      <c r="P11">
        <v>310</v>
      </c>
      <c r="Q11">
        <v>469</v>
      </c>
      <c r="R11">
        <v>409</v>
      </c>
      <c r="S11">
        <v>224</v>
      </c>
      <c r="T11">
        <v>192</v>
      </c>
      <c r="U11">
        <v>126</v>
      </c>
      <c r="V11">
        <v>105</v>
      </c>
      <c r="W11">
        <v>2649</v>
      </c>
      <c r="X11">
        <v>2268</v>
      </c>
      <c r="Z11" s="24"/>
      <c r="AA11" s="17" t="s">
        <v>6</v>
      </c>
      <c r="AB11" s="24">
        <f t="shared" si="0"/>
        <v>0.72810011376564276</v>
      </c>
      <c r="AC11" s="24">
        <f t="shared" si="1"/>
        <v>0.66803278688524592</v>
      </c>
      <c r="AD11" s="24">
        <f t="shared" si="2"/>
        <v>0.82027649769585254</v>
      </c>
      <c r="AE11" s="24">
        <f t="shared" si="3"/>
        <v>0.71022727272727271</v>
      </c>
      <c r="AF11" s="24">
        <f t="shared" si="4"/>
        <v>0.85253456221198154</v>
      </c>
      <c r="AG11" s="24">
        <f t="shared" si="5"/>
        <v>0.57936507936507942</v>
      </c>
      <c r="AH11" s="24">
        <f t="shared" si="6"/>
        <v>0.44444444444444442</v>
      </c>
      <c r="AI11" s="24">
        <f t="shared" si="7"/>
        <v>0.80170575692963753</v>
      </c>
      <c r="AJ11" s="24"/>
      <c r="AK11" s="24"/>
      <c r="AM11" s="16">
        <v>6</v>
      </c>
      <c r="AN11">
        <v>2637</v>
      </c>
      <c r="AO11">
        <v>1920</v>
      </c>
      <c r="AP11" s="22">
        <f t="shared" si="8"/>
        <v>102.42857142857143</v>
      </c>
      <c r="AQ11" s="40"/>
      <c r="AR11" s="22"/>
      <c r="AT11" s="16" t="s">
        <v>4</v>
      </c>
      <c r="AU11">
        <v>63</v>
      </c>
      <c r="AV11">
        <v>52</v>
      </c>
      <c r="AW11">
        <v>941</v>
      </c>
      <c r="AX11">
        <v>746</v>
      </c>
      <c r="AY11">
        <v>465</v>
      </c>
      <c r="AZ11">
        <v>454</v>
      </c>
      <c r="BA11">
        <v>361</v>
      </c>
      <c r="BB11">
        <v>310</v>
      </c>
      <c r="BC11">
        <v>469</v>
      </c>
      <c r="BD11">
        <v>409</v>
      </c>
      <c r="BE11">
        <v>224</v>
      </c>
      <c r="BF11">
        <v>192</v>
      </c>
      <c r="BG11">
        <v>126</v>
      </c>
      <c r="BH11">
        <v>105</v>
      </c>
      <c r="BI11">
        <v>2649</v>
      </c>
      <c r="BJ11">
        <v>2268</v>
      </c>
      <c r="BM11" s="17" t="s">
        <v>6</v>
      </c>
      <c r="BN11" s="21">
        <f t="shared" si="9"/>
        <v>102.42857142857143</v>
      </c>
      <c r="BO11" s="21">
        <f t="shared" si="10"/>
        <v>46.285714285714285</v>
      </c>
      <c r="BP11" s="21">
        <f t="shared" si="11"/>
        <v>11.142857142857142</v>
      </c>
      <c r="BQ11" s="21">
        <f t="shared" si="12"/>
        <v>14.571428571428571</v>
      </c>
      <c r="BR11" s="21">
        <f t="shared" si="13"/>
        <v>4.5714285714285712</v>
      </c>
      <c r="BS11" s="21">
        <f t="shared" si="14"/>
        <v>7.5714285714285712</v>
      </c>
      <c r="BT11" s="21">
        <f t="shared" si="15"/>
        <v>5</v>
      </c>
      <c r="BU11" s="21">
        <f t="shared" si="16"/>
        <v>13.285714285714286</v>
      </c>
    </row>
    <row r="12" spans="1:73" x14ac:dyDescent="0.35">
      <c r="A12" s="24"/>
      <c r="B12" s="16">
        <v>7</v>
      </c>
      <c r="C12">
        <v>2593</v>
      </c>
      <c r="D12">
        <v>1906</v>
      </c>
      <c r="E12" s="24">
        <f t="shared" si="17"/>
        <v>0.73505591978403395</v>
      </c>
      <c r="F12" s="24"/>
      <c r="G12" s="24"/>
      <c r="H12" s="16" t="s">
        <v>5</v>
      </c>
      <c r="I12">
        <v>63</v>
      </c>
      <c r="J12">
        <v>35</v>
      </c>
      <c r="K12">
        <v>955</v>
      </c>
      <c r="L12">
        <v>679</v>
      </c>
      <c r="M12">
        <v>453</v>
      </c>
      <c r="N12">
        <v>422</v>
      </c>
      <c r="O12">
        <v>350</v>
      </c>
      <c r="P12">
        <v>279</v>
      </c>
      <c r="Q12">
        <v>469</v>
      </c>
      <c r="R12">
        <v>389</v>
      </c>
      <c r="S12">
        <v>219</v>
      </c>
      <c r="T12">
        <v>184</v>
      </c>
      <c r="U12">
        <v>126</v>
      </c>
      <c r="V12">
        <v>81</v>
      </c>
      <c r="W12">
        <v>2635</v>
      </c>
      <c r="X12">
        <v>2069</v>
      </c>
      <c r="Z12" s="24"/>
      <c r="AA12" s="17" t="s">
        <v>7</v>
      </c>
      <c r="AB12" s="24">
        <f t="shared" si="0"/>
        <v>0.73505591978403395</v>
      </c>
      <c r="AC12" s="24">
        <f t="shared" si="1"/>
        <v>0.66243386243386249</v>
      </c>
      <c r="AD12" s="24">
        <f t="shared" si="2"/>
        <v>0.79156908665105385</v>
      </c>
      <c r="AE12" s="24">
        <f t="shared" si="3"/>
        <v>0.79827089337175794</v>
      </c>
      <c r="AF12" s="24">
        <f t="shared" si="4"/>
        <v>0.67741935483870963</v>
      </c>
      <c r="AG12" s="24">
        <f t="shared" si="5"/>
        <v>0.54761904761904767</v>
      </c>
      <c r="AH12" s="24">
        <f t="shared" si="6"/>
        <v>0.56451612903225812</v>
      </c>
      <c r="AI12" s="24">
        <f t="shared" si="7"/>
        <v>0.88272921108742008</v>
      </c>
      <c r="AJ12" s="24"/>
      <c r="AK12" s="24"/>
      <c r="AM12" s="16">
        <v>7</v>
      </c>
      <c r="AN12">
        <v>2593</v>
      </c>
      <c r="AO12">
        <v>1906</v>
      </c>
      <c r="AP12" s="22">
        <f t="shared" si="8"/>
        <v>98.142857142857139</v>
      </c>
      <c r="AQ12" s="40"/>
      <c r="AR12" s="22"/>
      <c r="AT12" s="16" t="s">
        <v>5</v>
      </c>
      <c r="AU12">
        <v>63</v>
      </c>
      <c r="AV12">
        <v>35</v>
      </c>
      <c r="AW12">
        <v>955</v>
      </c>
      <c r="AX12">
        <v>679</v>
      </c>
      <c r="AY12">
        <v>453</v>
      </c>
      <c r="AZ12">
        <v>422</v>
      </c>
      <c r="BA12">
        <v>350</v>
      </c>
      <c r="BB12">
        <v>279</v>
      </c>
      <c r="BC12">
        <v>469</v>
      </c>
      <c r="BD12">
        <v>389</v>
      </c>
      <c r="BE12">
        <v>219</v>
      </c>
      <c r="BF12">
        <v>184</v>
      </c>
      <c r="BG12">
        <v>126</v>
      </c>
      <c r="BH12">
        <v>81</v>
      </c>
      <c r="BI12">
        <v>2635</v>
      </c>
      <c r="BJ12">
        <v>2069</v>
      </c>
      <c r="BM12" s="17" t="s">
        <v>7</v>
      </c>
      <c r="BN12" s="21">
        <f t="shared" si="9"/>
        <v>98.142857142857139</v>
      </c>
      <c r="BO12" s="21">
        <f t="shared" si="10"/>
        <v>45.571428571428569</v>
      </c>
      <c r="BP12" s="21">
        <f t="shared" si="11"/>
        <v>12.714285714285714</v>
      </c>
      <c r="BQ12" s="21">
        <f t="shared" si="12"/>
        <v>10</v>
      </c>
      <c r="BR12" s="21">
        <f t="shared" si="13"/>
        <v>10</v>
      </c>
      <c r="BS12" s="21">
        <f t="shared" si="14"/>
        <v>8.1428571428571423</v>
      </c>
      <c r="BT12" s="21">
        <f t="shared" si="15"/>
        <v>3.8571428571428572</v>
      </c>
      <c r="BU12" s="21">
        <f t="shared" si="16"/>
        <v>7.8571428571428568</v>
      </c>
    </row>
    <row r="13" spans="1:73" x14ac:dyDescent="0.35">
      <c r="A13" s="24"/>
      <c r="B13" s="16">
        <v>8</v>
      </c>
      <c r="C13">
        <v>2603</v>
      </c>
      <c r="D13">
        <v>1950</v>
      </c>
      <c r="E13" s="24">
        <f t="shared" si="17"/>
        <v>0.74913561275451401</v>
      </c>
      <c r="F13" s="24"/>
      <c r="G13" s="24"/>
      <c r="H13" s="16" t="s">
        <v>6</v>
      </c>
      <c r="I13">
        <v>63</v>
      </c>
      <c r="J13">
        <v>28</v>
      </c>
      <c r="K13">
        <v>976</v>
      </c>
      <c r="L13">
        <v>652</v>
      </c>
      <c r="M13">
        <v>434</v>
      </c>
      <c r="N13">
        <v>356</v>
      </c>
      <c r="O13">
        <v>352</v>
      </c>
      <c r="P13">
        <v>250</v>
      </c>
      <c r="Q13">
        <v>469</v>
      </c>
      <c r="R13">
        <v>376</v>
      </c>
      <c r="S13">
        <v>217</v>
      </c>
      <c r="T13">
        <v>185</v>
      </c>
      <c r="U13">
        <v>126</v>
      </c>
      <c r="V13">
        <v>73</v>
      </c>
      <c r="W13">
        <v>2637</v>
      </c>
      <c r="X13">
        <v>1920</v>
      </c>
      <c r="Z13" s="24"/>
      <c r="AA13" s="17" t="s">
        <v>8</v>
      </c>
      <c r="AB13" s="24">
        <f t="shared" si="0"/>
        <v>0.74913561275451401</v>
      </c>
      <c r="AC13" s="24">
        <f t="shared" si="1"/>
        <v>0.70370370370370372</v>
      </c>
      <c r="AD13" s="24">
        <f t="shared" si="2"/>
        <v>0.81775700934579443</v>
      </c>
      <c r="AE13" s="24">
        <f t="shared" si="3"/>
        <v>0.76</v>
      </c>
      <c r="AF13" s="24">
        <f t="shared" si="4"/>
        <v>0.68949771689497719</v>
      </c>
      <c r="AG13" s="24">
        <f t="shared" si="5"/>
        <v>0.53488372093023251</v>
      </c>
      <c r="AH13" s="24">
        <f t="shared" si="6"/>
        <v>0.5714285714285714</v>
      </c>
      <c r="AI13" s="24">
        <f t="shared" si="7"/>
        <v>0.88059701492537312</v>
      </c>
      <c r="AJ13" s="24"/>
      <c r="AK13" s="24"/>
      <c r="AM13" s="16">
        <v>8</v>
      </c>
      <c r="AN13">
        <v>2603</v>
      </c>
      <c r="AO13">
        <v>1950</v>
      </c>
      <c r="AP13" s="22">
        <f t="shared" si="8"/>
        <v>93.285714285714292</v>
      </c>
      <c r="AQ13" s="40"/>
      <c r="AR13" s="22"/>
      <c r="AT13" s="16" t="s">
        <v>6</v>
      </c>
      <c r="AU13">
        <v>63</v>
      </c>
      <c r="AV13">
        <v>28</v>
      </c>
      <c r="AW13">
        <v>976</v>
      </c>
      <c r="AX13">
        <v>652</v>
      </c>
      <c r="AY13">
        <v>434</v>
      </c>
      <c r="AZ13">
        <v>356</v>
      </c>
      <c r="BA13">
        <v>352</v>
      </c>
      <c r="BB13">
        <v>250</v>
      </c>
      <c r="BC13">
        <v>469</v>
      </c>
      <c r="BD13">
        <v>376</v>
      </c>
      <c r="BE13">
        <v>217</v>
      </c>
      <c r="BF13">
        <v>185</v>
      </c>
      <c r="BG13">
        <v>126</v>
      </c>
      <c r="BH13">
        <v>73</v>
      </c>
      <c r="BI13">
        <v>2637</v>
      </c>
      <c r="BJ13">
        <v>1920</v>
      </c>
      <c r="BM13" s="17" t="s">
        <v>8</v>
      </c>
      <c r="BN13" s="21">
        <f t="shared" si="9"/>
        <v>93.285714285714292</v>
      </c>
      <c r="BO13" s="21">
        <f t="shared" si="10"/>
        <v>40</v>
      </c>
      <c r="BP13" s="21">
        <f t="shared" si="11"/>
        <v>11.142857142857142</v>
      </c>
      <c r="BQ13" s="21">
        <f t="shared" si="12"/>
        <v>12</v>
      </c>
      <c r="BR13" s="21">
        <f t="shared" si="13"/>
        <v>9.7142857142857135</v>
      </c>
      <c r="BS13" s="21">
        <f t="shared" si="14"/>
        <v>8.5714285714285712</v>
      </c>
      <c r="BT13" s="21">
        <f t="shared" si="15"/>
        <v>3.8571428571428572</v>
      </c>
      <c r="BU13" s="21">
        <f t="shared" si="16"/>
        <v>8</v>
      </c>
    </row>
    <row r="14" spans="1:73" x14ac:dyDescent="0.35">
      <c r="A14" s="24"/>
      <c r="B14"/>
      <c r="C14"/>
      <c r="D14"/>
      <c r="E14" s="24" t="e">
        <f t="shared" si="17"/>
        <v>#DIV/0!</v>
      </c>
      <c r="F14" s="24"/>
      <c r="G14" s="24"/>
      <c r="H14" s="16" t="s">
        <v>7</v>
      </c>
      <c r="I14">
        <v>62</v>
      </c>
      <c r="J14">
        <v>35</v>
      </c>
      <c r="K14">
        <v>945</v>
      </c>
      <c r="L14">
        <v>626</v>
      </c>
      <c r="M14">
        <v>427</v>
      </c>
      <c r="N14">
        <v>338</v>
      </c>
      <c r="O14">
        <v>347</v>
      </c>
      <c r="P14">
        <v>277</v>
      </c>
      <c r="Q14">
        <v>469</v>
      </c>
      <c r="R14">
        <v>414</v>
      </c>
      <c r="S14">
        <v>217</v>
      </c>
      <c r="T14">
        <v>147</v>
      </c>
      <c r="U14">
        <v>126</v>
      </c>
      <c r="V14">
        <v>69</v>
      </c>
      <c r="W14">
        <v>2593</v>
      </c>
      <c r="X14">
        <v>1906</v>
      </c>
      <c r="Z14" s="24"/>
      <c r="AA14" s="17" t="s">
        <v>9</v>
      </c>
      <c r="AB14" s="24" t="e">
        <f t="shared" si="0"/>
        <v>#N/A</v>
      </c>
      <c r="AC14" s="24" t="e">
        <f t="shared" si="1"/>
        <v>#N/A</v>
      </c>
      <c r="AD14" s="24" t="e">
        <f t="shared" si="2"/>
        <v>#N/A</v>
      </c>
      <c r="AE14" s="24" t="e">
        <f t="shared" si="3"/>
        <v>#N/A</v>
      </c>
      <c r="AF14" s="24" t="e">
        <f t="shared" si="4"/>
        <v>#N/A</v>
      </c>
      <c r="AG14" s="24" t="e">
        <f t="shared" si="5"/>
        <v>#N/A</v>
      </c>
      <c r="AH14" s="24" t="e">
        <f t="shared" si="6"/>
        <v>#N/A</v>
      </c>
      <c r="AI14" s="24" t="e">
        <f t="shared" si="7"/>
        <v>#N/A</v>
      </c>
      <c r="AJ14" s="24"/>
      <c r="AK14" s="24"/>
      <c r="AP14" s="22">
        <f t="shared" si="8"/>
        <v>0</v>
      </c>
      <c r="AQ14" s="40"/>
      <c r="AR14" s="22"/>
      <c r="AT14" s="16" t="s">
        <v>7</v>
      </c>
      <c r="AU14">
        <v>62</v>
      </c>
      <c r="AV14">
        <v>35</v>
      </c>
      <c r="AW14">
        <v>945</v>
      </c>
      <c r="AX14">
        <v>626</v>
      </c>
      <c r="AY14">
        <v>427</v>
      </c>
      <c r="AZ14">
        <v>338</v>
      </c>
      <c r="BA14">
        <v>347</v>
      </c>
      <c r="BB14">
        <v>277</v>
      </c>
      <c r="BC14">
        <v>469</v>
      </c>
      <c r="BD14">
        <v>414</v>
      </c>
      <c r="BE14">
        <v>217</v>
      </c>
      <c r="BF14">
        <v>147</v>
      </c>
      <c r="BG14">
        <v>126</v>
      </c>
      <c r="BH14">
        <v>69</v>
      </c>
      <c r="BI14">
        <v>2593</v>
      </c>
      <c r="BJ14">
        <v>1906</v>
      </c>
      <c r="BM14" s="17" t="s">
        <v>9</v>
      </c>
      <c r="BN14" s="21" t="e">
        <f t="shared" si="9"/>
        <v>#N/A</v>
      </c>
      <c r="BO14" s="21" t="e">
        <f t="shared" si="10"/>
        <v>#N/A</v>
      </c>
      <c r="BP14" s="21" t="e">
        <f t="shared" si="11"/>
        <v>#N/A</v>
      </c>
      <c r="BQ14" s="21" t="e">
        <f t="shared" si="12"/>
        <v>#N/A</v>
      </c>
      <c r="BR14" s="21" t="e">
        <f t="shared" si="13"/>
        <v>#N/A</v>
      </c>
      <c r="BS14" s="21" t="e">
        <f t="shared" si="14"/>
        <v>#N/A</v>
      </c>
      <c r="BT14" s="21" t="e">
        <f t="shared" si="15"/>
        <v>#N/A</v>
      </c>
      <c r="BU14" s="21" t="e">
        <f t="shared" si="16"/>
        <v>#N/A</v>
      </c>
    </row>
    <row r="15" spans="1:73" x14ac:dyDescent="0.35">
      <c r="A15" s="24"/>
      <c r="B15"/>
      <c r="C15"/>
      <c r="D15"/>
      <c r="E15" s="24" t="e">
        <f t="shared" si="17"/>
        <v>#DIV/0!</v>
      </c>
      <c r="F15" s="24"/>
      <c r="G15" s="24"/>
      <c r="H15" s="16" t="s">
        <v>8</v>
      </c>
      <c r="I15">
        <v>63</v>
      </c>
      <c r="J15">
        <v>36</v>
      </c>
      <c r="K15">
        <v>945</v>
      </c>
      <c r="L15">
        <v>665</v>
      </c>
      <c r="M15">
        <v>428</v>
      </c>
      <c r="N15">
        <v>350</v>
      </c>
      <c r="O15">
        <v>350</v>
      </c>
      <c r="P15">
        <v>266</v>
      </c>
      <c r="Q15">
        <v>469</v>
      </c>
      <c r="R15">
        <v>413</v>
      </c>
      <c r="S15">
        <v>219</v>
      </c>
      <c r="T15">
        <v>151</v>
      </c>
      <c r="U15">
        <v>129</v>
      </c>
      <c r="V15">
        <v>69</v>
      </c>
      <c r="W15">
        <v>2603</v>
      </c>
      <c r="X15">
        <v>1950</v>
      </c>
      <c r="Z15" s="24"/>
      <c r="AA15" s="17" t="s">
        <v>10</v>
      </c>
      <c r="AB15" s="24" t="e">
        <f t="shared" si="0"/>
        <v>#N/A</v>
      </c>
      <c r="AC15" s="24" t="e">
        <f t="shared" si="1"/>
        <v>#N/A</v>
      </c>
      <c r="AD15" s="24" t="e">
        <f t="shared" si="2"/>
        <v>#N/A</v>
      </c>
      <c r="AE15" s="24" t="e">
        <f t="shared" si="3"/>
        <v>#N/A</v>
      </c>
      <c r="AF15" s="24" t="e">
        <f t="shared" si="4"/>
        <v>#N/A</v>
      </c>
      <c r="AG15" s="24" t="e">
        <f t="shared" si="5"/>
        <v>#N/A</v>
      </c>
      <c r="AH15" s="24" t="e">
        <f t="shared" si="6"/>
        <v>#N/A</v>
      </c>
      <c r="AI15" s="24" t="e">
        <f t="shared" si="7"/>
        <v>#N/A</v>
      </c>
      <c r="AJ15" s="24"/>
      <c r="AK15" s="24"/>
      <c r="AP15" s="22">
        <f t="shared" si="8"/>
        <v>0</v>
      </c>
      <c r="AQ15" s="40"/>
      <c r="AR15" s="22"/>
      <c r="AT15" s="16" t="s">
        <v>8</v>
      </c>
      <c r="AU15">
        <v>63</v>
      </c>
      <c r="AV15">
        <v>36</v>
      </c>
      <c r="AW15">
        <v>945</v>
      </c>
      <c r="AX15">
        <v>665</v>
      </c>
      <c r="AY15">
        <v>428</v>
      </c>
      <c r="AZ15">
        <v>350</v>
      </c>
      <c r="BA15">
        <v>350</v>
      </c>
      <c r="BB15">
        <v>266</v>
      </c>
      <c r="BC15">
        <v>469</v>
      </c>
      <c r="BD15">
        <v>413</v>
      </c>
      <c r="BE15">
        <v>219</v>
      </c>
      <c r="BF15">
        <v>151</v>
      </c>
      <c r="BG15">
        <v>129</v>
      </c>
      <c r="BH15">
        <v>69</v>
      </c>
      <c r="BI15">
        <v>2603</v>
      </c>
      <c r="BJ15">
        <v>1950</v>
      </c>
      <c r="BM15" s="17" t="s">
        <v>10</v>
      </c>
      <c r="BN15" s="21" t="e">
        <f t="shared" si="9"/>
        <v>#N/A</v>
      </c>
      <c r="BO15" s="21" t="e">
        <f t="shared" si="10"/>
        <v>#N/A</v>
      </c>
      <c r="BP15" s="21" t="e">
        <f t="shared" si="11"/>
        <v>#N/A</v>
      </c>
      <c r="BQ15" s="21" t="e">
        <f t="shared" si="12"/>
        <v>#N/A</v>
      </c>
      <c r="BR15" s="21" t="e">
        <f t="shared" si="13"/>
        <v>#N/A</v>
      </c>
      <c r="BS15" s="21" t="e">
        <f t="shared" si="14"/>
        <v>#N/A</v>
      </c>
      <c r="BT15" s="21" t="e">
        <f t="shared" si="15"/>
        <v>#N/A</v>
      </c>
      <c r="BU15" s="21" t="e">
        <f t="shared" si="16"/>
        <v>#N/A</v>
      </c>
    </row>
    <row r="16" spans="1:73" x14ac:dyDescent="0.35">
      <c r="A16" s="24"/>
      <c r="B16"/>
      <c r="C16"/>
      <c r="D16"/>
      <c r="E16" s="24" t="e">
        <f t="shared" si="17"/>
        <v>#DIV/0!</v>
      </c>
      <c r="F16" s="24"/>
      <c r="G16" s="24"/>
      <c r="H16" s="16" t="s">
        <v>139</v>
      </c>
      <c r="I16">
        <v>503</v>
      </c>
      <c r="J16">
        <v>293</v>
      </c>
      <c r="K16">
        <v>7623</v>
      </c>
      <c r="L16">
        <v>5592</v>
      </c>
      <c r="M16">
        <v>3593</v>
      </c>
      <c r="N16">
        <v>3225</v>
      </c>
      <c r="O16">
        <v>2803</v>
      </c>
      <c r="P16">
        <v>2312</v>
      </c>
      <c r="Q16">
        <v>3752</v>
      </c>
      <c r="R16">
        <v>3235</v>
      </c>
      <c r="S16">
        <v>1766</v>
      </c>
      <c r="T16">
        <v>1427</v>
      </c>
      <c r="U16">
        <v>1011</v>
      </c>
      <c r="V16">
        <v>757</v>
      </c>
      <c r="W16">
        <v>21051</v>
      </c>
      <c r="X16">
        <v>16841</v>
      </c>
      <c r="Z16" s="24"/>
      <c r="AA16" s="17" t="s">
        <v>11</v>
      </c>
      <c r="AB16" s="24" t="e">
        <f t="shared" si="0"/>
        <v>#N/A</v>
      </c>
      <c r="AC16" s="24" t="e">
        <f t="shared" si="1"/>
        <v>#N/A</v>
      </c>
      <c r="AD16" s="24" t="e">
        <f t="shared" si="2"/>
        <v>#N/A</v>
      </c>
      <c r="AE16" s="24" t="e">
        <f t="shared" si="3"/>
        <v>#N/A</v>
      </c>
      <c r="AF16" s="24" t="e">
        <f t="shared" si="4"/>
        <v>#N/A</v>
      </c>
      <c r="AG16" s="24" t="e">
        <f t="shared" si="5"/>
        <v>#N/A</v>
      </c>
      <c r="AH16" s="24" t="e">
        <f t="shared" si="6"/>
        <v>#N/A</v>
      </c>
      <c r="AI16" s="24" t="e">
        <f t="shared" si="7"/>
        <v>#N/A</v>
      </c>
      <c r="AJ16" s="24"/>
      <c r="AK16" s="24"/>
      <c r="AP16" s="22">
        <f t="shared" si="8"/>
        <v>0</v>
      </c>
      <c r="AQ16" s="40"/>
      <c r="AR16" s="22"/>
      <c r="AT16" s="16" t="s">
        <v>139</v>
      </c>
      <c r="AU16">
        <v>503</v>
      </c>
      <c r="AV16">
        <v>293</v>
      </c>
      <c r="AW16">
        <v>7623</v>
      </c>
      <c r="AX16">
        <v>5592</v>
      </c>
      <c r="AY16">
        <v>3593</v>
      </c>
      <c r="AZ16">
        <v>3225</v>
      </c>
      <c r="BA16">
        <v>2803</v>
      </c>
      <c r="BB16">
        <v>2312</v>
      </c>
      <c r="BC16">
        <v>3752</v>
      </c>
      <c r="BD16">
        <v>3235</v>
      </c>
      <c r="BE16">
        <v>1766</v>
      </c>
      <c r="BF16">
        <v>1427</v>
      </c>
      <c r="BG16">
        <v>1011</v>
      </c>
      <c r="BH16">
        <v>757</v>
      </c>
      <c r="BI16">
        <v>21051</v>
      </c>
      <c r="BJ16">
        <v>16841</v>
      </c>
      <c r="BM16" s="17" t="s">
        <v>11</v>
      </c>
      <c r="BN16" s="21" t="e">
        <f t="shared" si="9"/>
        <v>#N/A</v>
      </c>
      <c r="BO16" s="21" t="e">
        <f t="shared" si="10"/>
        <v>#N/A</v>
      </c>
      <c r="BP16" s="21" t="e">
        <f t="shared" si="11"/>
        <v>#N/A</v>
      </c>
      <c r="BQ16" s="21" t="e">
        <f t="shared" si="12"/>
        <v>#N/A</v>
      </c>
      <c r="BR16" s="21" t="e">
        <f t="shared" si="13"/>
        <v>#N/A</v>
      </c>
      <c r="BS16" s="21" t="e">
        <f t="shared" si="14"/>
        <v>#N/A</v>
      </c>
      <c r="BT16" s="21" t="e">
        <f t="shared" si="15"/>
        <v>#N/A</v>
      </c>
      <c r="BU16" s="21" t="e">
        <f t="shared" si="16"/>
        <v>#N/A</v>
      </c>
    </row>
    <row r="17" spans="1:73" x14ac:dyDescent="0.35">
      <c r="A17" s="24"/>
      <c r="B17"/>
      <c r="C17"/>
      <c r="D17"/>
      <c r="E17" s="24" t="e">
        <f t="shared" si="17"/>
        <v>#DIV/0!</v>
      </c>
      <c r="F17" s="24"/>
      <c r="G17" s="24"/>
      <c r="Z17" s="24"/>
      <c r="AA17" s="17" t="s">
        <v>12</v>
      </c>
      <c r="AB17" s="24" t="e">
        <f t="shared" si="0"/>
        <v>#N/A</v>
      </c>
      <c r="AC17" s="24" t="e">
        <f t="shared" si="1"/>
        <v>#N/A</v>
      </c>
      <c r="AD17" s="24" t="e">
        <f t="shared" si="2"/>
        <v>#N/A</v>
      </c>
      <c r="AE17" s="24" t="e">
        <f t="shared" si="3"/>
        <v>#N/A</v>
      </c>
      <c r="AF17" s="24" t="e">
        <f t="shared" si="4"/>
        <v>#N/A</v>
      </c>
      <c r="AG17" s="24" t="e">
        <f t="shared" si="5"/>
        <v>#N/A</v>
      </c>
      <c r="AH17" s="24" t="e">
        <f t="shared" si="6"/>
        <v>#N/A</v>
      </c>
      <c r="AI17" s="24" t="e">
        <f t="shared" si="7"/>
        <v>#N/A</v>
      </c>
      <c r="AJ17" s="24"/>
      <c r="AK17" s="24"/>
      <c r="AP17" s="22">
        <f t="shared" si="8"/>
        <v>0</v>
      </c>
      <c r="AQ17" s="40"/>
      <c r="AR17" s="22"/>
      <c r="BM17" s="17" t="s">
        <v>12</v>
      </c>
      <c r="BN17" s="21" t="e">
        <f t="shared" si="9"/>
        <v>#N/A</v>
      </c>
      <c r="BO17" s="21" t="e">
        <f t="shared" si="10"/>
        <v>#N/A</v>
      </c>
      <c r="BP17" s="21" t="e">
        <f t="shared" si="11"/>
        <v>#N/A</v>
      </c>
      <c r="BQ17" s="21" t="e">
        <f t="shared" si="12"/>
        <v>#N/A</v>
      </c>
      <c r="BR17" s="21" t="e">
        <f t="shared" si="13"/>
        <v>#N/A</v>
      </c>
      <c r="BS17" s="21" t="e">
        <f t="shared" si="14"/>
        <v>#N/A</v>
      </c>
      <c r="BT17" s="21" t="e">
        <f t="shared" si="15"/>
        <v>#N/A</v>
      </c>
      <c r="BU17" s="21" t="e">
        <f t="shared" si="16"/>
        <v>#N/A</v>
      </c>
    </row>
    <row r="18" spans="1:73" x14ac:dyDescent="0.35">
      <c r="A18" s="24"/>
      <c r="B18"/>
      <c r="C18"/>
      <c r="D18"/>
      <c r="E18" s="24" t="e">
        <f t="shared" si="17"/>
        <v>#DIV/0!</v>
      </c>
      <c r="F18" s="24"/>
      <c r="G18" s="24"/>
      <c r="Z18" s="24"/>
      <c r="AA18" s="17" t="s">
        <v>13</v>
      </c>
      <c r="AB18" s="24" t="e">
        <f t="shared" si="0"/>
        <v>#N/A</v>
      </c>
      <c r="AC18" s="24" t="e">
        <f t="shared" si="1"/>
        <v>#N/A</v>
      </c>
      <c r="AD18" s="24" t="e">
        <f t="shared" si="2"/>
        <v>#N/A</v>
      </c>
      <c r="AE18" s="24" t="e">
        <f t="shared" si="3"/>
        <v>#N/A</v>
      </c>
      <c r="AF18" s="24" t="e">
        <f t="shared" si="4"/>
        <v>#N/A</v>
      </c>
      <c r="AG18" s="24" t="e">
        <f t="shared" si="5"/>
        <v>#N/A</v>
      </c>
      <c r="AH18" s="24" t="e">
        <f t="shared" si="6"/>
        <v>#N/A</v>
      </c>
      <c r="AI18" s="24" t="e">
        <f>VLOOKUP($AA18,$H$8:$X$1048576,11,FALSE)/VLOOKUP($AA18,$H$8:$X$1048576,10,FALSE)</f>
        <v>#N/A</v>
      </c>
      <c r="AJ18" s="24"/>
      <c r="AK18" s="24"/>
      <c r="AP18" s="22">
        <f t="shared" si="8"/>
        <v>0</v>
      </c>
      <c r="AQ18" s="40"/>
      <c r="AR18" s="22"/>
      <c r="BM18" s="17" t="s">
        <v>13</v>
      </c>
      <c r="BN18" s="21" t="e">
        <f t="shared" si="9"/>
        <v>#N/A</v>
      </c>
      <c r="BO18" s="21" t="e">
        <f t="shared" si="10"/>
        <v>#N/A</v>
      </c>
      <c r="BP18" s="21" t="e">
        <f t="shared" si="11"/>
        <v>#N/A</v>
      </c>
      <c r="BQ18" s="21" t="e">
        <f t="shared" si="12"/>
        <v>#N/A</v>
      </c>
      <c r="BR18" s="21" t="e">
        <f t="shared" si="13"/>
        <v>#N/A</v>
      </c>
      <c r="BS18" s="21" t="e">
        <f t="shared" si="14"/>
        <v>#N/A</v>
      </c>
      <c r="BT18" s="21" t="e">
        <f t="shared" si="15"/>
        <v>#N/A</v>
      </c>
      <c r="BU18" s="21" t="e">
        <f t="shared" si="16"/>
        <v>#N/A</v>
      </c>
    </row>
    <row r="19" spans="1:73" x14ac:dyDescent="0.35">
      <c r="A19" s="24"/>
      <c r="B19"/>
      <c r="C19"/>
      <c r="D19"/>
      <c r="E19" s="24" t="e">
        <f t="shared" si="17"/>
        <v>#DIV/0!</v>
      </c>
      <c r="F19" s="24"/>
      <c r="G19" s="24"/>
      <c r="Z19" s="24"/>
      <c r="AA19" s="17" t="s">
        <v>14</v>
      </c>
      <c r="AB19" s="24" t="e">
        <f t="shared" si="0"/>
        <v>#N/A</v>
      </c>
      <c r="AC19" s="24" t="e">
        <f>VLOOKUP($AA19,$H$8:$X$1048576,5,FALSE)/VLOOKUP($AA19,$H$8:$X$1048576,4,FALSE)</f>
        <v>#N/A</v>
      </c>
      <c r="AD19" s="24" t="e">
        <f t="shared" si="2"/>
        <v>#N/A</v>
      </c>
      <c r="AE19" s="24" t="e">
        <f t="shared" si="3"/>
        <v>#N/A</v>
      </c>
      <c r="AF19" s="24" t="e">
        <f t="shared" si="4"/>
        <v>#N/A</v>
      </c>
      <c r="AG19" s="24" t="e">
        <f t="shared" si="5"/>
        <v>#N/A</v>
      </c>
      <c r="AH19" s="24" t="e">
        <f t="shared" si="6"/>
        <v>#N/A</v>
      </c>
      <c r="AI19" s="24" t="e">
        <f>VLOOKUP($AA19,$H$8:$X$1048576,11,FALSE)/VLOOKUP($AA19,$H$8:$X$1048576,10,FALSE)</f>
        <v>#N/A</v>
      </c>
      <c r="AJ19" s="24"/>
      <c r="AK19" s="24"/>
      <c r="AP19" s="22">
        <f t="shared" si="8"/>
        <v>0</v>
      </c>
      <c r="AQ19" s="40"/>
      <c r="AR19" s="22"/>
      <c r="BM19" s="17" t="s">
        <v>14</v>
      </c>
      <c r="BN19" s="21" t="e">
        <f t="shared" si="9"/>
        <v>#N/A</v>
      </c>
      <c r="BO19" s="21" t="e">
        <f t="shared" si="10"/>
        <v>#N/A</v>
      </c>
      <c r="BP19" s="21" t="e">
        <f t="shared" si="11"/>
        <v>#N/A</v>
      </c>
      <c r="BQ19" s="21" t="e">
        <f t="shared" si="12"/>
        <v>#N/A</v>
      </c>
      <c r="BR19" s="21" t="e">
        <f t="shared" si="13"/>
        <v>#N/A</v>
      </c>
      <c r="BS19" s="21" t="e">
        <f t="shared" si="14"/>
        <v>#N/A</v>
      </c>
      <c r="BT19" s="21" t="e">
        <f t="shared" si="15"/>
        <v>#N/A</v>
      </c>
      <c r="BU19" s="21" t="e">
        <f t="shared" si="16"/>
        <v>#N/A</v>
      </c>
    </row>
    <row r="20" spans="1:73" x14ac:dyDescent="0.35">
      <c r="A20" s="24"/>
      <c r="B20"/>
      <c r="C20"/>
      <c r="D20"/>
      <c r="E20" s="24" t="e">
        <f t="shared" si="17"/>
        <v>#DIV/0!</v>
      </c>
      <c r="F20" s="24"/>
      <c r="AP20" s="22">
        <f t="shared" si="8"/>
        <v>0</v>
      </c>
      <c r="AQ20" s="40"/>
      <c r="AR20" s="22"/>
    </row>
  </sheetData>
  <mergeCells count="3">
    <mergeCell ref="AT1:BO1"/>
    <mergeCell ref="H1:AH1"/>
    <mergeCell ref="AM1:AP1"/>
  </mergeCells>
  <phoneticPr fontId="20" type="noConversion"/>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BT20"/>
  <sheetViews>
    <sheetView zoomScale="44" zoomScaleNormal="40" workbookViewId="0">
      <selection activeCell="B3" sqref="B3"/>
    </sheetView>
  </sheetViews>
  <sheetFormatPr defaultRowHeight="14.5" x14ac:dyDescent="0.35"/>
  <cols>
    <col min="2" max="2" width="18.453125" bestFit="1" customWidth="1"/>
    <col min="3" max="3" width="28" bestFit="1" customWidth="1"/>
    <col min="4" max="4" width="26.1796875" bestFit="1" customWidth="1"/>
    <col min="8" max="8" width="18.453125" bestFit="1" customWidth="1"/>
    <col min="9" max="9" width="28" bestFit="1" customWidth="1"/>
    <col min="10" max="10" width="26.1796875" bestFit="1" customWidth="1"/>
    <col min="11" max="11" width="28" bestFit="1" customWidth="1"/>
    <col min="12" max="12" width="26.1796875" bestFit="1" customWidth="1"/>
    <col min="13" max="13" width="28" bestFit="1" customWidth="1"/>
    <col min="14" max="14" width="26.1796875" bestFit="1" customWidth="1"/>
    <col min="15" max="15" width="28" bestFit="1" customWidth="1"/>
    <col min="16" max="16" width="26.1796875" bestFit="1" customWidth="1"/>
    <col min="17" max="17" width="28" bestFit="1" customWidth="1"/>
    <col min="18" max="18" width="26.1796875" bestFit="1" customWidth="1"/>
    <col min="19" max="19" width="28" bestFit="1" customWidth="1"/>
    <col min="20" max="20" width="26.1796875" bestFit="1" customWidth="1"/>
    <col min="21" max="21" width="28" bestFit="1" customWidth="1"/>
    <col min="22" max="22" width="26.1796875" bestFit="1" customWidth="1"/>
    <col min="23" max="23" width="33.54296875" bestFit="1" customWidth="1"/>
    <col min="24" max="24" width="31.81640625" bestFit="1" customWidth="1"/>
    <col min="25" max="25" width="27.26953125" customWidth="1"/>
    <col min="39" max="39" width="18.453125" bestFit="1" customWidth="1"/>
    <col min="40" max="40" width="28" bestFit="1" customWidth="1"/>
    <col min="41" max="41" width="26.1796875" bestFit="1" customWidth="1"/>
    <col min="45" max="45" width="18.453125" bestFit="1" customWidth="1"/>
    <col min="46" max="46" width="28" bestFit="1" customWidth="1"/>
    <col min="47" max="47" width="26.1796875" bestFit="1" customWidth="1"/>
    <col min="48" max="48" width="28" bestFit="1" customWidth="1"/>
    <col min="49" max="49" width="26.1796875" bestFit="1" customWidth="1"/>
    <col min="50" max="50" width="28" bestFit="1" customWidth="1"/>
    <col min="51" max="51" width="26.1796875" bestFit="1" customWidth="1"/>
    <col min="52" max="52" width="28" bestFit="1" customWidth="1"/>
    <col min="53" max="53" width="26.1796875" bestFit="1" customWidth="1"/>
    <col min="54" max="54" width="28" bestFit="1" customWidth="1"/>
    <col min="55" max="55" width="26.1796875" bestFit="1" customWidth="1"/>
    <col min="56" max="56" width="28" bestFit="1" customWidth="1"/>
    <col min="57" max="57" width="26.1796875" bestFit="1" customWidth="1"/>
    <col min="58" max="58" width="28" bestFit="1" customWidth="1"/>
    <col min="59" max="59" width="26.1796875" bestFit="1" customWidth="1"/>
    <col min="60" max="60" width="33.54296875" bestFit="1" customWidth="1"/>
    <col min="61" max="61" width="31.81640625" bestFit="1" customWidth="1"/>
    <col min="62" max="62" width="31.1796875" bestFit="1" customWidth="1"/>
    <col min="63" max="63" width="29.81640625" bestFit="1" customWidth="1"/>
    <col min="64" max="64" width="31.1796875" bestFit="1" customWidth="1"/>
    <col min="65" max="65" width="29.81640625" bestFit="1" customWidth="1"/>
    <col min="66" max="66" width="31.1796875" bestFit="1" customWidth="1"/>
    <col min="67" max="67" width="29.81640625" bestFit="1" customWidth="1"/>
    <col min="68" max="68" width="31.1796875" bestFit="1" customWidth="1"/>
    <col min="69" max="69" width="29.81640625" bestFit="1" customWidth="1"/>
    <col min="70" max="70" width="31.1796875" bestFit="1" customWidth="1"/>
    <col min="71" max="71" width="29.81640625" bestFit="1" customWidth="1"/>
    <col min="72" max="72" width="31.1796875" bestFit="1" customWidth="1"/>
    <col min="73" max="73" width="29.81640625" bestFit="1" customWidth="1"/>
    <col min="74" max="74" width="31.1796875" bestFit="1" customWidth="1"/>
    <col min="75" max="75" width="29.81640625" bestFit="1" customWidth="1"/>
    <col min="76" max="76" width="37.81640625" bestFit="1" customWidth="1"/>
    <col min="77" max="77" width="36.453125" bestFit="1" customWidth="1"/>
  </cols>
  <sheetData>
    <row r="1" spans="1:72" s="14" customFormat="1" x14ac:dyDescent="0.35">
      <c r="A1" s="23"/>
      <c r="B1" s="35" t="s">
        <v>354</v>
      </c>
      <c r="C1" s="34"/>
      <c r="D1" s="34"/>
      <c r="E1" s="34"/>
      <c r="G1" s="23"/>
      <c r="H1" s="170" t="s">
        <v>355</v>
      </c>
      <c r="I1" s="170"/>
      <c r="J1" s="170"/>
      <c r="K1" s="170"/>
      <c r="L1" s="170"/>
      <c r="M1" s="170"/>
      <c r="N1" s="170"/>
      <c r="O1" s="170"/>
      <c r="P1" s="170"/>
      <c r="Q1" s="170"/>
      <c r="R1" s="170"/>
      <c r="S1" s="170"/>
      <c r="T1" s="170"/>
      <c r="U1" s="170"/>
      <c r="V1" s="170"/>
      <c r="W1" s="170"/>
      <c r="X1" s="170"/>
      <c r="Y1" s="170"/>
      <c r="Z1" s="170"/>
      <c r="AA1" s="170"/>
      <c r="AB1" s="170"/>
      <c r="AC1" s="170"/>
      <c r="AD1" s="170"/>
      <c r="AE1" s="170"/>
      <c r="AF1" s="170"/>
      <c r="AG1" s="170"/>
      <c r="AH1" s="170"/>
      <c r="AI1" s="82"/>
      <c r="AJ1" s="82"/>
      <c r="AK1" s="23"/>
      <c r="AL1" s="23"/>
      <c r="AM1" s="44" t="s">
        <v>356</v>
      </c>
      <c r="AN1" s="34"/>
      <c r="AO1" s="34"/>
      <c r="AP1" s="34"/>
      <c r="AQ1" s="23"/>
      <c r="AS1" s="169" t="s">
        <v>142</v>
      </c>
      <c r="AT1" s="169"/>
      <c r="AU1" s="169"/>
      <c r="AV1" s="169"/>
      <c r="AW1" s="169"/>
      <c r="AX1" s="169"/>
      <c r="AY1" s="169"/>
      <c r="AZ1" s="169"/>
      <c r="BA1" s="169"/>
      <c r="BB1" s="169"/>
      <c r="BC1" s="169"/>
      <c r="BD1" s="169"/>
      <c r="BE1" s="169"/>
      <c r="BF1" s="169"/>
      <c r="BG1" s="169"/>
      <c r="BH1" s="169"/>
      <c r="BI1" s="169"/>
      <c r="BJ1" s="169"/>
      <c r="BK1" s="169"/>
      <c r="BL1" s="169"/>
      <c r="BM1" s="169"/>
      <c r="BN1" s="169"/>
      <c r="BO1" s="169"/>
      <c r="BP1" s="169"/>
      <c r="BQ1" s="169"/>
      <c r="BR1" s="169"/>
      <c r="BS1" s="169"/>
    </row>
    <row r="3" spans="1:72" x14ac:dyDescent="0.35">
      <c r="B3" s="15" t="s">
        <v>129</v>
      </c>
      <c r="C3" t="s" vm="1">
        <v>130</v>
      </c>
      <c r="H3" s="15" t="s">
        <v>129</v>
      </c>
      <c r="I3" t="s" vm="1">
        <v>130</v>
      </c>
      <c r="AM3" s="15" t="s">
        <v>129</v>
      </c>
      <c r="AN3" t="s" vm="1">
        <v>130</v>
      </c>
      <c r="AS3" s="15" t="s">
        <v>129</v>
      </c>
      <c r="AT3" t="s" vm="1">
        <v>130</v>
      </c>
    </row>
    <row r="5" spans="1:72" x14ac:dyDescent="0.35">
      <c r="B5" s="15" t="s">
        <v>134</v>
      </c>
      <c r="C5" t="s">
        <v>357</v>
      </c>
      <c r="D5" t="s">
        <v>358</v>
      </c>
      <c r="I5" s="15" t="s">
        <v>136</v>
      </c>
      <c r="AB5" t="s">
        <v>132</v>
      </c>
      <c r="AC5" t="s">
        <v>21</v>
      </c>
      <c r="AD5" t="s">
        <v>22</v>
      </c>
      <c r="AE5" t="s">
        <v>25</v>
      </c>
      <c r="AF5" t="s">
        <v>27</v>
      </c>
      <c r="AG5" t="s">
        <v>28</v>
      </c>
      <c r="AH5" t="s">
        <v>133</v>
      </c>
      <c r="AI5" t="s">
        <v>37</v>
      </c>
      <c r="AM5" s="15" t="s">
        <v>134</v>
      </c>
      <c r="AN5" t="s">
        <v>357</v>
      </c>
      <c r="AO5" t="s">
        <v>358</v>
      </c>
      <c r="AT5" s="15" t="s">
        <v>136</v>
      </c>
      <c r="BM5" t="s">
        <v>132</v>
      </c>
      <c r="BN5" t="s">
        <v>21</v>
      </c>
      <c r="BO5" t="s">
        <v>22</v>
      </c>
      <c r="BP5" t="s">
        <v>25</v>
      </c>
      <c r="BQ5" t="s">
        <v>27</v>
      </c>
      <c r="BR5" t="s">
        <v>28</v>
      </c>
      <c r="BS5" t="s">
        <v>133</v>
      </c>
      <c r="BT5" t="s">
        <v>37</v>
      </c>
    </row>
    <row r="6" spans="1:72" x14ac:dyDescent="0.35">
      <c r="A6" s="2"/>
      <c r="B6" s="16">
        <v>1</v>
      </c>
      <c r="C6">
        <v>12040</v>
      </c>
      <c r="D6">
        <v>8295</v>
      </c>
      <c r="E6" s="2">
        <f>D6/C6</f>
        <v>0.68895348837209303</v>
      </c>
      <c r="G6" s="24"/>
      <c r="I6" t="s">
        <v>137</v>
      </c>
      <c r="K6" t="s">
        <v>21</v>
      </c>
      <c r="M6" t="s">
        <v>22</v>
      </c>
      <c r="O6" t="s">
        <v>138</v>
      </c>
      <c r="Q6" t="s">
        <v>26</v>
      </c>
      <c r="S6" t="s">
        <v>27</v>
      </c>
      <c r="U6" t="s">
        <v>28</v>
      </c>
      <c r="W6" t="s">
        <v>359</v>
      </c>
      <c r="X6" t="s">
        <v>360</v>
      </c>
      <c r="Z6" s="24"/>
      <c r="AA6" s="8" t="s">
        <v>1</v>
      </c>
      <c r="AB6" s="24">
        <f>VLOOKUP($AA6,$H$8:$X$1048576,17,FALSE)/VLOOKUP($AA6,$H$8:$X$1048576,16,FALSE)</f>
        <v>0.68895348837209303</v>
      </c>
      <c r="AC6" s="24">
        <f>VLOOKUP($AA6,$H$8:$X$1048576,5,FALSE)/VLOOKUP($AA6,$H$8:$X$1048576,4,FALSE)</f>
        <v>0.75944631500187054</v>
      </c>
      <c r="AD6" s="24">
        <f>VLOOKUP($AA6,$H$8:$X$1048576, 7,FALSE)/VLOOKUP($AA6,$H$8:$X$1048576,6,FALSE)</f>
        <v>0.70378719567177639</v>
      </c>
      <c r="AE6" s="24">
        <f>VLOOKUP($AA6,$H$8:$X$1048576,9,FALSE)/VLOOKUP($AA6,$H$8:$X$1048576,8,FALSE)</f>
        <v>0.67859751643535426</v>
      </c>
      <c r="AF6" s="24">
        <f>VLOOKUP($AA6,$H$8:$X$1048576,13,FALSE)/VLOOKUP($AA6,$H$8:$X$1048576,12,FALSE)</f>
        <v>0.61347150259067362</v>
      </c>
      <c r="AG6" s="24">
        <f>VLOOKUP($AA6,$H$8:$X$1048576,15,FALSE)/VLOOKUP($AA6,$H$8:$X$1048576,14,FALSE)</f>
        <v>0.73520853540252185</v>
      </c>
      <c r="AH6" s="24">
        <f>VLOOKUP($AA6,$H$8:$X$1048576,3,FALSE)/VLOOKUP($AA6,$H$8:$X$1048576,2,FALSE)</f>
        <v>0.65348101265822789</v>
      </c>
      <c r="AI6" s="24">
        <f>VLOOKUP($AA6,$H$8:$X$1048576,11,FALSE)/VLOOKUP($AA6,$H$8:$X$1048576,10,FALSE)</f>
        <v>0.64758842443729903</v>
      </c>
      <c r="AJ6" s="24"/>
      <c r="AK6" s="24"/>
      <c r="AL6" s="17"/>
      <c r="AM6" s="16">
        <v>1</v>
      </c>
      <c r="AN6">
        <v>12040</v>
      </c>
      <c r="AO6">
        <v>8295</v>
      </c>
      <c r="AP6" s="17">
        <f>(AN6-AO6)/4</f>
        <v>936.25</v>
      </c>
      <c r="AQ6" s="17"/>
      <c r="AT6" t="s">
        <v>137</v>
      </c>
      <c r="AV6" t="s">
        <v>21</v>
      </c>
      <c r="AX6" t="s">
        <v>22</v>
      </c>
      <c r="AZ6" t="s">
        <v>138</v>
      </c>
      <c r="BB6" t="s">
        <v>26</v>
      </c>
      <c r="BD6" t="s">
        <v>27</v>
      </c>
      <c r="BF6" t="s">
        <v>28</v>
      </c>
      <c r="BH6" t="s">
        <v>359</v>
      </c>
      <c r="BI6" t="s">
        <v>360</v>
      </c>
      <c r="BL6" s="8" t="s">
        <v>1</v>
      </c>
      <c r="BM6" s="21">
        <f>(VLOOKUP($BL6,$AS$8:$BI$1048576,16,FALSE)-VLOOKUP($BL6,$AS$8:$BI$1048576,17,FALSE))/7</f>
        <v>535</v>
      </c>
      <c r="BN6" s="21">
        <f>(VLOOKUP($BL6,$AS$8:$BI$1048576,4,FALSE)-VLOOKUP($BL6,$AS$8:$BI$1048576,5,FALSE))/7</f>
        <v>91.857142857142861</v>
      </c>
      <c r="BO6" s="21">
        <f>(VLOOKUP($BL6,$AS$8:$BI$1048576,6,FALSE)-VLOOKUP($BL6,$AS$8:$BI$1048576,7,FALSE))/7</f>
        <v>93.857142857142861</v>
      </c>
      <c r="BP6" s="21">
        <f>(VLOOKUP($BL6,$AS$8:$BI$1048576,8,FALSE)-VLOOKUP($BL6,$AS$8:$BI$1048576,9,FALSE))/7</f>
        <v>62.857142857142854</v>
      </c>
      <c r="BQ6" s="21">
        <f>(VLOOKUP($BL6,$AS$8:$BI$1048576,12,FALSE)-VLOOKUP($BL6,$AS$8:$BI$1048576,13,FALSE))/7</f>
        <v>106.57142857142857</v>
      </c>
      <c r="BR6" s="21">
        <f>(VLOOKUP($BL6,$AS$8:$BI$1048576,14,FALSE)-VLOOKUP($BL6,$AS$8:$BI$1048576,15,FALSE))/7</f>
        <v>39</v>
      </c>
      <c r="BS6" s="21">
        <f>(VLOOKUP($BL6,$AS$8:$BI$1048576,2,FALSE)-VLOOKUP($BL6,$AS$8:$BI$1048576,3,FALSE))/7</f>
        <v>62.571428571428569</v>
      </c>
      <c r="BT6" s="21">
        <f t="shared" ref="BT6:BT19" si="0">(VLOOKUP($BL6,$AS$8:$BI$1048576,10,FALSE)-VLOOKUP($BL6,$AS$8:$BI$1048576,11,FALSE))/7</f>
        <v>78.285714285714292</v>
      </c>
    </row>
    <row r="7" spans="1:72" x14ac:dyDescent="0.35">
      <c r="A7" s="2"/>
      <c r="B7" s="16">
        <v>2</v>
      </c>
      <c r="C7">
        <v>12138</v>
      </c>
      <c r="D7">
        <v>8443</v>
      </c>
      <c r="E7" s="2">
        <f>D7/C7</f>
        <v>0.69558411599934089</v>
      </c>
      <c r="G7" s="24"/>
      <c r="H7" s="15" t="s">
        <v>134</v>
      </c>
      <c r="I7" t="s">
        <v>357</v>
      </c>
      <c r="J7" t="s">
        <v>358</v>
      </c>
      <c r="K7" t="s">
        <v>357</v>
      </c>
      <c r="L7" t="s">
        <v>358</v>
      </c>
      <c r="M7" t="s">
        <v>357</v>
      </c>
      <c r="N7" t="s">
        <v>358</v>
      </c>
      <c r="O7" t="s">
        <v>357</v>
      </c>
      <c r="P7" t="s">
        <v>358</v>
      </c>
      <c r="Q7" t="s">
        <v>357</v>
      </c>
      <c r="R7" t="s">
        <v>358</v>
      </c>
      <c r="S7" t="s">
        <v>357</v>
      </c>
      <c r="T7" t="s">
        <v>358</v>
      </c>
      <c r="U7" t="s">
        <v>357</v>
      </c>
      <c r="V7" t="s">
        <v>358</v>
      </c>
      <c r="Z7" s="24"/>
      <c r="AA7" s="8" t="s">
        <v>2</v>
      </c>
      <c r="AB7" s="24">
        <f t="shared" ref="AB7:AB19" si="1">VLOOKUP($AA7,$H$8:$X$1048576,17,FALSE)/VLOOKUP($AA7,$H$8:$X$1048576,16,FALSE)</f>
        <v>0.69558411599934089</v>
      </c>
      <c r="AC7" s="24">
        <f t="shared" ref="AC7:AC19" si="2">VLOOKUP($AA7,$H$8:$X$1048576,5,FALSE)/VLOOKUP($AA7,$H$8:$X$1048576,4,FALSE)</f>
        <v>0.78019948282231255</v>
      </c>
      <c r="AD7" s="24">
        <f t="shared" ref="AD7:AD19" si="3">VLOOKUP($AA7,$H$8:$X$1048576, 7,FALSE)/VLOOKUP($AA7,$H$8:$X$1048576,6,FALSE)</f>
        <v>0.71587372165406848</v>
      </c>
      <c r="AE7" s="24">
        <f t="shared" ref="AE7:AE19" si="4">VLOOKUP($AA7,$H$8:$X$1048576,9,FALSE)/VLOOKUP($AA7,$H$8:$X$1048576,8,FALSE)</f>
        <v>0.69144981412639406</v>
      </c>
      <c r="AF7" s="24">
        <f t="shared" ref="AF7:AF19" si="5">VLOOKUP($AA7,$H$8:$X$1048576,13,FALSE)/VLOOKUP($AA7,$H$8:$X$1048576,12,FALSE)</f>
        <v>0.62814586543400097</v>
      </c>
      <c r="AG7" s="24">
        <f t="shared" ref="AG7:AG19" si="6">VLOOKUP($AA7,$H$8:$X$1048576,15,FALSE)/VLOOKUP($AA7,$H$8:$X$1048576,14,FALSE)</f>
        <v>0.7073403241182078</v>
      </c>
      <c r="AH7" s="24">
        <f t="shared" ref="AH7:AH19" si="7">VLOOKUP($AA7,$H$8:$X$1048576,3,FALSE)/VLOOKUP($AA7,$H$8:$X$1048576,2,FALSE)</f>
        <v>0.62905718701700153</v>
      </c>
      <c r="AI7" s="24">
        <f t="shared" ref="AI7:AI19" si="8">VLOOKUP($AA7,$H$8:$X$1048576,11,FALSE)/VLOOKUP($AA7,$H$8:$X$1048576,10,FALSE)</f>
        <v>0.654169360051713</v>
      </c>
      <c r="AJ7" s="24"/>
      <c r="AK7" s="24"/>
      <c r="AL7" s="17"/>
      <c r="AM7" s="16">
        <v>2</v>
      </c>
      <c r="AN7">
        <v>12138</v>
      </c>
      <c r="AO7">
        <v>8443</v>
      </c>
      <c r="AP7" s="17">
        <f>(AN7-AO7)/7</f>
        <v>527.85714285714289</v>
      </c>
      <c r="AQ7" s="17"/>
      <c r="AS7" s="15" t="s">
        <v>134</v>
      </c>
      <c r="AT7" t="s">
        <v>357</v>
      </c>
      <c r="AU7" t="s">
        <v>358</v>
      </c>
      <c r="AV7" t="s">
        <v>357</v>
      </c>
      <c r="AW7" t="s">
        <v>358</v>
      </c>
      <c r="AX7" t="s">
        <v>357</v>
      </c>
      <c r="AY7" t="s">
        <v>358</v>
      </c>
      <c r="AZ7" t="s">
        <v>357</v>
      </c>
      <c r="BA7" t="s">
        <v>358</v>
      </c>
      <c r="BB7" t="s">
        <v>357</v>
      </c>
      <c r="BC7" t="s">
        <v>358</v>
      </c>
      <c r="BD7" t="s">
        <v>357</v>
      </c>
      <c r="BE7" t="s">
        <v>358</v>
      </c>
      <c r="BF7" t="s">
        <v>357</v>
      </c>
      <c r="BG7" t="s">
        <v>358</v>
      </c>
      <c r="BL7" s="8" t="s">
        <v>2</v>
      </c>
      <c r="BM7" s="21">
        <f t="shared" ref="BM7:BM19" si="9">(VLOOKUP($BL7,$AS$8:$BI$1048576,16,FALSE)-VLOOKUP($BL7,$AS$8:$BI$1048576,17,FALSE))/7</f>
        <v>527.85714285714289</v>
      </c>
      <c r="BN7" s="21">
        <f t="shared" ref="BN7:BN19" si="10">(VLOOKUP($BL7,$AS$8:$BI$1048576,4,FALSE)-VLOOKUP($BL7,$AS$8:$BI$1048576,5,FALSE))/7</f>
        <v>85</v>
      </c>
      <c r="BO7" s="21">
        <f t="shared" ref="BO7:BO19" si="11">(VLOOKUP($BL7,$AS$8:$BI$1048576,6,FALSE)-VLOOKUP($BL7,$AS$8:$BI$1048576,7,FALSE))/7</f>
        <v>91.285714285714292</v>
      </c>
      <c r="BP7" s="21">
        <f t="shared" ref="BP7:BP19" si="12">(VLOOKUP($BL7,$AS$8:$BI$1048576,8,FALSE)-VLOOKUP($BL7,$AS$8:$BI$1048576,9,FALSE))/7</f>
        <v>59.285714285714285</v>
      </c>
      <c r="BQ7" s="21">
        <f t="shared" ref="BQ7:BQ19" si="13">(VLOOKUP($BL7,$AS$8:$BI$1048576,12,FALSE)-VLOOKUP($BL7,$AS$8:$BI$1048576,13,FALSE))/7</f>
        <v>103.42857142857143</v>
      </c>
      <c r="BR7" s="21">
        <f t="shared" ref="BR7:BR19" si="14">(VLOOKUP($BL7,$AS$8:$BI$1048576,14,FALSE)-VLOOKUP($BL7,$AS$8:$BI$1048576,15,FALSE))/7</f>
        <v>43.857142857142854</v>
      </c>
      <c r="BS7" s="21">
        <f t="shared" ref="BS7:BS19" si="15">(VLOOKUP($BL7,$AS$8:$BI$1048576,2,FALSE)-VLOOKUP($BL7,$AS$8:$BI$1048576,3,FALSE))/7</f>
        <v>68.571428571428569</v>
      </c>
      <c r="BT7" s="21">
        <f t="shared" si="0"/>
        <v>76.428571428571431</v>
      </c>
    </row>
    <row r="8" spans="1:72" x14ac:dyDescent="0.35">
      <c r="A8" s="2"/>
      <c r="B8" s="16">
        <v>3</v>
      </c>
      <c r="C8">
        <v>12121</v>
      </c>
      <c r="D8">
        <v>8319</v>
      </c>
      <c r="E8" s="2">
        <f t="shared" ref="E8:E20" si="16">D8/C8</f>
        <v>0.68632951076643844</v>
      </c>
      <c r="G8" s="24"/>
      <c r="H8" s="16" t="s">
        <v>1</v>
      </c>
      <c r="I8">
        <v>1264</v>
      </c>
      <c r="J8">
        <v>826</v>
      </c>
      <c r="K8">
        <v>2673</v>
      </c>
      <c r="L8">
        <v>2030</v>
      </c>
      <c r="M8">
        <v>2218</v>
      </c>
      <c r="N8">
        <v>1561</v>
      </c>
      <c r="O8">
        <v>1369</v>
      </c>
      <c r="P8">
        <v>929</v>
      </c>
      <c r="Q8">
        <v>1555</v>
      </c>
      <c r="R8">
        <v>1007</v>
      </c>
      <c r="S8">
        <v>1930</v>
      </c>
      <c r="T8">
        <v>1184</v>
      </c>
      <c r="U8">
        <v>1031</v>
      </c>
      <c r="V8">
        <v>758</v>
      </c>
      <c r="W8">
        <v>12040</v>
      </c>
      <c r="X8">
        <v>8295</v>
      </c>
      <c r="Z8" s="24"/>
      <c r="AA8" s="8" t="s">
        <v>3</v>
      </c>
      <c r="AB8" s="24">
        <f t="shared" si="1"/>
        <v>0.68632951076643844</v>
      </c>
      <c r="AC8" s="24">
        <f t="shared" si="2"/>
        <v>0.78592702903946388</v>
      </c>
      <c r="AD8" s="24">
        <f t="shared" si="3"/>
        <v>0.71704035874439465</v>
      </c>
      <c r="AE8" s="24">
        <f t="shared" si="4"/>
        <v>0.6588061901252763</v>
      </c>
      <c r="AF8" s="24">
        <f t="shared" si="5"/>
        <v>0.58723623262995372</v>
      </c>
      <c r="AG8" s="24">
        <f t="shared" si="6"/>
        <v>0.72838345864661658</v>
      </c>
      <c r="AH8" s="24">
        <f t="shared" si="7"/>
        <v>0.60455974842767291</v>
      </c>
      <c r="AI8" s="24">
        <f t="shared" si="8"/>
        <v>0.65646908859145958</v>
      </c>
      <c r="AJ8" s="24"/>
      <c r="AK8" s="24"/>
      <c r="AL8" s="17"/>
      <c r="AM8" s="16">
        <v>3</v>
      </c>
      <c r="AN8">
        <v>12121</v>
      </c>
      <c r="AO8">
        <v>8319</v>
      </c>
      <c r="AP8" s="17">
        <f t="shared" ref="AP8:AP20" si="17">(AN8-AO8)/7</f>
        <v>543.14285714285711</v>
      </c>
      <c r="AQ8" s="17"/>
      <c r="AS8" s="16" t="s">
        <v>1</v>
      </c>
      <c r="AT8">
        <v>1264</v>
      </c>
      <c r="AU8">
        <v>826</v>
      </c>
      <c r="AV8">
        <v>2673</v>
      </c>
      <c r="AW8">
        <v>2030</v>
      </c>
      <c r="AX8">
        <v>2218</v>
      </c>
      <c r="AY8">
        <v>1561</v>
      </c>
      <c r="AZ8">
        <v>1369</v>
      </c>
      <c r="BA8">
        <v>929</v>
      </c>
      <c r="BB8">
        <v>1555</v>
      </c>
      <c r="BC8">
        <v>1007</v>
      </c>
      <c r="BD8">
        <v>1930</v>
      </c>
      <c r="BE8">
        <v>1184</v>
      </c>
      <c r="BF8">
        <v>1031</v>
      </c>
      <c r="BG8">
        <v>758</v>
      </c>
      <c r="BH8">
        <v>12040</v>
      </c>
      <c r="BI8">
        <v>8295</v>
      </c>
      <c r="BL8" s="8" t="s">
        <v>3</v>
      </c>
      <c r="BM8" s="21">
        <f t="shared" si="9"/>
        <v>543.14285714285711</v>
      </c>
      <c r="BN8" s="21">
        <f t="shared" si="10"/>
        <v>82.142857142857139</v>
      </c>
      <c r="BO8" s="21">
        <f t="shared" si="11"/>
        <v>90.142857142857139</v>
      </c>
      <c r="BP8" s="21">
        <f t="shared" si="12"/>
        <v>66.142857142857139</v>
      </c>
      <c r="BQ8" s="21">
        <f t="shared" si="13"/>
        <v>114.57142857142857</v>
      </c>
      <c r="BR8" s="21">
        <f t="shared" si="14"/>
        <v>41.285714285714285</v>
      </c>
      <c r="BS8" s="21">
        <f t="shared" si="15"/>
        <v>71.857142857142861</v>
      </c>
      <c r="BT8" s="21">
        <f t="shared" si="0"/>
        <v>77</v>
      </c>
    </row>
    <row r="9" spans="1:72" x14ac:dyDescent="0.35">
      <c r="A9" s="2"/>
      <c r="B9" s="16">
        <v>4</v>
      </c>
      <c r="C9">
        <v>12144</v>
      </c>
      <c r="D9">
        <v>8414</v>
      </c>
      <c r="E9" s="2">
        <f>D9/C9</f>
        <v>0.69285243741765479</v>
      </c>
      <c r="G9" s="24"/>
      <c r="H9" s="16" t="s">
        <v>2</v>
      </c>
      <c r="I9">
        <v>1294</v>
      </c>
      <c r="J9">
        <v>814</v>
      </c>
      <c r="K9">
        <v>2707</v>
      </c>
      <c r="L9">
        <v>2112</v>
      </c>
      <c r="M9">
        <v>2249</v>
      </c>
      <c r="N9">
        <v>1610</v>
      </c>
      <c r="O9">
        <v>1345</v>
      </c>
      <c r="P9">
        <v>930</v>
      </c>
      <c r="Q9">
        <v>1547</v>
      </c>
      <c r="R9">
        <v>1012</v>
      </c>
      <c r="S9">
        <v>1947</v>
      </c>
      <c r="T9">
        <v>1223</v>
      </c>
      <c r="U9">
        <v>1049</v>
      </c>
      <c r="V9">
        <v>742</v>
      </c>
      <c r="W9">
        <v>12138</v>
      </c>
      <c r="X9">
        <v>8443</v>
      </c>
      <c r="Z9" s="24"/>
      <c r="AA9" s="8" t="s">
        <v>4</v>
      </c>
      <c r="AB9" s="24">
        <f t="shared" si="1"/>
        <v>0.69285243741765479</v>
      </c>
      <c r="AC9" s="24">
        <f t="shared" si="2"/>
        <v>0.76928838951310863</v>
      </c>
      <c r="AD9" s="24">
        <f t="shared" si="3"/>
        <v>0.75244879786286734</v>
      </c>
      <c r="AE9" s="24">
        <f t="shared" si="4"/>
        <v>0.65489330389992639</v>
      </c>
      <c r="AF9" s="24">
        <f t="shared" si="5"/>
        <v>0.59427695452222795</v>
      </c>
      <c r="AG9" s="24">
        <f t="shared" si="6"/>
        <v>0.71816479400749067</v>
      </c>
      <c r="AH9" s="24">
        <f t="shared" si="7"/>
        <v>0.60538827258320127</v>
      </c>
      <c r="AI9" s="24">
        <f t="shared" si="8"/>
        <v>0.68647281921618208</v>
      </c>
      <c r="AJ9" s="24"/>
      <c r="AK9" s="24"/>
      <c r="AL9" s="17"/>
      <c r="AM9" s="16">
        <v>4</v>
      </c>
      <c r="AN9">
        <v>12144</v>
      </c>
      <c r="AO9">
        <v>8414</v>
      </c>
      <c r="AP9" s="17">
        <f t="shared" si="17"/>
        <v>532.85714285714289</v>
      </c>
      <c r="AQ9" s="17"/>
      <c r="AS9" s="16" t="s">
        <v>2</v>
      </c>
      <c r="AT9">
        <v>1294</v>
      </c>
      <c r="AU9">
        <v>814</v>
      </c>
      <c r="AV9">
        <v>2707</v>
      </c>
      <c r="AW9">
        <v>2112</v>
      </c>
      <c r="AX9">
        <v>2249</v>
      </c>
      <c r="AY9">
        <v>1610</v>
      </c>
      <c r="AZ9">
        <v>1345</v>
      </c>
      <c r="BA9">
        <v>930</v>
      </c>
      <c r="BB9">
        <v>1547</v>
      </c>
      <c r="BC9">
        <v>1012</v>
      </c>
      <c r="BD9">
        <v>1947</v>
      </c>
      <c r="BE9">
        <v>1223</v>
      </c>
      <c r="BF9">
        <v>1049</v>
      </c>
      <c r="BG9">
        <v>742</v>
      </c>
      <c r="BH9">
        <v>12138</v>
      </c>
      <c r="BI9">
        <v>8443</v>
      </c>
      <c r="BL9" s="8" t="s">
        <v>4</v>
      </c>
      <c r="BM9" s="21">
        <f t="shared" si="9"/>
        <v>532.85714285714289</v>
      </c>
      <c r="BN9" s="21">
        <f t="shared" si="10"/>
        <v>88</v>
      </c>
      <c r="BO9" s="21">
        <f t="shared" si="11"/>
        <v>79.428571428571431</v>
      </c>
      <c r="BP9" s="21">
        <f t="shared" si="12"/>
        <v>67</v>
      </c>
      <c r="BQ9" s="21">
        <f t="shared" si="13"/>
        <v>113.42857142857143</v>
      </c>
      <c r="BR9" s="21">
        <f t="shared" si="14"/>
        <v>43</v>
      </c>
      <c r="BS9" s="21">
        <f t="shared" si="15"/>
        <v>71.142857142857139</v>
      </c>
      <c r="BT9" s="21">
        <f t="shared" si="0"/>
        <v>70.857142857142861</v>
      </c>
    </row>
    <row r="10" spans="1:72" x14ac:dyDescent="0.35">
      <c r="A10" s="2"/>
      <c r="B10" s="16">
        <v>5</v>
      </c>
      <c r="C10">
        <v>12074</v>
      </c>
      <c r="D10">
        <v>8129</v>
      </c>
      <c r="E10" s="2">
        <f>D10/C10</f>
        <v>0.67326486665562368</v>
      </c>
      <c r="G10" s="24"/>
      <c r="H10" s="16" t="s">
        <v>3</v>
      </c>
      <c r="I10">
        <v>1272</v>
      </c>
      <c r="J10">
        <v>769</v>
      </c>
      <c r="K10">
        <v>2686</v>
      </c>
      <c r="L10">
        <v>2111</v>
      </c>
      <c r="M10">
        <v>2230</v>
      </c>
      <c r="N10">
        <v>1599</v>
      </c>
      <c r="O10">
        <v>1357</v>
      </c>
      <c r="P10">
        <v>894</v>
      </c>
      <c r="Q10">
        <v>1569</v>
      </c>
      <c r="R10">
        <v>1030</v>
      </c>
      <c r="S10">
        <v>1943</v>
      </c>
      <c r="T10">
        <v>1141</v>
      </c>
      <c r="U10">
        <v>1064</v>
      </c>
      <c r="V10">
        <v>775</v>
      </c>
      <c r="W10">
        <v>12121</v>
      </c>
      <c r="X10">
        <v>8319</v>
      </c>
      <c r="Z10" s="24"/>
      <c r="AA10" s="17" t="s">
        <v>5</v>
      </c>
      <c r="AB10" s="24">
        <f t="shared" si="1"/>
        <v>0.67326486665562368</v>
      </c>
      <c r="AC10" s="24">
        <f t="shared" si="2"/>
        <v>0.75831154277175938</v>
      </c>
      <c r="AD10" s="24">
        <f t="shared" si="3"/>
        <v>0.73754448398576511</v>
      </c>
      <c r="AE10" s="24">
        <f t="shared" si="4"/>
        <v>0.66224188790560468</v>
      </c>
      <c r="AF10" s="24">
        <f t="shared" si="5"/>
        <v>0.53988378235604861</v>
      </c>
      <c r="AG10" s="24">
        <f t="shared" si="6"/>
        <v>0.69454887218045114</v>
      </c>
      <c r="AH10" s="24">
        <f t="shared" si="7"/>
        <v>0.56635071090047395</v>
      </c>
      <c r="AI10" s="24">
        <f t="shared" si="8"/>
        <v>0.67834394904458595</v>
      </c>
      <c r="AJ10" s="24"/>
      <c r="AK10" s="24"/>
      <c r="AL10" s="17"/>
      <c r="AM10" s="16">
        <v>5</v>
      </c>
      <c r="AN10">
        <v>12074</v>
      </c>
      <c r="AO10">
        <v>8129</v>
      </c>
      <c r="AP10" s="17">
        <f t="shared" si="17"/>
        <v>563.57142857142856</v>
      </c>
      <c r="AQ10" s="17"/>
      <c r="AS10" s="16" t="s">
        <v>3</v>
      </c>
      <c r="AT10">
        <v>1272</v>
      </c>
      <c r="AU10">
        <v>769</v>
      </c>
      <c r="AV10">
        <v>2686</v>
      </c>
      <c r="AW10">
        <v>2111</v>
      </c>
      <c r="AX10">
        <v>2230</v>
      </c>
      <c r="AY10">
        <v>1599</v>
      </c>
      <c r="AZ10">
        <v>1357</v>
      </c>
      <c r="BA10">
        <v>894</v>
      </c>
      <c r="BB10">
        <v>1569</v>
      </c>
      <c r="BC10">
        <v>1030</v>
      </c>
      <c r="BD10">
        <v>1943</v>
      </c>
      <c r="BE10">
        <v>1141</v>
      </c>
      <c r="BF10">
        <v>1064</v>
      </c>
      <c r="BG10">
        <v>775</v>
      </c>
      <c r="BH10">
        <v>12121</v>
      </c>
      <c r="BI10">
        <v>8319</v>
      </c>
      <c r="BL10" s="17" t="s">
        <v>5</v>
      </c>
      <c r="BM10" s="21">
        <f t="shared" si="9"/>
        <v>563.57142857142856</v>
      </c>
      <c r="BN10" s="21">
        <f t="shared" si="10"/>
        <v>92.428571428571431</v>
      </c>
      <c r="BO10" s="21">
        <f t="shared" si="11"/>
        <v>84.285714285714292</v>
      </c>
      <c r="BP10" s="21">
        <f t="shared" si="12"/>
        <v>65.428571428571431</v>
      </c>
      <c r="BQ10" s="21">
        <f t="shared" si="13"/>
        <v>124.42857142857143</v>
      </c>
      <c r="BR10" s="21">
        <f t="shared" si="14"/>
        <v>46.428571428571431</v>
      </c>
      <c r="BS10" s="21">
        <f t="shared" si="15"/>
        <v>78.428571428571431</v>
      </c>
      <c r="BT10" s="21">
        <f t="shared" si="0"/>
        <v>72.142857142857139</v>
      </c>
    </row>
    <row r="11" spans="1:72" x14ac:dyDescent="0.35">
      <c r="A11" s="2"/>
      <c r="B11" s="16">
        <v>6</v>
      </c>
      <c r="C11">
        <v>11945</v>
      </c>
      <c r="D11">
        <v>8009</v>
      </c>
      <c r="E11" s="2">
        <f>D11/C11</f>
        <v>0.6704897446630389</v>
      </c>
      <c r="G11" s="24"/>
      <c r="H11" s="16" t="s">
        <v>4</v>
      </c>
      <c r="I11">
        <v>1262</v>
      </c>
      <c r="J11">
        <v>764</v>
      </c>
      <c r="K11">
        <v>2670</v>
      </c>
      <c r="L11">
        <v>2054</v>
      </c>
      <c r="M11">
        <v>2246</v>
      </c>
      <c r="N11">
        <v>1690</v>
      </c>
      <c r="O11">
        <v>1359</v>
      </c>
      <c r="P11">
        <v>890</v>
      </c>
      <c r="Q11">
        <v>1582</v>
      </c>
      <c r="R11">
        <v>1086</v>
      </c>
      <c r="S11">
        <v>1957</v>
      </c>
      <c r="T11">
        <v>1163</v>
      </c>
      <c r="U11">
        <v>1068</v>
      </c>
      <c r="V11">
        <v>767</v>
      </c>
      <c r="W11">
        <v>12144</v>
      </c>
      <c r="X11">
        <v>8414</v>
      </c>
      <c r="Z11" s="24"/>
      <c r="AA11" s="17" t="s">
        <v>6</v>
      </c>
      <c r="AB11" s="24">
        <f t="shared" si="1"/>
        <v>0.6704897446630389</v>
      </c>
      <c r="AC11" s="24">
        <f t="shared" si="2"/>
        <v>0.73152049023362697</v>
      </c>
      <c r="AD11" s="24">
        <f t="shared" si="3"/>
        <v>0.71364852809991075</v>
      </c>
      <c r="AE11" s="24">
        <f t="shared" si="4"/>
        <v>0.6640986132511556</v>
      </c>
      <c r="AF11" s="24">
        <f t="shared" si="5"/>
        <v>0.57256355932203384</v>
      </c>
      <c r="AG11" s="24">
        <f t="shared" si="6"/>
        <v>0.68327067669172936</v>
      </c>
      <c r="AH11" s="24">
        <f t="shared" si="7"/>
        <v>0.60125588697017274</v>
      </c>
      <c r="AI11" s="24">
        <f t="shared" si="8"/>
        <v>0.67793367346938771</v>
      </c>
      <c r="AJ11" s="24"/>
      <c r="AK11" s="24"/>
      <c r="AL11" s="17"/>
      <c r="AM11" s="16">
        <v>6</v>
      </c>
      <c r="AN11">
        <v>11945</v>
      </c>
      <c r="AO11">
        <v>8009</v>
      </c>
      <c r="AP11" s="17">
        <f>(AN11-AO11)/7</f>
        <v>562.28571428571433</v>
      </c>
      <c r="AQ11" s="17"/>
      <c r="AS11" s="16" t="s">
        <v>4</v>
      </c>
      <c r="AT11">
        <v>1262</v>
      </c>
      <c r="AU11">
        <v>764</v>
      </c>
      <c r="AV11">
        <v>2670</v>
      </c>
      <c r="AW11">
        <v>2054</v>
      </c>
      <c r="AX11">
        <v>2246</v>
      </c>
      <c r="AY11">
        <v>1690</v>
      </c>
      <c r="AZ11">
        <v>1359</v>
      </c>
      <c r="BA11">
        <v>890</v>
      </c>
      <c r="BB11">
        <v>1582</v>
      </c>
      <c r="BC11">
        <v>1086</v>
      </c>
      <c r="BD11">
        <v>1957</v>
      </c>
      <c r="BE11">
        <v>1163</v>
      </c>
      <c r="BF11">
        <v>1068</v>
      </c>
      <c r="BG11">
        <v>767</v>
      </c>
      <c r="BH11">
        <v>12144</v>
      </c>
      <c r="BI11">
        <v>8414</v>
      </c>
      <c r="BL11" s="17" t="s">
        <v>6</v>
      </c>
      <c r="BM11" s="21">
        <f t="shared" si="9"/>
        <v>562.28571428571433</v>
      </c>
      <c r="BN11" s="21">
        <f t="shared" si="10"/>
        <v>100.14285714285714</v>
      </c>
      <c r="BO11" s="21">
        <f t="shared" si="11"/>
        <v>91.714285714285708</v>
      </c>
      <c r="BP11" s="21">
        <f t="shared" si="12"/>
        <v>62.285714285714285</v>
      </c>
      <c r="BQ11" s="21">
        <f t="shared" si="13"/>
        <v>115.28571428571429</v>
      </c>
      <c r="BR11" s="21">
        <f t="shared" si="14"/>
        <v>48.142857142857146</v>
      </c>
      <c r="BS11" s="21">
        <f t="shared" si="15"/>
        <v>72.571428571428569</v>
      </c>
      <c r="BT11" s="21">
        <f t="shared" si="0"/>
        <v>72.142857142857139</v>
      </c>
    </row>
    <row r="12" spans="1:72" x14ac:dyDescent="0.35">
      <c r="A12" s="2"/>
      <c r="B12" s="16">
        <v>7</v>
      </c>
      <c r="C12">
        <v>12017</v>
      </c>
      <c r="D12">
        <v>8118</v>
      </c>
      <c r="E12" s="2">
        <f>D12/C12</f>
        <v>0.67554298077723229</v>
      </c>
      <c r="G12" s="24"/>
      <c r="H12" s="16" t="s">
        <v>5</v>
      </c>
      <c r="I12">
        <v>1266</v>
      </c>
      <c r="J12">
        <v>717</v>
      </c>
      <c r="K12">
        <v>2677</v>
      </c>
      <c r="L12">
        <v>2030</v>
      </c>
      <c r="M12">
        <v>2248</v>
      </c>
      <c r="N12">
        <v>1658</v>
      </c>
      <c r="O12">
        <v>1356</v>
      </c>
      <c r="P12">
        <v>898</v>
      </c>
      <c r="Q12">
        <v>1570</v>
      </c>
      <c r="R12">
        <v>1065</v>
      </c>
      <c r="S12">
        <v>1893</v>
      </c>
      <c r="T12">
        <v>1022</v>
      </c>
      <c r="U12">
        <v>1064</v>
      </c>
      <c r="V12">
        <v>739</v>
      </c>
      <c r="W12">
        <v>12074</v>
      </c>
      <c r="X12">
        <v>8129</v>
      </c>
      <c r="Z12" s="24"/>
      <c r="AA12" s="17" t="s">
        <v>7</v>
      </c>
      <c r="AB12" s="24">
        <f t="shared" si="1"/>
        <v>0.67554298077723229</v>
      </c>
      <c r="AC12" s="24">
        <f t="shared" si="2"/>
        <v>0.72720450281425886</v>
      </c>
      <c r="AD12" s="24">
        <f t="shared" si="3"/>
        <v>0.68752793920429145</v>
      </c>
      <c r="AE12" s="24">
        <f t="shared" si="4"/>
        <v>0.71417797888386125</v>
      </c>
      <c r="AF12" s="24">
        <f t="shared" si="5"/>
        <v>0.58403805496828753</v>
      </c>
      <c r="AG12" s="24">
        <f t="shared" si="6"/>
        <v>0.6964285714285714</v>
      </c>
      <c r="AH12" s="24">
        <f t="shared" si="7"/>
        <v>0.58656126482213444</v>
      </c>
      <c r="AI12" s="24">
        <f t="shared" si="8"/>
        <v>0.70599489795918369</v>
      </c>
      <c r="AJ12" s="24"/>
      <c r="AK12" s="24"/>
      <c r="AL12" s="17"/>
      <c r="AM12" s="16">
        <v>7</v>
      </c>
      <c r="AN12">
        <v>12017</v>
      </c>
      <c r="AO12">
        <v>8118</v>
      </c>
      <c r="AP12" s="17">
        <f t="shared" si="17"/>
        <v>557</v>
      </c>
      <c r="AQ12" s="17"/>
      <c r="AS12" s="16" t="s">
        <v>5</v>
      </c>
      <c r="AT12">
        <v>1266</v>
      </c>
      <c r="AU12">
        <v>717</v>
      </c>
      <c r="AV12">
        <v>2677</v>
      </c>
      <c r="AW12">
        <v>2030</v>
      </c>
      <c r="AX12">
        <v>2248</v>
      </c>
      <c r="AY12">
        <v>1658</v>
      </c>
      <c r="AZ12">
        <v>1356</v>
      </c>
      <c r="BA12">
        <v>898</v>
      </c>
      <c r="BB12">
        <v>1570</v>
      </c>
      <c r="BC12">
        <v>1065</v>
      </c>
      <c r="BD12">
        <v>1893</v>
      </c>
      <c r="BE12">
        <v>1022</v>
      </c>
      <c r="BF12">
        <v>1064</v>
      </c>
      <c r="BG12">
        <v>739</v>
      </c>
      <c r="BH12">
        <v>12074</v>
      </c>
      <c r="BI12">
        <v>8129</v>
      </c>
      <c r="BL12" s="17" t="s">
        <v>7</v>
      </c>
      <c r="BM12" s="21">
        <f t="shared" si="9"/>
        <v>557</v>
      </c>
      <c r="BN12" s="21">
        <f t="shared" si="10"/>
        <v>103.85714285714286</v>
      </c>
      <c r="BO12" s="21">
        <f t="shared" si="11"/>
        <v>99.857142857142861</v>
      </c>
      <c r="BP12" s="21">
        <f t="shared" si="12"/>
        <v>54.142857142857146</v>
      </c>
      <c r="BQ12" s="21">
        <f t="shared" si="13"/>
        <v>112.42857142857143</v>
      </c>
      <c r="BR12" s="21">
        <f t="shared" si="14"/>
        <v>46.142857142857146</v>
      </c>
      <c r="BS12" s="21">
        <f t="shared" si="15"/>
        <v>74.714285714285708</v>
      </c>
      <c r="BT12" s="21">
        <f t="shared" si="0"/>
        <v>65.857142857142861</v>
      </c>
    </row>
    <row r="13" spans="1:72" x14ac:dyDescent="0.35">
      <c r="A13" s="2"/>
      <c r="B13" s="16">
        <v>8</v>
      </c>
      <c r="C13">
        <v>12070</v>
      </c>
      <c r="D13">
        <v>8170</v>
      </c>
      <c r="E13" s="2">
        <f>D13/C13</f>
        <v>0.6768848384424192</v>
      </c>
      <c r="G13" s="24"/>
      <c r="H13" s="16" t="s">
        <v>6</v>
      </c>
      <c r="I13">
        <v>1274</v>
      </c>
      <c r="J13">
        <v>766</v>
      </c>
      <c r="K13">
        <v>2611</v>
      </c>
      <c r="L13">
        <v>1910</v>
      </c>
      <c r="M13">
        <v>2242</v>
      </c>
      <c r="N13">
        <v>1600</v>
      </c>
      <c r="O13">
        <v>1298</v>
      </c>
      <c r="P13">
        <v>862</v>
      </c>
      <c r="Q13">
        <v>1568</v>
      </c>
      <c r="R13">
        <v>1063</v>
      </c>
      <c r="S13">
        <v>1888</v>
      </c>
      <c r="T13">
        <v>1081</v>
      </c>
      <c r="U13">
        <v>1064</v>
      </c>
      <c r="V13">
        <v>727</v>
      </c>
      <c r="W13">
        <v>11945</v>
      </c>
      <c r="X13">
        <v>8009</v>
      </c>
      <c r="Z13" s="24"/>
      <c r="AA13" s="17" t="s">
        <v>8</v>
      </c>
      <c r="AB13" s="24">
        <f t="shared" si="1"/>
        <v>0.6768848384424192</v>
      </c>
      <c r="AC13" s="24">
        <f t="shared" si="2"/>
        <v>0.74106134738426799</v>
      </c>
      <c r="AD13" s="24">
        <f t="shared" si="3"/>
        <v>0.67572383073496656</v>
      </c>
      <c r="AE13" s="24">
        <f t="shared" si="4"/>
        <v>0.67653589933382674</v>
      </c>
      <c r="AF13" s="24">
        <f t="shared" si="5"/>
        <v>0.5955997904662127</v>
      </c>
      <c r="AG13" s="24">
        <f t="shared" si="6"/>
        <v>0.66259398496240607</v>
      </c>
      <c r="AH13" s="24">
        <f t="shared" si="7"/>
        <v>0.63335955940204558</v>
      </c>
      <c r="AI13" s="24">
        <f t="shared" si="8"/>
        <v>0.71392244119516846</v>
      </c>
      <c r="AJ13" s="24"/>
      <c r="AK13" s="24"/>
      <c r="AL13" s="17"/>
      <c r="AM13" s="16">
        <v>8</v>
      </c>
      <c r="AN13">
        <v>12070</v>
      </c>
      <c r="AO13">
        <v>8170</v>
      </c>
      <c r="AP13" s="17">
        <f t="shared" si="17"/>
        <v>557.14285714285711</v>
      </c>
      <c r="AQ13" s="17"/>
      <c r="AS13" s="16" t="s">
        <v>6</v>
      </c>
      <c r="AT13">
        <v>1274</v>
      </c>
      <c r="AU13">
        <v>766</v>
      </c>
      <c r="AV13">
        <v>2611</v>
      </c>
      <c r="AW13">
        <v>1910</v>
      </c>
      <c r="AX13">
        <v>2242</v>
      </c>
      <c r="AY13">
        <v>1600</v>
      </c>
      <c r="AZ13">
        <v>1298</v>
      </c>
      <c r="BA13">
        <v>862</v>
      </c>
      <c r="BB13">
        <v>1568</v>
      </c>
      <c r="BC13">
        <v>1063</v>
      </c>
      <c r="BD13">
        <v>1888</v>
      </c>
      <c r="BE13">
        <v>1081</v>
      </c>
      <c r="BF13">
        <v>1064</v>
      </c>
      <c r="BG13">
        <v>727</v>
      </c>
      <c r="BH13">
        <v>11945</v>
      </c>
      <c r="BI13">
        <v>8009</v>
      </c>
      <c r="BL13" s="17" t="s">
        <v>8</v>
      </c>
      <c r="BM13" s="21">
        <f t="shared" si="9"/>
        <v>557.14285714285711</v>
      </c>
      <c r="BN13" s="21">
        <f t="shared" si="10"/>
        <v>98.285714285714292</v>
      </c>
      <c r="BO13" s="21">
        <f t="shared" si="11"/>
        <v>104</v>
      </c>
      <c r="BP13" s="21">
        <f t="shared" si="12"/>
        <v>62.428571428571431</v>
      </c>
      <c r="BQ13" s="21">
        <f t="shared" si="13"/>
        <v>110.28571428571429</v>
      </c>
      <c r="BR13" s="21">
        <f t="shared" si="14"/>
        <v>51.285714285714285</v>
      </c>
      <c r="BS13" s="21">
        <f t="shared" si="15"/>
        <v>66.571428571428569</v>
      </c>
      <c r="BT13" s="21">
        <f t="shared" si="0"/>
        <v>64.285714285714292</v>
      </c>
    </row>
    <row r="14" spans="1:72" x14ac:dyDescent="0.35">
      <c r="A14" s="2"/>
      <c r="E14" s="2" t="e">
        <f t="shared" si="16"/>
        <v>#DIV/0!</v>
      </c>
      <c r="G14" s="24"/>
      <c r="H14" s="16" t="s">
        <v>7</v>
      </c>
      <c r="I14">
        <v>1265</v>
      </c>
      <c r="J14">
        <v>742</v>
      </c>
      <c r="K14">
        <v>2665</v>
      </c>
      <c r="L14">
        <v>1938</v>
      </c>
      <c r="M14">
        <v>2237</v>
      </c>
      <c r="N14">
        <v>1538</v>
      </c>
      <c r="O14">
        <v>1326</v>
      </c>
      <c r="P14">
        <v>947</v>
      </c>
      <c r="Q14">
        <v>1568</v>
      </c>
      <c r="R14">
        <v>1107</v>
      </c>
      <c r="S14">
        <v>1892</v>
      </c>
      <c r="T14">
        <v>1105</v>
      </c>
      <c r="U14">
        <v>1064</v>
      </c>
      <c r="V14">
        <v>741</v>
      </c>
      <c r="W14">
        <v>12017</v>
      </c>
      <c r="X14">
        <v>8118</v>
      </c>
      <c r="Z14" s="24"/>
      <c r="AA14" s="17" t="s">
        <v>9</v>
      </c>
      <c r="AB14" s="24" t="e">
        <f t="shared" si="1"/>
        <v>#N/A</v>
      </c>
      <c r="AC14" s="24" t="e">
        <f t="shared" si="2"/>
        <v>#N/A</v>
      </c>
      <c r="AD14" s="24" t="e">
        <f t="shared" si="3"/>
        <v>#N/A</v>
      </c>
      <c r="AE14" s="24" t="e">
        <f t="shared" si="4"/>
        <v>#N/A</v>
      </c>
      <c r="AF14" s="24" t="e">
        <f t="shared" si="5"/>
        <v>#N/A</v>
      </c>
      <c r="AG14" s="24" t="e">
        <f t="shared" si="6"/>
        <v>#N/A</v>
      </c>
      <c r="AH14" s="24" t="e">
        <f t="shared" si="7"/>
        <v>#N/A</v>
      </c>
      <c r="AI14" s="24" t="e">
        <f t="shared" si="8"/>
        <v>#N/A</v>
      </c>
      <c r="AJ14" s="24"/>
      <c r="AK14" s="24"/>
      <c r="AL14" s="17"/>
      <c r="AP14" s="17">
        <f t="shared" si="17"/>
        <v>0</v>
      </c>
      <c r="AQ14" s="17"/>
      <c r="AS14" s="16" t="s">
        <v>7</v>
      </c>
      <c r="AT14">
        <v>1265</v>
      </c>
      <c r="AU14">
        <v>742</v>
      </c>
      <c r="AV14">
        <v>2665</v>
      </c>
      <c r="AW14">
        <v>1938</v>
      </c>
      <c r="AX14">
        <v>2237</v>
      </c>
      <c r="AY14">
        <v>1538</v>
      </c>
      <c r="AZ14">
        <v>1326</v>
      </c>
      <c r="BA14">
        <v>947</v>
      </c>
      <c r="BB14">
        <v>1568</v>
      </c>
      <c r="BC14">
        <v>1107</v>
      </c>
      <c r="BD14">
        <v>1892</v>
      </c>
      <c r="BE14">
        <v>1105</v>
      </c>
      <c r="BF14">
        <v>1064</v>
      </c>
      <c r="BG14">
        <v>741</v>
      </c>
      <c r="BH14">
        <v>12017</v>
      </c>
      <c r="BI14">
        <v>8118</v>
      </c>
      <c r="BL14" s="17" t="s">
        <v>9</v>
      </c>
      <c r="BM14" s="21" t="e">
        <f t="shared" si="9"/>
        <v>#N/A</v>
      </c>
      <c r="BN14" s="21" t="e">
        <f t="shared" si="10"/>
        <v>#N/A</v>
      </c>
      <c r="BO14" s="21" t="e">
        <f t="shared" si="11"/>
        <v>#N/A</v>
      </c>
      <c r="BP14" s="21" t="e">
        <f t="shared" si="12"/>
        <v>#N/A</v>
      </c>
      <c r="BQ14" s="21" t="e">
        <f t="shared" si="13"/>
        <v>#N/A</v>
      </c>
      <c r="BR14" s="21" t="e">
        <f t="shared" si="14"/>
        <v>#N/A</v>
      </c>
      <c r="BS14" s="21" t="e">
        <f t="shared" si="15"/>
        <v>#N/A</v>
      </c>
      <c r="BT14" s="21" t="e">
        <f t="shared" si="0"/>
        <v>#N/A</v>
      </c>
    </row>
    <row r="15" spans="1:72" x14ac:dyDescent="0.35">
      <c r="A15" s="2"/>
      <c r="E15" s="2" t="e">
        <f t="shared" si="16"/>
        <v>#DIV/0!</v>
      </c>
      <c r="G15" s="24"/>
      <c r="H15" s="16" t="s">
        <v>8</v>
      </c>
      <c r="I15">
        <v>1271</v>
      </c>
      <c r="J15">
        <v>805</v>
      </c>
      <c r="K15">
        <v>2657</v>
      </c>
      <c r="L15">
        <v>1969</v>
      </c>
      <c r="M15">
        <v>2245</v>
      </c>
      <c r="N15">
        <v>1517</v>
      </c>
      <c r="O15">
        <v>1351</v>
      </c>
      <c r="P15">
        <v>914</v>
      </c>
      <c r="Q15">
        <v>1573</v>
      </c>
      <c r="R15">
        <v>1123</v>
      </c>
      <c r="S15">
        <v>1909</v>
      </c>
      <c r="T15">
        <v>1137</v>
      </c>
      <c r="U15">
        <v>1064</v>
      </c>
      <c r="V15">
        <v>705</v>
      </c>
      <c r="W15">
        <v>12070</v>
      </c>
      <c r="X15">
        <v>8170</v>
      </c>
      <c r="Z15" s="24"/>
      <c r="AA15" s="17" t="s">
        <v>10</v>
      </c>
      <c r="AB15" s="24" t="e">
        <f t="shared" si="1"/>
        <v>#N/A</v>
      </c>
      <c r="AC15" s="24" t="e">
        <f t="shared" si="2"/>
        <v>#N/A</v>
      </c>
      <c r="AD15" s="24" t="e">
        <f t="shared" si="3"/>
        <v>#N/A</v>
      </c>
      <c r="AE15" s="24" t="e">
        <f t="shared" si="4"/>
        <v>#N/A</v>
      </c>
      <c r="AF15" s="24" t="e">
        <f t="shared" si="5"/>
        <v>#N/A</v>
      </c>
      <c r="AG15" s="24" t="e">
        <f t="shared" si="6"/>
        <v>#N/A</v>
      </c>
      <c r="AH15" s="24" t="e">
        <f t="shared" si="7"/>
        <v>#N/A</v>
      </c>
      <c r="AI15" s="24" t="e">
        <f t="shared" si="8"/>
        <v>#N/A</v>
      </c>
      <c r="AJ15" s="24"/>
      <c r="AK15" s="24"/>
      <c r="AL15" s="17"/>
      <c r="AP15" s="17">
        <f t="shared" si="17"/>
        <v>0</v>
      </c>
      <c r="AQ15" s="17"/>
      <c r="AS15" s="16" t="s">
        <v>8</v>
      </c>
      <c r="AT15">
        <v>1271</v>
      </c>
      <c r="AU15">
        <v>805</v>
      </c>
      <c r="AV15">
        <v>2657</v>
      </c>
      <c r="AW15">
        <v>1969</v>
      </c>
      <c r="AX15">
        <v>2245</v>
      </c>
      <c r="AY15">
        <v>1517</v>
      </c>
      <c r="AZ15">
        <v>1351</v>
      </c>
      <c r="BA15">
        <v>914</v>
      </c>
      <c r="BB15">
        <v>1573</v>
      </c>
      <c r="BC15">
        <v>1123</v>
      </c>
      <c r="BD15">
        <v>1909</v>
      </c>
      <c r="BE15">
        <v>1137</v>
      </c>
      <c r="BF15">
        <v>1064</v>
      </c>
      <c r="BG15">
        <v>705</v>
      </c>
      <c r="BH15">
        <v>12070</v>
      </c>
      <c r="BI15">
        <v>8170</v>
      </c>
      <c r="BL15" s="17" t="s">
        <v>10</v>
      </c>
      <c r="BM15" s="21" t="e">
        <f t="shared" si="9"/>
        <v>#N/A</v>
      </c>
      <c r="BN15" s="21" t="e">
        <f t="shared" si="10"/>
        <v>#N/A</v>
      </c>
      <c r="BO15" s="21" t="e">
        <f t="shared" si="11"/>
        <v>#N/A</v>
      </c>
      <c r="BP15" s="21" t="e">
        <f t="shared" si="12"/>
        <v>#N/A</v>
      </c>
      <c r="BQ15" s="21" t="e">
        <f t="shared" si="13"/>
        <v>#N/A</v>
      </c>
      <c r="BR15" s="21" t="e">
        <f t="shared" si="14"/>
        <v>#N/A</v>
      </c>
      <c r="BS15" s="21" t="e">
        <f t="shared" si="15"/>
        <v>#N/A</v>
      </c>
      <c r="BT15" s="21" t="e">
        <f t="shared" si="0"/>
        <v>#N/A</v>
      </c>
    </row>
    <row r="16" spans="1:72" x14ac:dyDescent="0.35">
      <c r="A16" s="2"/>
      <c r="E16" s="2" t="e">
        <f t="shared" si="16"/>
        <v>#DIV/0!</v>
      </c>
      <c r="G16" s="24"/>
      <c r="H16" s="16" t="s">
        <v>139</v>
      </c>
      <c r="I16">
        <v>10168</v>
      </c>
      <c r="J16">
        <v>6203</v>
      </c>
      <c r="K16">
        <v>21346</v>
      </c>
      <c r="L16">
        <v>16154</v>
      </c>
      <c r="M16">
        <v>17915</v>
      </c>
      <c r="N16">
        <v>12773</v>
      </c>
      <c r="O16">
        <v>10761</v>
      </c>
      <c r="P16">
        <v>7264</v>
      </c>
      <c r="Q16">
        <v>12532</v>
      </c>
      <c r="R16">
        <v>8493</v>
      </c>
      <c r="S16">
        <v>15359</v>
      </c>
      <c r="T16">
        <v>9056</v>
      </c>
      <c r="U16">
        <v>8468</v>
      </c>
      <c r="V16">
        <v>5954</v>
      </c>
      <c r="W16">
        <v>96549</v>
      </c>
      <c r="X16">
        <v>65897</v>
      </c>
      <c r="Z16" s="24"/>
      <c r="AA16" s="17" t="s">
        <v>11</v>
      </c>
      <c r="AB16" s="24" t="e">
        <f t="shared" si="1"/>
        <v>#N/A</v>
      </c>
      <c r="AC16" s="24" t="e">
        <f t="shared" si="2"/>
        <v>#N/A</v>
      </c>
      <c r="AD16" s="24" t="e">
        <f t="shared" si="3"/>
        <v>#N/A</v>
      </c>
      <c r="AE16" s="24" t="e">
        <f t="shared" si="4"/>
        <v>#N/A</v>
      </c>
      <c r="AF16" s="24" t="e">
        <f t="shared" si="5"/>
        <v>#N/A</v>
      </c>
      <c r="AG16" s="24" t="e">
        <f t="shared" si="6"/>
        <v>#N/A</v>
      </c>
      <c r="AH16" s="24" t="e">
        <f t="shared" si="7"/>
        <v>#N/A</v>
      </c>
      <c r="AI16" s="24" t="e">
        <f t="shared" si="8"/>
        <v>#N/A</v>
      </c>
      <c r="AJ16" s="24"/>
      <c r="AK16" s="24"/>
      <c r="AL16" s="17"/>
      <c r="AP16" s="17">
        <f t="shared" si="17"/>
        <v>0</v>
      </c>
      <c r="AQ16" s="17"/>
      <c r="AS16" s="16" t="s">
        <v>139</v>
      </c>
      <c r="AT16">
        <v>10168</v>
      </c>
      <c r="AU16">
        <v>6203</v>
      </c>
      <c r="AV16">
        <v>21346</v>
      </c>
      <c r="AW16">
        <v>16154</v>
      </c>
      <c r="AX16">
        <v>17915</v>
      </c>
      <c r="AY16">
        <v>12773</v>
      </c>
      <c r="AZ16">
        <v>10761</v>
      </c>
      <c r="BA16">
        <v>7264</v>
      </c>
      <c r="BB16">
        <v>12532</v>
      </c>
      <c r="BC16">
        <v>8493</v>
      </c>
      <c r="BD16">
        <v>15359</v>
      </c>
      <c r="BE16">
        <v>9056</v>
      </c>
      <c r="BF16">
        <v>8468</v>
      </c>
      <c r="BG16">
        <v>5954</v>
      </c>
      <c r="BH16">
        <v>96549</v>
      </c>
      <c r="BI16">
        <v>65897</v>
      </c>
      <c r="BL16" s="17" t="s">
        <v>11</v>
      </c>
      <c r="BM16" s="21" t="e">
        <f t="shared" si="9"/>
        <v>#N/A</v>
      </c>
      <c r="BN16" s="21" t="e">
        <f t="shared" si="10"/>
        <v>#N/A</v>
      </c>
      <c r="BO16" s="21" t="e">
        <f t="shared" si="11"/>
        <v>#N/A</v>
      </c>
      <c r="BP16" s="21" t="e">
        <f t="shared" si="12"/>
        <v>#N/A</v>
      </c>
      <c r="BQ16" s="21" t="e">
        <f t="shared" si="13"/>
        <v>#N/A</v>
      </c>
      <c r="BR16" s="21" t="e">
        <f t="shared" si="14"/>
        <v>#N/A</v>
      </c>
      <c r="BS16" s="21" t="e">
        <f t="shared" si="15"/>
        <v>#N/A</v>
      </c>
      <c r="BT16" s="21" t="e">
        <f t="shared" si="0"/>
        <v>#N/A</v>
      </c>
    </row>
    <row r="17" spans="1:72" x14ac:dyDescent="0.35">
      <c r="A17" s="2"/>
      <c r="E17" s="2" t="e">
        <f t="shared" si="16"/>
        <v>#DIV/0!</v>
      </c>
      <c r="G17" s="24"/>
      <c r="Z17" s="24"/>
      <c r="AA17" s="17" t="s">
        <v>12</v>
      </c>
      <c r="AB17" s="24" t="e">
        <f t="shared" si="1"/>
        <v>#N/A</v>
      </c>
      <c r="AC17" s="24" t="e">
        <f t="shared" si="2"/>
        <v>#N/A</v>
      </c>
      <c r="AD17" s="24" t="e">
        <f t="shared" si="3"/>
        <v>#N/A</v>
      </c>
      <c r="AE17" s="24" t="e">
        <f t="shared" si="4"/>
        <v>#N/A</v>
      </c>
      <c r="AF17" s="24" t="e">
        <f t="shared" si="5"/>
        <v>#N/A</v>
      </c>
      <c r="AG17" s="24" t="e">
        <f t="shared" si="6"/>
        <v>#N/A</v>
      </c>
      <c r="AH17" s="24" t="e">
        <f t="shared" si="7"/>
        <v>#N/A</v>
      </c>
      <c r="AI17" s="24" t="e">
        <f t="shared" si="8"/>
        <v>#N/A</v>
      </c>
      <c r="AJ17" s="24"/>
      <c r="AK17" s="24"/>
      <c r="AL17" s="17"/>
      <c r="AP17" s="17">
        <f t="shared" si="17"/>
        <v>0</v>
      </c>
      <c r="AQ17" s="17"/>
      <c r="BL17" s="17" t="s">
        <v>12</v>
      </c>
      <c r="BM17" s="21" t="e">
        <f t="shared" si="9"/>
        <v>#N/A</v>
      </c>
      <c r="BN17" s="21" t="e">
        <f t="shared" si="10"/>
        <v>#N/A</v>
      </c>
      <c r="BO17" s="21" t="e">
        <f t="shared" si="11"/>
        <v>#N/A</v>
      </c>
      <c r="BP17" s="21" t="e">
        <f t="shared" si="12"/>
        <v>#N/A</v>
      </c>
      <c r="BQ17" s="21" t="e">
        <f t="shared" si="13"/>
        <v>#N/A</v>
      </c>
      <c r="BR17" s="21" t="e">
        <f t="shared" si="14"/>
        <v>#N/A</v>
      </c>
      <c r="BS17" s="21" t="e">
        <f t="shared" si="15"/>
        <v>#N/A</v>
      </c>
      <c r="BT17" s="21" t="e">
        <f t="shared" si="0"/>
        <v>#N/A</v>
      </c>
    </row>
    <row r="18" spans="1:72" x14ac:dyDescent="0.35">
      <c r="A18" s="2"/>
      <c r="E18" s="2" t="e">
        <f t="shared" si="16"/>
        <v>#DIV/0!</v>
      </c>
      <c r="G18" s="24"/>
      <c r="Z18" s="24"/>
      <c r="AA18" s="17" t="s">
        <v>13</v>
      </c>
      <c r="AB18" s="24" t="e">
        <f t="shared" si="1"/>
        <v>#N/A</v>
      </c>
      <c r="AC18" s="24" t="e">
        <f t="shared" si="2"/>
        <v>#N/A</v>
      </c>
      <c r="AD18" s="24" t="e">
        <f t="shared" si="3"/>
        <v>#N/A</v>
      </c>
      <c r="AE18" s="24" t="e">
        <f t="shared" si="4"/>
        <v>#N/A</v>
      </c>
      <c r="AF18" s="24" t="e">
        <f t="shared" si="5"/>
        <v>#N/A</v>
      </c>
      <c r="AG18" s="24" t="e">
        <f t="shared" si="6"/>
        <v>#N/A</v>
      </c>
      <c r="AH18" s="24" t="e">
        <f t="shared" si="7"/>
        <v>#N/A</v>
      </c>
      <c r="AI18" s="24" t="e">
        <f t="shared" si="8"/>
        <v>#N/A</v>
      </c>
      <c r="AJ18" s="24"/>
      <c r="AK18" s="24"/>
      <c r="AL18" s="17"/>
      <c r="AP18" s="17">
        <f t="shared" si="17"/>
        <v>0</v>
      </c>
      <c r="AQ18" s="17"/>
      <c r="BL18" s="17" t="s">
        <v>13</v>
      </c>
      <c r="BM18" s="21" t="e">
        <f t="shared" si="9"/>
        <v>#N/A</v>
      </c>
      <c r="BN18" s="21" t="e">
        <f t="shared" si="10"/>
        <v>#N/A</v>
      </c>
      <c r="BO18" s="21" t="e">
        <f t="shared" si="11"/>
        <v>#N/A</v>
      </c>
      <c r="BP18" s="21" t="e">
        <f t="shared" si="12"/>
        <v>#N/A</v>
      </c>
      <c r="BQ18" s="21" t="e">
        <f t="shared" si="13"/>
        <v>#N/A</v>
      </c>
      <c r="BR18" s="21" t="e">
        <f t="shared" si="14"/>
        <v>#N/A</v>
      </c>
      <c r="BS18" s="21" t="e">
        <f t="shared" si="15"/>
        <v>#N/A</v>
      </c>
      <c r="BT18" s="21" t="e">
        <f t="shared" si="0"/>
        <v>#N/A</v>
      </c>
    </row>
    <row r="19" spans="1:72" x14ac:dyDescent="0.35">
      <c r="A19" s="2"/>
      <c r="E19" s="2" t="e">
        <f t="shared" si="16"/>
        <v>#DIV/0!</v>
      </c>
      <c r="G19" s="24"/>
      <c r="Z19" s="24"/>
      <c r="AA19" s="17" t="s">
        <v>14</v>
      </c>
      <c r="AB19" s="24" t="e">
        <f t="shared" si="1"/>
        <v>#N/A</v>
      </c>
      <c r="AC19" s="24" t="e">
        <f t="shared" si="2"/>
        <v>#N/A</v>
      </c>
      <c r="AD19" s="24" t="e">
        <f t="shared" si="3"/>
        <v>#N/A</v>
      </c>
      <c r="AE19" s="24" t="e">
        <f t="shared" si="4"/>
        <v>#N/A</v>
      </c>
      <c r="AF19" s="24" t="e">
        <f t="shared" si="5"/>
        <v>#N/A</v>
      </c>
      <c r="AG19" s="24" t="e">
        <f t="shared" si="6"/>
        <v>#N/A</v>
      </c>
      <c r="AH19" s="24" t="e">
        <f t="shared" si="7"/>
        <v>#N/A</v>
      </c>
      <c r="AI19" s="24" t="e">
        <f t="shared" si="8"/>
        <v>#N/A</v>
      </c>
      <c r="AJ19" s="24"/>
      <c r="AK19" s="24"/>
      <c r="AL19" s="17"/>
      <c r="AP19" s="17">
        <f t="shared" si="17"/>
        <v>0</v>
      </c>
      <c r="AQ19" s="17"/>
      <c r="BL19" s="17" t="s">
        <v>14</v>
      </c>
      <c r="BM19" s="21" t="e">
        <f t="shared" si="9"/>
        <v>#N/A</v>
      </c>
      <c r="BN19" s="21" t="e">
        <f t="shared" si="10"/>
        <v>#N/A</v>
      </c>
      <c r="BO19" s="21" t="e">
        <f t="shared" si="11"/>
        <v>#N/A</v>
      </c>
      <c r="BP19" s="21" t="e">
        <f t="shared" si="12"/>
        <v>#N/A</v>
      </c>
      <c r="BQ19" s="21" t="e">
        <f t="shared" si="13"/>
        <v>#N/A</v>
      </c>
      <c r="BR19" s="21" t="e">
        <f t="shared" si="14"/>
        <v>#N/A</v>
      </c>
      <c r="BS19" s="21" t="e">
        <f t="shared" si="15"/>
        <v>#N/A</v>
      </c>
      <c r="BT19" s="21" t="e">
        <f t="shared" si="0"/>
        <v>#N/A</v>
      </c>
    </row>
    <row r="20" spans="1:72" x14ac:dyDescent="0.35">
      <c r="A20" s="2"/>
      <c r="E20" s="2" t="e">
        <f t="shared" si="16"/>
        <v>#DIV/0!</v>
      </c>
      <c r="AL20" s="17"/>
      <c r="AP20" s="17">
        <f t="shared" si="17"/>
        <v>0</v>
      </c>
      <c r="AQ20" s="17"/>
    </row>
  </sheetData>
  <mergeCells count="2">
    <mergeCell ref="AS1:BS1"/>
    <mergeCell ref="H1:AH1"/>
  </mergeCells>
  <phoneticPr fontId="20" type="noConversion"/>
  <pageMargins left="0.7" right="0.7" top="0.75" bottom="0.75" header="0.3" footer="0.3"/>
  <pageSetup paperSize="9" orientation="portrait" r:id="rId5"/>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BY158"/>
  <sheetViews>
    <sheetView topLeftCell="AV1" zoomScale="70" zoomScaleNormal="70" workbookViewId="0">
      <selection activeCell="BK84" sqref="BK7:BK153"/>
    </sheetView>
  </sheetViews>
  <sheetFormatPr defaultRowHeight="14.5" x14ac:dyDescent="0.35"/>
  <cols>
    <col min="1" max="1" width="11.26953125" customWidth="1"/>
    <col min="2" max="2" width="17.7265625" bestFit="1" customWidth="1"/>
    <col min="3" max="3" width="15.81640625" bestFit="1" customWidth="1"/>
    <col min="4" max="4" width="7.1796875" bestFit="1" customWidth="1"/>
    <col min="5" max="5" width="8.54296875" bestFit="1" customWidth="1"/>
    <col min="6" max="6" width="22" bestFit="1" customWidth="1"/>
    <col min="7" max="7" width="10.54296875" bestFit="1" customWidth="1"/>
    <col min="8" max="8" width="9.7265625" bestFit="1" customWidth="1"/>
    <col min="9" max="9" width="10.54296875" bestFit="1" customWidth="1"/>
    <col min="10" max="11" width="10.7265625" bestFit="1" customWidth="1"/>
    <col min="12" max="22" width="11.26953125" customWidth="1"/>
    <col min="24" max="24" width="13.1796875" bestFit="1" customWidth="1"/>
    <col min="25" max="25" width="17.7265625" bestFit="1" customWidth="1"/>
    <col min="26" max="27" width="28.1796875" bestFit="1" customWidth="1"/>
    <col min="28" max="28" width="17.7265625" bestFit="1" customWidth="1"/>
    <col min="29" max="30" width="28.1796875" bestFit="1" customWidth="1"/>
    <col min="31" max="31" width="17.7265625" bestFit="1" customWidth="1"/>
    <col min="32" max="33" width="28.1796875" bestFit="1" customWidth="1"/>
    <col min="34" max="34" width="22" bestFit="1" customWidth="1"/>
    <col min="35" max="36" width="28.1796875" bestFit="1" customWidth="1"/>
    <col min="37" max="37" width="17.7265625" bestFit="1" customWidth="1"/>
    <col min="38" max="39" width="28.1796875" bestFit="1" customWidth="1"/>
    <col min="40" max="40" width="17.7265625" bestFit="1" customWidth="1"/>
    <col min="41" max="42" width="28.1796875" bestFit="1" customWidth="1"/>
    <col min="43" max="43" width="17.7265625" bestFit="1" customWidth="1"/>
    <col min="44" max="45" width="28.1796875" bestFit="1" customWidth="1"/>
    <col min="46" max="46" width="22.54296875" bestFit="1" customWidth="1"/>
    <col min="47" max="48" width="33" bestFit="1" customWidth="1"/>
    <col min="49" max="49" width="17.26953125" customWidth="1"/>
    <col min="63" max="63" width="72.54296875" bestFit="1" customWidth="1"/>
    <col min="64" max="64" width="15.81640625" bestFit="1" customWidth="1"/>
    <col min="65" max="77" width="3.81640625" bestFit="1" customWidth="1"/>
  </cols>
  <sheetData>
    <row r="1" spans="1:71" s="14" customFormat="1" x14ac:dyDescent="0.35">
      <c r="A1" s="23"/>
      <c r="B1" s="35" t="s">
        <v>361</v>
      </c>
      <c r="C1" s="34"/>
      <c r="D1" s="34"/>
      <c r="E1" s="34"/>
      <c r="F1" s="34"/>
      <c r="G1" s="34"/>
      <c r="H1" s="34"/>
      <c r="I1" s="34"/>
      <c r="J1" s="34"/>
      <c r="K1" s="34"/>
      <c r="L1" s="34"/>
      <c r="M1" s="34"/>
      <c r="N1" s="34"/>
      <c r="O1" s="34"/>
      <c r="P1" s="34"/>
      <c r="Q1" s="34"/>
      <c r="R1" s="34"/>
      <c r="S1" s="34"/>
      <c r="T1" s="34"/>
      <c r="U1" s="23"/>
      <c r="V1" s="23"/>
      <c r="W1" s="38"/>
      <c r="X1" s="35" t="s">
        <v>362</v>
      </c>
      <c r="Y1" s="34"/>
      <c r="Z1" s="34"/>
      <c r="AA1" s="34"/>
      <c r="AB1" s="34"/>
      <c r="AC1" s="34"/>
      <c r="AD1" s="34"/>
      <c r="AE1" s="34"/>
      <c r="AF1" s="34"/>
      <c r="AG1" s="34"/>
      <c r="AH1" s="34"/>
      <c r="AI1" s="34"/>
      <c r="AJ1" s="34"/>
      <c r="AK1" s="34"/>
      <c r="AL1" s="34"/>
      <c r="AM1" s="34"/>
      <c r="AN1" s="34"/>
      <c r="AO1" s="34"/>
      <c r="AP1" s="34"/>
      <c r="AQ1" s="34"/>
      <c r="AR1" s="34"/>
      <c r="AS1" s="34"/>
      <c r="AT1" s="34"/>
      <c r="AU1" s="34"/>
      <c r="AV1" s="34"/>
      <c r="AW1" s="34"/>
      <c r="AX1" s="34"/>
      <c r="AY1" s="34"/>
      <c r="AZ1" s="34"/>
      <c r="BA1" s="34"/>
      <c r="BB1" s="34"/>
      <c r="BC1" s="34"/>
      <c r="BD1" s="34"/>
      <c r="BE1" s="34"/>
      <c r="BF1" s="34"/>
      <c r="BG1" s="34"/>
      <c r="BH1" s="34"/>
    </row>
    <row r="3" spans="1:71" x14ac:dyDescent="0.35">
      <c r="B3" s="15" t="s">
        <v>129</v>
      </c>
      <c r="C3" t="s" vm="2">
        <v>130</v>
      </c>
      <c r="N3" t="s">
        <v>132</v>
      </c>
      <c r="O3" t="s">
        <v>21</v>
      </c>
      <c r="P3" t="s">
        <v>22</v>
      </c>
      <c r="Q3" t="s">
        <v>25</v>
      </c>
      <c r="R3" t="s">
        <v>27</v>
      </c>
      <c r="S3" t="s">
        <v>28</v>
      </c>
      <c r="T3" t="s">
        <v>133</v>
      </c>
      <c r="U3" t="s">
        <v>37</v>
      </c>
      <c r="X3" s="15" t="s">
        <v>129</v>
      </c>
      <c r="Y3" t="s" vm="2">
        <v>130</v>
      </c>
      <c r="BK3" s="15" t="s">
        <v>129</v>
      </c>
      <c r="BL3" t="s" vm="2">
        <v>130</v>
      </c>
    </row>
    <row r="4" spans="1:71" x14ac:dyDescent="0.35">
      <c r="M4" s="17">
        <v>1</v>
      </c>
      <c r="N4" s="21">
        <f>(VLOOKUP($M4,$B$7:$J$1048576,9, FALSE))</f>
        <v>90514</v>
      </c>
      <c r="O4" s="21">
        <f t="shared" ref="O4:O17" si="0">(VLOOKUP($M4,$B$7:$J$1048576,3, FALSE))</f>
        <v>14824</v>
      </c>
      <c r="P4" s="21">
        <f t="shared" ref="P4:P17" si="1">(VLOOKUP($M4,$B$7:$J$1048576,4, FALSE))</f>
        <v>16055</v>
      </c>
      <c r="Q4" s="21">
        <f t="shared" ref="Q4:Q17" si="2">(VLOOKUP($M4,$B$7:$J$1048576,5, FALSE))</f>
        <v>16317</v>
      </c>
      <c r="R4" s="21">
        <f t="shared" ref="R4:R17" si="3">(VLOOKUP($M4,$B$7:$J$1048576,7, FALSE))</f>
        <v>14405</v>
      </c>
      <c r="S4" s="21">
        <f t="shared" ref="S4:S17" si="4">(VLOOKUP($M4,$B$7:$J$1048576,8, FALSE))</f>
        <v>8405</v>
      </c>
      <c r="T4" s="21">
        <f t="shared" ref="T4:T17" si="5">(VLOOKUP($M4,$B$7:$J$1048576,2, FALSE))</f>
        <v>9148</v>
      </c>
      <c r="U4" s="21">
        <f t="shared" ref="U4:U17" si="6">(VLOOKUP($M4,$B$7:$J$1048576,6, FALSE))</f>
        <v>11360</v>
      </c>
      <c r="W4" s="24"/>
      <c r="AN4" s="24"/>
      <c r="AO4" s="24"/>
      <c r="AP4" s="24"/>
      <c r="AQ4" s="24"/>
      <c r="AR4" s="24"/>
      <c r="AS4" s="24"/>
      <c r="AT4" s="24"/>
      <c r="AU4" s="24"/>
      <c r="AV4" s="24"/>
      <c r="AW4" s="24"/>
      <c r="AX4" s="24"/>
      <c r="AY4" s="24"/>
      <c r="AZ4" s="24"/>
      <c r="BA4" s="24"/>
      <c r="BB4" s="24"/>
      <c r="BC4" s="24"/>
      <c r="BD4" s="24"/>
      <c r="BE4" s="24"/>
      <c r="BF4" s="24"/>
      <c r="BG4" s="24"/>
      <c r="BH4" s="24"/>
    </row>
    <row r="5" spans="1:71" x14ac:dyDescent="0.35">
      <c r="B5" s="15" t="s">
        <v>363</v>
      </c>
      <c r="C5" s="15" t="s">
        <v>136</v>
      </c>
      <c r="M5" s="8">
        <v>2</v>
      </c>
      <c r="N5" s="21">
        <f>(VLOOKUP($M5,$B$7:$J$1048576,9, FALSE))</f>
        <v>89902</v>
      </c>
      <c r="O5" s="21">
        <f t="shared" si="0"/>
        <v>14870</v>
      </c>
      <c r="P5" s="21">
        <f t="shared" si="1"/>
        <v>15969</v>
      </c>
      <c r="Q5" s="21">
        <f t="shared" si="2"/>
        <v>16201</v>
      </c>
      <c r="R5" s="21">
        <f t="shared" si="3"/>
        <v>14081</v>
      </c>
      <c r="S5" s="21">
        <f t="shared" si="4"/>
        <v>8350</v>
      </c>
      <c r="T5" s="21">
        <f t="shared" si="5"/>
        <v>9153</v>
      </c>
      <c r="U5" s="21">
        <f t="shared" si="6"/>
        <v>11278</v>
      </c>
      <c r="W5" s="24"/>
      <c r="Y5" s="15" t="s">
        <v>136</v>
      </c>
      <c r="AX5" s="24"/>
      <c r="AZ5" t="s">
        <v>132</v>
      </c>
      <c r="BA5" t="s">
        <v>21</v>
      </c>
      <c r="BB5" t="s">
        <v>22</v>
      </c>
      <c r="BC5" t="s">
        <v>25</v>
      </c>
      <c r="BD5" t="s">
        <v>27</v>
      </c>
      <c r="BE5" t="s">
        <v>28</v>
      </c>
      <c r="BF5" t="s">
        <v>133</v>
      </c>
      <c r="BG5" t="s">
        <v>37</v>
      </c>
      <c r="BK5" s="15" t="s">
        <v>364</v>
      </c>
      <c r="BL5" s="15" t="s">
        <v>136</v>
      </c>
    </row>
    <row r="6" spans="1:71" x14ac:dyDescent="0.35">
      <c r="B6" s="15" t="s">
        <v>134</v>
      </c>
      <c r="C6" t="s">
        <v>24</v>
      </c>
      <c r="D6" t="s">
        <v>21</v>
      </c>
      <c r="E6" t="s">
        <v>22</v>
      </c>
      <c r="F6" t="s">
        <v>138</v>
      </c>
      <c r="G6" t="s">
        <v>26</v>
      </c>
      <c r="H6" t="s">
        <v>27</v>
      </c>
      <c r="I6" t="s">
        <v>28</v>
      </c>
      <c r="J6" t="s">
        <v>139</v>
      </c>
      <c r="M6" s="8">
        <v>3</v>
      </c>
      <c r="N6" s="21">
        <f t="shared" ref="N6:N16" si="7">(VLOOKUP($M6,$B$7:$J$1048576,9, FALSE))</f>
        <v>91563</v>
      </c>
      <c r="O6" s="21">
        <f t="shared" si="0"/>
        <v>14819</v>
      </c>
      <c r="P6" s="21">
        <f t="shared" si="1"/>
        <v>16487</v>
      </c>
      <c r="Q6" s="21">
        <f t="shared" si="2"/>
        <v>16323</v>
      </c>
      <c r="R6" s="21">
        <f t="shared" si="3"/>
        <v>14286</v>
      </c>
      <c r="S6" s="21">
        <f t="shared" si="4"/>
        <v>8656</v>
      </c>
      <c r="T6" s="21">
        <f t="shared" si="5"/>
        <v>9511</v>
      </c>
      <c r="U6" s="21">
        <f t="shared" si="6"/>
        <v>11481</v>
      </c>
      <c r="W6" s="24"/>
      <c r="Y6" t="s">
        <v>24</v>
      </c>
      <c r="AB6" t="s">
        <v>21</v>
      </c>
      <c r="AE6" t="s">
        <v>22</v>
      </c>
      <c r="AH6" t="s">
        <v>138</v>
      </c>
      <c r="AK6" t="s">
        <v>26</v>
      </c>
      <c r="AN6" t="s">
        <v>27</v>
      </c>
      <c r="AQ6" t="s">
        <v>28</v>
      </c>
      <c r="AT6" t="s">
        <v>365</v>
      </c>
      <c r="AU6" t="s">
        <v>366</v>
      </c>
      <c r="AV6" t="s">
        <v>367</v>
      </c>
      <c r="AX6" s="24"/>
      <c r="AY6" s="8">
        <v>1</v>
      </c>
      <c r="AZ6" s="24">
        <f>VLOOKUP($AY6,$X$8:$AV$1048576,24,FALSE)/VLOOKUP($AY6,$X$8:$AV$1048576,23,FALSE)</f>
        <v>0.36055195881300128</v>
      </c>
      <c r="BA6" s="24">
        <f>VLOOKUP($AY6,$X$8:$AV$1048576,6,FALSE)/VLOOKUP($AY6,$X$8:$AV$1048576,5,FALSE)</f>
        <v>0.27779276848354023</v>
      </c>
      <c r="BB6" s="24">
        <f>VLOOKUP($AY6,$X$8:$AV$1048576,9,FALSE)/VLOOKUP($AY6,$X$8:$AV$1048576,8,FALSE)</f>
        <v>0.5332295235129243</v>
      </c>
      <c r="BC6" s="24">
        <f>VLOOKUP($AY6,$X$8:$AV$1048576,12,FALSE)/VLOOKUP($AY6,$X$8:$AV$1048576,11,FALSE)</f>
        <v>0.3124348838634553</v>
      </c>
      <c r="BD6" s="24">
        <f>VLOOKUP($AY6,$X$8:$AV$1048576,18,FALSE)/VLOOKUP($AY6,$X$8:$AV$1048576,17, FALSE)</f>
        <v>0.17653592502603263</v>
      </c>
      <c r="BE6" s="24">
        <f>VLOOKUP($AY6,$X$8:$AV$1048576,21,FALSE)/VLOOKUP($AY6,$X$8:$AV$1048576,20,FALSE)</f>
        <v>0.52385484830458062</v>
      </c>
      <c r="BF6" s="24">
        <f>VLOOKUP($AY6,$X$8:$AV$1048576,3,FALSE)/VLOOKUP($AY6,$X$8:$AV$1048576,2,FALSE)</f>
        <v>0.34663314385658067</v>
      </c>
      <c r="BG6" s="24">
        <f>VLOOKUP($AY6,$X$8:$AV$1048576,15,FALSE)/VLOOKUP($AY6,$X$8:$AV$1048576,14,FALSE)</f>
        <v>0.41734154929577466</v>
      </c>
      <c r="BH6" s="24"/>
      <c r="BK6" s="15" t="s">
        <v>134</v>
      </c>
      <c r="BL6">
        <v>1</v>
      </c>
      <c r="BM6">
        <v>2</v>
      </c>
      <c r="BN6">
        <v>3</v>
      </c>
      <c r="BO6">
        <v>4</v>
      </c>
      <c r="BP6">
        <v>5</v>
      </c>
      <c r="BQ6">
        <v>6</v>
      </c>
      <c r="BR6">
        <v>7</v>
      </c>
      <c r="BS6">
        <v>8</v>
      </c>
    </row>
    <row r="7" spans="1:71" x14ac:dyDescent="0.35">
      <c r="B7" s="16">
        <v>1</v>
      </c>
      <c r="C7">
        <v>9148</v>
      </c>
      <c r="D7">
        <v>14824</v>
      </c>
      <c r="E7">
        <v>16055</v>
      </c>
      <c r="F7">
        <v>16317</v>
      </c>
      <c r="G7">
        <v>11360</v>
      </c>
      <c r="H7">
        <v>14405</v>
      </c>
      <c r="I7">
        <v>8405</v>
      </c>
      <c r="J7">
        <v>90514</v>
      </c>
      <c r="M7" s="8">
        <v>4</v>
      </c>
      <c r="N7" s="21">
        <f t="shared" si="7"/>
        <v>92996</v>
      </c>
      <c r="O7" s="21">
        <f t="shared" si="0"/>
        <v>14995</v>
      </c>
      <c r="P7" s="21">
        <f t="shared" si="1"/>
        <v>16617</v>
      </c>
      <c r="Q7" s="21">
        <f t="shared" si="2"/>
        <v>16772</v>
      </c>
      <c r="R7" s="21">
        <f t="shared" si="3"/>
        <v>14668</v>
      </c>
      <c r="S7" s="21">
        <f t="shared" si="4"/>
        <v>8728</v>
      </c>
      <c r="T7" s="21">
        <f t="shared" si="5"/>
        <v>9528</v>
      </c>
      <c r="U7" s="21">
        <f t="shared" si="6"/>
        <v>11688</v>
      </c>
      <c r="W7" s="24"/>
      <c r="X7" s="15" t="s">
        <v>134</v>
      </c>
      <c r="Y7" t="s">
        <v>363</v>
      </c>
      <c r="Z7" t="s">
        <v>368</v>
      </c>
      <c r="AA7" t="s">
        <v>364</v>
      </c>
      <c r="AB7" t="s">
        <v>363</v>
      </c>
      <c r="AC7" t="s">
        <v>368</v>
      </c>
      <c r="AD7" t="s">
        <v>364</v>
      </c>
      <c r="AE7" t="s">
        <v>363</v>
      </c>
      <c r="AF7" t="s">
        <v>368</v>
      </c>
      <c r="AG7" t="s">
        <v>364</v>
      </c>
      <c r="AH7" t="s">
        <v>363</v>
      </c>
      <c r="AI7" t="s">
        <v>368</v>
      </c>
      <c r="AJ7" t="s">
        <v>364</v>
      </c>
      <c r="AK7" t="s">
        <v>363</v>
      </c>
      <c r="AL7" t="s">
        <v>368</v>
      </c>
      <c r="AM7" t="s">
        <v>364</v>
      </c>
      <c r="AN7" t="s">
        <v>363</v>
      </c>
      <c r="AO7" t="s">
        <v>368</v>
      </c>
      <c r="AP7" t="s">
        <v>364</v>
      </c>
      <c r="AQ7" t="s">
        <v>363</v>
      </c>
      <c r="AR7" t="s">
        <v>368</v>
      </c>
      <c r="AS7" t="s">
        <v>364</v>
      </c>
      <c r="AX7" s="24"/>
      <c r="AY7" s="8">
        <v>2</v>
      </c>
      <c r="AZ7" s="24">
        <f t="shared" ref="AZ7:AZ19" si="8">VLOOKUP($AY7,$X$8:$AV$1048576,24,FALSE)/VLOOKUP($AY7,$X$8:$AV$1048576,23,FALSE)</f>
        <v>0.35808992013525837</v>
      </c>
      <c r="BA7" s="24">
        <f t="shared" ref="BA7:BA19" si="9">VLOOKUP($AY7,$X$8:$AV$1048576,6,FALSE)/VLOOKUP($AY7,$X$8:$AV$1048576,5,FALSE)</f>
        <v>0.28345662407531941</v>
      </c>
      <c r="BB7" s="24">
        <f t="shared" ref="BB7:BB19" si="10">VLOOKUP($AY7,$X$8:$AV$1048576,9,FALSE)/VLOOKUP($AY7,$X$8:$AV$1048576,8,FALSE)</f>
        <v>0.51311916838875316</v>
      </c>
      <c r="BC7" s="24">
        <f t="shared" ref="BC7:BC19" si="11">VLOOKUP($AY7,$X$8:$AV$1048576,12,FALSE)/VLOOKUP($AY7,$X$8:$AV$1048576,11,FALSE)</f>
        <v>0.31528917968026665</v>
      </c>
      <c r="BD7" s="24">
        <f t="shared" ref="BD7:BD19" si="12">VLOOKUP($AY7,$X$8:$AV$1048576,18,FALSE)/VLOOKUP($AY7,$X$8:$AV$1048576,17, FALSE)</f>
        <v>0.17441943043817912</v>
      </c>
      <c r="BE7" s="24">
        <f t="shared" ref="BE7:BE19" si="13">VLOOKUP($AY7,$X$8:$AV$1048576,21,FALSE)/VLOOKUP($AY7,$X$8:$AV$1048576,20,FALSE)</f>
        <v>0.50011976047904194</v>
      </c>
      <c r="BF7" s="24">
        <f t="shared" ref="BF7:BF19" si="14">VLOOKUP($AY7,$X$8:$AV$1048576,3,FALSE)/VLOOKUP($AY7,$X$8:$AV$1048576,2,FALSE)</f>
        <v>0.39790232710586693</v>
      </c>
      <c r="BG7" s="24">
        <f t="shared" ref="BG7:BG19" si="15">VLOOKUP($AY7,$X$8:$AV$1048576,15,FALSE)/VLOOKUP($AY7,$X$8:$AV$1048576,14,FALSE)</f>
        <v>0.39031743216882425</v>
      </c>
      <c r="BH7" s="24"/>
      <c r="BK7" s="16" t="s">
        <v>190</v>
      </c>
      <c r="BL7">
        <v>36</v>
      </c>
      <c r="BM7">
        <v>47</v>
      </c>
      <c r="BN7">
        <v>20</v>
      </c>
      <c r="BO7">
        <v>54</v>
      </c>
      <c r="BP7">
        <v>3</v>
      </c>
      <c r="BQ7">
        <v>99</v>
      </c>
      <c r="BR7">
        <v>62</v>
      </c>
      <c r="BS7">
        <v>8</v>
      </c>
    </row>
    <row r="8" spans="1:71" x14ac:dyDescent="0.35">
      <c r="B8" s="16">
        <v>2</v>
      </c>
      <c r="C8">
        <v>9153</v>
      </c>
      <c r="D8">
        <v>14870</v>
      </c>
      <c r="E8">
        <v>15969</v>
      </c>
      <c r="F8">
        <v>16201</v>
      </c>
      <c r="G8">
        <v>11278</v>
      </c>
      <c r="H8">
        <v>14081</v>
      </c>
      <c r="I8">
        <v>8350</v>
      </c>
      <c r="J8">
        <v>89902</v>
      </c>
      <c r="M8" s="8">
        <v>5</v>
      </c>
      <c r="N8" s="21">
        <f t="shared" si="7"/>
        <v>94493</v>
      </c>
      <c r="O8" s="21">
        <f t="shared" si="0"/>
        <v>14431</v>
      </c>
      <c r="P8" s="21">
        <f t="shared" si="1"/>
        <v>17210</v>
      </c>
      <c r="Q8" s="21">
        <f t="shared" si="2"/>
        <v>16949</v>
      </c>
      <c r="R8" s="21">
        <f t="shared" si="3"/>
        <v>14997</v>
      </c>
      <c r="S8" s="21">
        <f t="shared" si="4"/>
        <v>8989</v>
      </c>
      <c r="T8" s="21">
        <f t="shared" si="5"/>
        <v>9787</v>
      </c>
      <c r="U8" s="21">
        <f t="shared" si="6"/>
        <v>12130</v>
      </c>
      <c r="W8" s="24"/>
      <c r="X8" s="16">
        <v>1</v>
      </c>
      <c r="Y8">
        <v>9148</v>
      </c>
      <c r="Z8">
        <v>3171</v>
      </c>
      <c r="AA8">
        <v>1465</v>
      </c>
      <c r="AB8">
        <v>14824</v>
      </c>
      <c r="AC8">
        <v>4118</v>
      </c>
      <c r="AD8">
        <v>321</v>
      </c>
      <c r="AE8">
        <v>16055</v>
      </c>
      <c r="AF8">
        <v>8561</v>
      </c>
      <c r="AG8">
        <v>5437</v>
      </c>
      <c r="AH8">
        <v>16317</v>
      </c>
      <c r="AI8">
        <v>5098</v>
      </c>
      <c r="AJ8">
        <v>2309</v>
      </c>
      <c r="AK8">
        <v>11360</v>
      </c>
      <c r="AL8">
        <v>4741</v>
      </c>
      <c r="AM8">
        <v>2062</v>
      </c>
      <c r="AN8">
        <v>14405</v>
      </c>
      <c r="AO8">
        <v>2543</v>
      </c>
      <c r="AP8">
        <v>669</v>
      </c>
      <c r="AQ8">
        <v>8405</v>
      </c>
      <c r="AR8">
        <v>4403</v>
      </c>
      <c r="AS8">
        <v>2542</v>
      </c>
      <c r="AT8">
        <v>90514</v>
      </c>
      <c r="AU8">
        <v>32635</v>
      </c>
      <c r="AV8">
        <v>14805</v>
      </c>
      <c r="AX8" s="24"/>
      <c r="AY8" s="8">
        <v>3</v>
      </c>
      <c r="AZ8" s="24">
        <f t="shared" si="8"/>
        <v>0.34483361183010602</v>
      </c>
      <c r="BA8" s="24">
        <f t="shared" si="9"/>
        <v>0.28045077265672447</v>
      </c>
      <c r="BB8" s="24">
        <f t="shared" si="10"/>
        <v>0.49372232668162797</v>
      </c>
      <c r="BC8" s="24">
        <f t="shared" si="11"/>
        <v>0.30662255712797892</v>
      </c>
      <c r="BD8" s="24">
        <f t="shared" si="12"/>
        <v>0.15763684726305474</v>
      </c>
      <c r="BE8" s="24">
        <f t="shared" si="13"/>
        <v>0.50034658040665436</v>
      </c>
      <c r="BF8" s="24">
        <f t="shared" si="14"/>
        <v>0.36452528651035643</v>
      </c>
      <c r="BG8" s="24">
        <f t="shared" si="15"/>
        <v>0.36782510234300148</v>
      </c>
      <c r="BH8" s="24"/>
      <c r="BK8" s="16" t="s">
        <v>191</v>
      </c>
      <c r="BL8">
        <v>4</v>
      </c>
      <c r="BM8">
        <v>1</v>
      </c>
      <c r="BN8">
        <v>3</v>
      </c>
      <c r="BO8">
        <v>5</v>
      </c>
      <c r="BP8">
        <v>1</v>
      </c>
      <c r="BQ8">
        <v>3</v>
      </c>
      <c r="BR8">
        <v>1</v>
      </c>
      <c r="BS8">
        <v>4</v>
      </c>
    </row>
    <row r="9" spans="1:71" x14ac:dyDescent="0.35">
      <c r="B9" s="16">
        <v>3</v>
      </c>
      <c r="C9">
        <v>9511</v>
      </c>
      <c r="D9">
        <v>14819</v>
      </c>
      <c r="E9">
        <v>16487</v>
      </c>
      <c r="F9">
        <v>16323</v>
      </c>
      <c r="G9">
        <v>11481</v>
      </c>
      <c r="H9">
        <v>14286</v>
      </c>
      <c r="I9">
        <v>8656</v>
      </c>
      <c r="J9">
        <v>91563</v>
      </c>
      <c r="M9" s="8">
        <v>6</v>
      </c>
      <c r="N9" s="21">
        <f t="shared" si="7"/>
        <v>91862</v>
      </c>
      <c r="O9" s="21">
        <f t="shared" si="0"/>
        <v>15134</v>
      </c>
      <c r="P9" s="21">
        <f t="shared" si="1"/>
        <v>16291</v>
      </c>
      <c r="Q9" s="21">
        <f t="shared" si="2"/>
        <v>16497</v>
      </c>
      <c r="R9" s="21">
        <f t="shared" si="3"/>
        <v>14997</v>
      </c>
      <c r="S9" s="21">
        <f t="shared" si="4"/>
        <v>8461</v>
      </c>
      <c r="T9" s="21">
        <f t="shared" si="5"/>
        <v>9037</v>
      </c>
      <c r="U9" s="21">
        <f t="shared" si="6"/>
        <v>11445</v>
      </c>
      <c r="W9" s="24"/>
      <c r="X9" s="16">
        <v>2</v>
      </c>
      <c r="Y9">
        <v>9153</v>
      </c>
      <c r="Z9">
        <v>3642</v>
      </c>
      <c r="AA9">
        <v>1747</v>
      </c>
      <c r="AB9">
        <v>14870</v>
      </c>
      <c r="AC9">
        <v>4215</v>
      </c>
      <c r="AD9">
        <v>343</v>
      </c>
      <c r="AE9">
        <v>15969</v>
      </c>
      <c r="AF9">
        <v>8194</v>
      </c>
      <c r="AG9">
        <v>5135</v>
      </c>
      <c r="AH9">
        <v>16201</v>
      </c>
      <c r="AI9">
        <v>5108</v>
      </c>
      <c r="AJ9">
        <v>2387</v>
      </c>
      <c r="AK9">
        <v>11278</v>
      </c>
      <c r="AL9">
        <v>4402</v>
      </c>
      <c r="AM9">
        <v>2016</v>
      </c>
      <c r="AN9">
        <v>14081</v>
      </c>
      <c r="AO9">
        <v>2456</v>
      </c>
      <c r="AP9">
        <v>645</v>
      </c>
      <c r="AQ9">
        <v>8350</v>
      </c>
      <c r="AR9">
        <v>4176</v>
      </c>
      <c r="AS9">
        <v>2399</v>
      </c>
      <c r="AT9">
        <v>89902</v>
      </c>
      <c r="AU9">
        <v>32193</v>
      </c>
      <c r="AV9">
        <v>14672</v>
      </c>
      <c r="AX9" s="24"/>
      <c r="AY9" s="8">
        <v>4</v>
      </c>
      <c r="AZ9" s="24">
        <f t="shared" si="8"/>
        <v>0.36865026452750654</v>
      </c>
      <c r="BA9" s="24">
        <f t="shared" si="9"/>
        <v>0.28862954318106038</v>
      </c>
      <c r="BB9" s="24">
        <f t="shared" si="10"/>
        <v>0.5321056749112355</v>
      </c>
      <c r="BC9" s="24">
        <f t="shared" si="11"/>
        <v>0.34569520629620798</v>
      </c>
      <c r="BD9" s="24">
        <f t="shared" si="12"/>
        <v>0.14923643305154077</v>
      </c>
      <c r="BE9" s="24">
        <f t="shared" si="13"/>
        <v>0.53551787351054081</v>
      </c>
      <c r="BF9" s="24">
        <f t="shared" si="14"/>
        <v>0.39546599496221663</v>
      </c>
      <c r="BG9" s="24">
        <f t="shared" si="15"/>
        <v>0.40075290896646132</v>
      </c>
      <c r="BH9" s="24"/>
      <c r="BK9" s="16" t="s">
        <v>192</v>
      </c>
      <c r="BL9">
        <v>19</v>
      </c>
      <c r="BM9">
        <v>49</v>
      </c>
      <c r="BN9">
        <v>28</v>
      </c>
      <c r="BO9">
        <v>18</v>
      </c>
      <c r="BP9">
        <v>26</v>
      </c>
      <c r="BQ9">
        <v>35</v>
      </c>
      <c r="BR9">
        <v>31</v>
      </c>
      <c r="BS9">
        <v>14</v>
      </c>
    </row>
    <row r="10" spans="1:71" x14ac:dyDescent="0.35">
      <c r="B10" s="16">
        <v>4</v>
      </c>
      <c r="C10">
        <v>9528</v>
      </c>
      <c r="D10">
        <v>14995</v>
      </c>
      <c r="E10">
        <v>16617</v>
      </c>
      <c r="F10">
        <v>16772</v>
      </c>
      <c r="G10">
        <v>11688</v>
      </c>
      <c r="H10">
        <v>14668</v>
      </c>
      <c r="I10">
        <v>8728</v>
      </c>
      <c r="J10">
        <v>92996</v>
      </c>
      <c r="M10" s="8">
        <v>7</v>
      </c>
      <c r="N10" s="21">
        <f t="shared" si="7"/>
        <v>87747</v>
      </c>
      <c r="O10" s="21">
        <f t="shared" si="0"/>
        <v>14576</v>
      </c>
      <c r="P10" s="21">
        <f t="shared" si="1"/>
        <v>16227</v>
      </c>
      <c r="Q10" s="21">
        <f t="shared" si="2"/>
        <v>15479</v>
      </c>
      <c r="R10" s="21">
        <f t="shared" si="3"/>
        <v>13636</v>
      </c>
      <c r="S10" s="21">
        <f t="shared" si="4"/>
        <v>7959</v>
      </c>
      <c r="T10" s="21">
        <f t="shared" si="5"/>
        <v>8825</v>
      </c>
      <c r="U10" s="21">
        <f t="shared" si="6"/>
        <v>11045</v>
      </c>
      <c r="W10" s="24"/>
      <c r="X10" s="16">
        <v>3</v>
      </c>
      <c r="Y10">
        <v>9511</v>
      </c>
      <c r="Z10">
        <v>3467</v>
      </c>
      <c r="AA10">
        <v>1436</v>
      </c>
      <c r="AB10">
        <v>14819</v>
      </c>
      <c r="AC10">
        <v>4156</v>
      </c>
      <c r="AD10">
        <v>284</v>
      </c>
      <c r="AE10">
        <v>16487</v>
      </c>
      <c r="AF10">
        <v>8140</v>
      </c>
      <c r="AG10">
        <v>4642</v>
      </c>
      <c r="AH10">
        <v>16323</v>
      </c>
      <c r="AI10">
        <v>5005</v>
      </c>
      <c r="AJ10">
        <v>2244</v>
      </c>
      <c r="AK10">
        <v>11481</v>
      </c>
      <c r="AL10">
        <v>4223</v>
      </c>
      <c r="AM10">
        <v>1717</v>
      </c>
      <c r="AN10">
        <v>14286</v>
      </c>
      <c r="AO10">
        <v>2252</v>
      </c>
      <c r="AP10">
        <v>434</v>
      </c>
      <c r="AQ10">
        <v>8656</v>
      </c>
      <c r="AR10">
        <v>4331</v>
      </c>
      <c r="AS10">
        <v>2343</v>
      </c>
      <c r="AT10">
        <v>91563</v>
      </c>
      <c r="AU10">
        <v>31574</v>
      </c>
      <c r="AV10">
        <v>13100</v>
      </c>
      <c r="AX10" s="24"/>
      <c r="AY10" s="8">
        <v>5</v>
      </c>
      <c r="AZ10" s="24">
        <f t="shared" si="8"/>
        <v>0.3214206343327019</v>
      </c>
      <c r="BA10" s="24">
        <f t="shared" si="9"/>
        <v>0.26935070334696143</v>
      </c>
      <c r="BB10" s="24">
        <f t="shared" si="10"/>
        <v>0.42823939570017433</v>
      </c>
      <c r="BC10" s="24">
        <f t="shared" si="11"/>
        <v>0.28969260723346513</v>
      </c>
      <c r="BD10" s="24">
        <f t="shared" si="12"/>
        <v>0.14909648596385944</v>
      </c>
      <c r="BE10" s="24">
        <f t="shared" si="13"/>
        <v>0.48470352653242854</v>
      </c>
      <c r="BF10" s="24">
        <f t="shared" si="14"/>
        <v>0.36793705936446308</v>
      </c>
      <c r="BG10" s="24">
        <f t="shared" si="15"/>
        <v>0.33066776586974445</v>
      </c>
      <c r="BH10" s="24"/>
      <c r="BK10" s="16" t="s">
        <v>193</v>
      </c>
      <c r="BL10">
        <v>31</v>
      </c>
      <c r="BM10">
        <v>27</v>
      </c>
      <c r="BN10">
        <v>10</v>
      </c>
      <c r="BO10">
        <v>12</v>
      </c>
      <c r="BP10">
        <v>32</v>
      </c>
      <c r="BQ10">
        <v>34</v>
      </c>
      <c r="BR10">
        <v>36</v>
      </c>
      <c r="BS10">
        <v>23</v>
      </c>
    </row>
    <row r="11" spans="1:71" x14ac:dyDescent="0.35">
      <c r="B11" s="16">
        <v>5</v>
      </c>
      <c r="C11">
        <v>9787</v>
      </c>
      <c r="D11">
        <v>14431</v>
      </c>
      <c r="E11">
        <v>17210</v>
      </c>
      <c r="F11">
        <v>16949</v>
      </c>
      <c r="G11">
        <v>12130</v>
      </c>
      <c r="H11">
        <v>14997</v>
      </c>
      <c r="I11">
        <v>8989</v>
      </c>
      <c r="J11">
        <v>94493</v>
      </c>
      <c r="M11" s="8">
        <v>8</v>
      </c>
      <c r="N11" s="21">
        <f t="shared" si="7"/>
        <v>88928</v>
      </c>
      <c r="O11" s="21">
        <f t="shared" si="0"/>
        <v>14233</v>
      </c>
      <c r="P11" s="21">
        <f t="shared" si="1"/>
        <v>16782</v>
      </c>
      <c r="Q11" s="21">
        <f t="shared" si="2"/>
        <v>15626</v>
      </c>
      <c r="R11" s="21">
        <f t="shared" si="3"/>
        <v>13790</v>
      </c>
      <c r="S11" s="21">
        <f t="shared" si="4"/>
        <v>8300</v>
      </c>
      <c r="T11" s="21">
        <f t="shared" si="5"/>
        <v>9123</v>
      </c>
      <c r="U11" s="21">
        <f t="shared" si="6"/>
        <v>11074</v>
      </c>
      <c r="W11" s="24"/>
      <c r="X11" s="16">
        <v>4</v>
      </c>
      <c r="Y11">
        <v>9528</v>
      </c>
      <c r="Z11">
        <v>3768</v>
      </c>
      <c r="AA11">
        <v>1802</v>
      </c>
      <c r="AB11">
        <v>14995</v>
      </c>
      <c r="AC11">
        <v>4328</v>
      </c>
      <c r="AD11">
        <v>361</v>
      </c>
      <c r="AE11">
        <v>16617</v>
      </c>
      <c r="AF11">
        <v>8842</v>
      </c>
      <c r="AG11">
        <v>5364</v>
      </c>
      <c r="AH11">
        <v>16772</v>
      </c>
      <c r="AI11">
        <v>5798</v>
      </c>
      <c r="AJ11">
        <v>2568</v>
      </c>
      <c r="AK11">
        <v>11688</v>
      </c>
      <c r="AL11">
        <v>4684</v>
      </c>
      <c r="AM11">
        <v>2018</v>
      </c>
      <c r="AN11">
        <v>14668</v>
      </c>
      <c r="AO11">
        <v>2189</v>
      </c>
      <c r="AP11">
        <v>322</v>
      </c>
      <c r="AQ11">
        <v>8728</v>
      </c>
      <c r="AR11">
        <v>4674</v>
      </c>
      <c r="AS11">
        <v>2679</v>
      </c>
      <c r="AT11">
        <v>92996</v>
      </c>
      <c r="AU11">
        <v>34283</v>
      </c>
      <c r="AV11">
        <v>15114</v>
      </c>
      <c r="AX11" s="24"/>
      <c r="AY11" s="8">
        <v>6</v>
      </c>
      <c r="AZ11" s="24">
        <f t="shared" si="8"/>
        <v>0.42244889072739544</v>
      </c>
      <c r="BA11" s="24">
        <f t="shared" si="9"/>
        <v>0.31577904057089995</v>
      </c>
      <c r="BB11" s="24">
        <f t="shared" si="10"/>
        <v>0.56755263642501996</v>
      </c>
      <c r="BC11" s="24">
        <f t="shared" si="11"/>
        <v>0.36909741165060311</v>
      </c>
      <c r="BD11" s="24">
        <f t="shared" si="12"/>
        <v>0.21424284856971396</v>
      </c>
      <c r="BE11" s="24">
        <f t="shared" si="13"/>
        <v>0.62474884765394156</v>
      </c>
      <c r="BF11" s="24">
        <f t="shared" si="14"/>
        <v>0.54509239791966357</v>
      </c>
      <c r="BG11" s="24">
        <f t="shared" si="15"/>
        <v>0.46028833551769333</v>
      </c>
      <c r="BH11" s="24"/>
      <c r="BK11" s="16" t="s">
        <v>369</v>
      </c>
      <c r="BL11">
        <v>0</v>
      </c>
      <c r="BS11">
        <v>0</v>
      </c>
    </row>
    <row r="12" spans="1:71" x14ac:dyDescent="0.35">
      <c r="B12" s="16">
        <v>6</v>
      </c>
      <c r="C12">
        <v>9037</v>
      </c>
      <c r="D12">
        <v>15134</v>
      </c>
      <c r="E12">
        <v>16291</v>
      </c>
      <c r="F12">
        <v>16497</v>
      </c>
      <c r="G12">
        <v>11445</v>
      </c>
      <c r="H12">
        <v>14997</v>
      </c>
      <c r="I12">
        <v>8461</v>
      </c>
      <c r="J12">
        <v>91862</v>
      </c>
      <c r="M12" s="8">
        <v>9</v>
      </c>
      <c r="N12" s="21" t="e">
        <f t="shared" si="7"/>
        <v>#N/A</v>
      </c>
      <c r="O12" s="21" t="e">
        <f t="shared" si="0"/>
        <v>#N/A</v>
      </c>
      <c r="P12" s="21" t="e">
        <f t="shared" si="1"/>
        <v>#N/A</v>
      </c>
      <c r="Q12" s="21" t="e">
        <f t="shared" si="2"/>
        <v>#N/A</v>
      </c>
      <c r="R12" s="21" t="e">
        <f t="shared" si="3"/>
        <v>#N/A</v>
      </c>
      <c r="S12" s="21" t="e">
        <f t="shared" si="4"/>
        <v>#N/A</v>
      </c>
      <c r="T12" s="21" t="e">
        <f t="shared" si="5"/>
        <v>#N/A</v>
      </c>
      <c r="U12" s="21" t="e">
        <f t="shared" si="6"/>
        <v>#N/A</v>
      </c>
      <c r="W12" s="24"/>
      <c r="X12" s="16">
        <v>5</v>
      </c>
      <c r="Y12">
        <v>9787</v>
      </c>
      <c r="Z12">
        <v>3601</v>
      </c>
      <c r="AA12">
        <v>1743</v>
      </c>
      <c r="AB12">
        <v>14431</v>
      </c>
      <c r="AC12">
        <v>3887</v>
      </c>
      <c r="AD12">
        <v>333</v>
      </c>
      <c r="AE12">
        <v>17210</v>
      </c>
      <c r="AF12">
        <v>7370</v>
      </c>
      <c r="AG12">
        <v>3947</v>
      </c>
      <c r="AH12">
        <v>16949</v>
      </c>
      <c r="AI12">
        <v>4910</v>
      </c>
      <c r="AJ12">
        <v>2035</v>
      </c>
      <c r="AK12">
        <v>12130</v>
      </c>
      <c r="AL12">
        <v>4011</v>
      </c>
      <c r="AM12">
        <v>1385</v>
      </c>
      <c r="AN12">
        <v>14997</v>
      </c>
      <c r="AO12">
        <v>2236</v>
      </c>
      <c r="AP12">
        <v>391</v>
      </c>
      <c r="AQ12">
        <v>8989</v>
      </c>
      <c r="AR12">
        <v>4357</v>
      </c>
      <c r="AS12">
        <v>2395</v>
      </c>
      <c r="AT12">
        <v>94493</v>
      </c>
      <c r="AU12">
        <v>30372</v>
      </c>
      <c r="AV12">
        <v>12229</v>
      </c>
      <c r="AX12" s="24"/>
      <c r="AY12" s="8">
        <v>7</v>
      </c>
      <c r="AZ12" s="24">
        <f t="shared" si="8"/>
        <v>0.34828541146705871</v>
      </c>
      <c r="BA12" s="24">
        <f t="shared" si="9"/>
        <v>0.29912184412733261</v>
      </c>
      <c r="BB12" s="24">
        <f t="shared" si="10"/>
        <v>0.43877488137055526</v>
      </c>
      <c r="BC12" s="24">
        <f t="shared" si="11"/>
        <v>0.30899928935977777</v>
      </c>
      <c r="BD12" s="24">
        <f t="shared" si="12"/>
        <v>0.17072455265473746</v>
      </c>
      <c r="BE12" s="24">
        <f t="shared" si="13"/>
        <v>0.52519160698580225</v>
      </c>
      <c r="BF12" s="24">
        <f t="shared" si="14"/>
        <v>0.43524079320113312</v>
      </c>
      <c r="BG12" s="24">
        <f t="shared" si="15"/>
        <v>0.35753734721593483</v>
      </c>
      <c r="BH12" s="24"/>
      <c r="BK12" s="16" t="s">
        <v>194</v>
      </c>
      <c r="BL12">
        <v>59</v>
      </c>
      <c r="BM12">
        <v>37</v>
      </c>
      <c r="BN12">
        <v>20</v>
      </c>
      <c r="BO12">
        <v>34</v>
      </c>
      <c r="BP12">
        <v>66</v>
      </c>
      <c r="BQ12">
        <v>79</v>
      </c>
      <c r="BR12">
        <v>38</v>
      </c>
      <c r="BS12">
        <v>29</v>
      </c>
    </row>
    <row r="13" spans="1:71" x14ac:dyDescent="0.35">
      <c r="B13" s="16">
        <v>7</v>
      </c>
      <c r="C13">
        <v>8825</v>
      </c>
      <c r="D13">
        <v>14576</v>
      </c>
      <c r="E13">
        <v>16227</v>
      </c>
      <c r="F13">
        <v>15479</v>
      </c>
      <c r="G13">
        <v>11045</v>
      </c>
      <c r="H13">
        <v>13636</v>
      </c>
      <c r="I13">
        <v>7959</v>
      </c>
      <c r="J13">
        <v>87747</v>
      </c>
      <c r="M13" s="8">
        <v>10</v>
      </c>
      <c r="N13" s="21" t="e">
        <f>(VLOOKUP($M13,$B$7:$J$1048576,9, FALSE))</f>
        <v>#N/A</v>
      </c>
      <c r="O13" s="21" t="e">
        <f t="shared" si="0"/>
        <v>#N/A</v>
      </c>
      <c r="P13" s="21" t="e">
        <f t="shared" si="1"/>
        <v>#N/A</v>
      </c>
      <c r="Q13" s="21" t="e">
        <f t="shared" si="2"/>
        <v>#N/A</v>
      </c>
      <c r="R13" s="21" t="e">
        <f t="shared" si="3"/>
        <v>#N/A</v>
      </c>
      <c r="S13" s="21" t="e">
        <f t="shared" si="4"/>
        <v>#N/A</v>
      </c>
      <c r="T13" s="21" t="e">
        <f t="shared" si="5"/>
        <v>#N/A</v>
      </c>
      <c r="U13" s="21" t="e">
        <f t="shared" si="6"/>
        <v>#N/A</v>
      </c>
      <c r="W13" s="24"/>
      <c r="X13" s="16">
        <v>6</v>
      </c>
      <c r="Y13">
        <v>9037</v>
      </c>
      <c r="Z13">
        <v>4926</v>
      </c>
      <c r="AA13">
        <v>2980</v>
      </c>
      <c r="AB13">
        <v>15134</v>
      </c>
      <c r="AC13">
        <v>4779</v>
      </c>
      <c r="AD13">
        <v>500</v>
      </c>
      <c r="AE13">
        <v>16291</v>
      </c>
      <c r="AF13">
        <v>9246</v>
      </c>
      <c r="AG13">
        <v>6190</v>
      </c>
      <c r="AH13">
        <v>16497</v>
      </c>
      <c r="AI13">
        <v>6089</v>
      </c>
      <c r="AJ13">
        <v>2973</v>
      </c>
      <c r="AK13">
        <v>11445</v>
      </c>
      <c r="AL13">
        <v>5268</v>
      </c>
      <c r="AM13">
        <v>2718</v>
      </c>
      <c r="AN13">
        <v>14997</v>
      </c>
      <c r="AO13">
        <v>3213</v>
      </c>
      <c r="AP13">
        <v>821</v>
      </c>
      <c r="AQ13">
        <v>8461</v>
      </c>
      <c r="AR13">
        <v>5286</v>
      </c>
      <c r="AS13">
        <v>3372</v>
      </c>
      <c r="AT13">
        <v>91862</v>
      </c>
      <c r="AU13">
        <v>38807</v>
      </c>
      <c r="AV13">
        <v>19554</v>
      </c>
      <c r="AX13" s="24"/>
      <c r="AY13" s="8">
        <v>8</v>
      </c>
      <c r="AZ13" s="24">
        <f t="shared" si="8"/>
        <v>0.29517137459517812</v>
      </c>
      <c r="BA13" s="24">
        <f t="shared" si="9"/>
        <v>0.28286376730134194</v>
      </c>
      <c r="BB13" s="24">
        <f t="shared" si="10"/>
        <v>0.40740078655702539</v>
      </c>
      <c r="BC13" s="24">
        <f t="shared" si="11"/>
        <v>0.24369640343018048</v>
      </c>
      <c r="BD13" s="24">
        <f t="shared" si="12"/>
        <v>0.10775924583031182</v>
      </c>
      <c r="BE13" s="24">
        <f t="shared" si="13"/>
        <v>0.47698795180722892</v>
      </c>
      <c r="BF13" s="24">
        <f t="shared" si="14"/>
        <v>0.27786912199934233</v>
      </c>
      <c r="BG13" s="24">
        <f t="shared" si="15"/>
        <v>0.32490518331226298</v>
      </c>
      <c r="BH13" s="24"/>
      <c r="BK13" s="16" t="s">
        <v>195</v>
      </c>
      <c r="BL13">
        <v>38</v>
      </c>
      <c r="BM13">
        <v>24</v>
      </c>
      <c r="BN13">
        <v>21</v>
      </c>
      <c r="BO13">
        <v>28</v>
      </c>
      <c r="BP13">
        <v>40</v>
      </c>
      <c r="BQ13">
        <v>49</v>
      </c>
      <c r="BR13">
        <v>58</v>
      </c>
      <c r="BS13">
        <v>18</v>
      </c>
    </row>
    <row r="14" spans="1:71" x14ac:dyDescent="0.35">
      <c r="B14" s="16">
        <v>8</v>
      </c>
      <c r="C14">
        <v>9123</v>
      </c>
      <c r="D14">
        <v>14233</v>
      </c>
      <c r="E14">
        <v>16782</v>
      </c>
      <c r="F14">
        <v>15626</v>
      </c>
      <c r="G14">
        <v>11074</v>
      </c>
      <c r="H14">
        <v>13790</v>
      </c>
      <c r="I14">
        <v>8300</v>
      </c>
      <c r="J14">
        <v>88928</v>
      </c>
      <c r="M14" s="8">
        <v>11</v>
      </c>
      <c r="N14" s="21" t="e">
        <f t="shared" si="7"/>
        <v>#N/A</v>
      </c>
      <c r="O14" s="21" t="e">
        <f t="shared" si="0"/>
        <v>#N/A</v>
      </c>
      <c r="P14" s="21" t="e">
        <f t="shared" si="1"/>
        <v>#N/A</v>
      </c>
      <c r="Q14" s="21" t="e">
        <f t="shared" si="2"/>
        <v>#N/A</v>
      </c>
      <c r="R14" s="21" t="e">
        <f t="shared" si="3"/>
        <v>#N/A</v>
      </c>
      <c r="S14" s="21" t="e">
        <f t="shared" si="4"/>
        <v>#N/A</v>
      </c>
      <c r="T14" s="21" t="e">
        <f t="shared" si="5"/>
        <v>#N/A</v>
      </c>
      <c r="U14" s="21" t="e">
        <f t="shared" si="6"/>
        <v>#N/A</v>
      </c>
      <c r="W14" s="24"/>
      <c r="X14" s="16">
        <v>7</v>
      </c>
      <c r="Y14">
        <v>8825</v>
      </c>
      <c r="Z14">
        <v>3841</v>
      </c>
      <c r="AA14">
        <v>2005</v>
      </c>
      <c r="AB14">
        <v>14576</v>
      </c>
      <c r="AC14">
        <v>4360</v>
      </c>
      <c r="AD14">
        <v>474</v>
      </c>
      <c r="AE14">
        <v>16227</v>
      </c>
      <c r="AF14">
        <v>7120</v>
      </c>
      <c r="AG14">
        <v>3898</v>
      </c>
      <c r="AH14">
        <v>15479</v>
      </c>
      <c r="AI14">
        <v>4783</v>
      </c>
      <c r="AJ14">
        <v>2151</v>
      </c>
      <c r="AK14">
        <v>11045</v>
      </c>
      <c r="AL14">
        <v>3949</v>
      </c>
      <c r="AM14">
        <v>1530</v>
      </c>
      <c r="AN14">
        <v>13636</v>
      </c>
      <c r="AO14">
        <v>2328</v>
      </c>
      <c r="AP14">
        <v>468</v>
      </c>
      <c r="AQ14">
        <v>7959</v>
      </c>
      <c r="AR14">
        <v>4180</v>
      </c>
      <c r="AS14">
        <v>2379</v>
      </c>
      <c r="AT14">
        <v>87747</v>
      </c>
      <c r="AU14">
        <v>30561</v>
      </c>
      <c r="AV14">
        <v>12905</v>
      </c>
      <c r="AX14" s="24"/>
      <c r="AY14" s="8">
        <v>9</v>
      </c>
      <c r="AZ14" s="24" t="e">
        <f t="shared" si="8"/>
        <v>#N/A</v>
      </c>
      <c r="BA14" s="24" t="e">
        <f t="shared" si="9"/>
        <v>#N/A</v>
      </c>
      <c r="BB14" s="24" t="e">
        <f t="shared" si="10"/>
        <v>#N/A</v>
      </c>
      <c r="BC14" s="24" t="e">
        <f t="shared" si="11"/>
        <v>#N/A</v>
      </c>
      <c r="BD14" s="24" t="e">
        <f t="shared" si="12"/>
        <v>#N/A</v>
      </c>
      <c r="BE14" s="24" t="e">
        <f t="shared" si="13"/>
        <v>#N/A</v>
      </c>
      <c r="BF14" s="24" t="e">
        <f t="shared" si="14"/>
        <v>#N/A</v>
      </c>
      <c r="BG14" s="24" t="e">
        <f t="shared" si="15"/>
        <v>#N/A</v>
      </c>
      <c r="BH14" s="24"/>
      <c r="BK14" s="16" t="s">
        <v>196</v>
      </c>
      <c r="BL14">
        <v>108</v>
      </c>
      <c r="BM14">
        <v>53</v>
      </c>
      <c r="BN14">
        <v>34</v>
      </c>
      <c r="BO14">
        <v>55</v>
      </c>
      <c r="BP14">
        <v>75</v>
      </c>
      <c r="BQ14">
        <v>130</v>
      </c>
      <c r="BR14">
        <v>72</v>
      </c>
      <c r="BS14">
        <v>49</v>
      </c>
    </row>
    <row r="15" spans="1:71" x14ac:dyDescent="0.35">
      <c r="M15" s="8">
        <v>12</v>
      </c>
      <c r="N15" s="21" t="e">
        <f t="shared" si="7"/>
        <v>#N/A</v>
      </c>
      <c r="O15" s="21" t="e">
        <f t="shared" si="0"/>
        <v>#N/A</v>
      </c>
      <c r="P15" s="21" t="e">
        <f t="shared" si="1"/>
        <v>#N/A</v>
      </c>
      <c r="Q15" s="21" t="e">
        <f t="shared" si="2"/>
        <v>#N/A</v>
      </c>
      <c r="R15" s="21" t="e">
        <f t="shared" si="3"/>
        <v>#N/A</v>
      </c>
      <c r="S15" s="21" t="e">
        <f t="shared" si="4"/>
        <v>#N/A</v>
      </c>
      <c r="T15" s="21" t="e">
        <f t="shared" si="5"/>
        <v>#N/A</v>
      </c>
      <c r="U15" s="21" t="e">
        <f t="shared" si="6"/>
        <v>#N/A</v>
      </c>
      <c r="W15" s="24"/>
      <c r="X15" s="16">
        <v>8</v>
      </c>
      <c r="Y15">
        <v>9123</v>
      </c>
      <c r="Z15">
        <v>2535</v>
      </c>
      <c r="AA15">
        <v>986</v>
      </c>
      <c r="AB15">
        <v>14233</v>
      </c>
      <c r="AC15">
        <v>4026</v>
      </c>
      <c r="AD15">
        <v>312</v>
      </c>
      <c r="AE15">
        <v>16782</v>
      </c>
      <c r="AF15">
        <v>6837</v>
      </c>
      <c r="AG15">
        <v>3330</v>
      </c>
      <c r="AH15">
        <v>15626</v>
      </c>
      <c r="AI15">
        <v>3808</v>
      </c>
      <c r="AJ15">
        <v>1095</v>
      </c>
      <c r="AK15">
        <v>11074</v>
      </c>
      <c r="AL15">
        <v>3598</v>
      </c>
      <c r="AM15">
        <v>1001</v>
      </c>
      <c r="AN15">
        <v>13790</v>
      </c>
      <c r="AO15">
        <v>1486</v>
      </c>
      <c r="AP15">
        <v>196</v>
      </c>
      <c r="AQ15">
        <v>8300</v>
      </c>
      <c r="AR15">
        <v>3959</v>
      </c>
      <c r="AS15">
        <v>2101</v>
      </c>
      <c r="AT15">
        <v>88928</v>
      </c>
      <c r="AU15">
        <v>26249</v>
      </c>
      <c r="AV15">
        <v>9021</v>
      </c>
      <c r="AX15" s="24"/>
      <c r="AY15" s="8">
        <v>10</v>
      </c>
      <c r="AZ15" s="24" t="e">
        <f t="shared" si="8"/>
        <v>#N/A</v>
      </c>
      <c r="BA15" s="24" t="e">
        <f t="shared" si="9"/>
        <v>#N/A</v>
      </c>
      <c r="BB15" s="24" t="e">
        <f t="shared" si="10"/>
        <v>#N/A</v>
      </c>
      <c r="BC15" s="24" t="e">
        <f t="shared" si="11"/>
        <v>#N/A</v>
      </c>
      <c r="BD15" s="24" t="e">
        <f t="shared" si="12"/>
        <v>#N/A</v>
      </c>
      <c r="BE15" s="24" t="e">
        <f t="shared" si="13"/>
        <v>#N/A</v>
      </c>
      <c r="BF15" s="24" t="e">
        <f t="shared" si="14"/>
        <v>#N/A</v>
      </c>
      <c r="BG15" s="24" t="e">
        <f t="shared" si="15"/>
        <v>#N/A</v>
      </c>
      <c r="BH15" s="24"/>
      <c r="BK15" s="16" t="s">
        <v>197</v>
      </c>
      <c r="BL15">
        <v>1</v>
      </c>
      <c r="BM15">
        <v>1</v>
      </c>
      <c r="BN15">
        <v>0</v>
      </c>
      <c r="BO15">
        <v>2</v>
      </c>
      <c r="BP15">
        <v>0</v>
      </c>
      <c r="BQ15">
        <v>0</v>
      </c>
      <c r="BR15">
        <v>0</v>
      </c>
      <c r="BS15">
        <v>2</v>
      </c>
    </row>
    <row r="16" spans="1:71" x14ac:dyDescent="0.35">
      <c r="M16" s="8">
        <v>13</v>
      </c>
      <c r="N16" s="21" t="e">
        <f t="shared" si="7"/>
        <v>#N/A</v>
      </c>
      <c r="O16" s="21" t="e">
        <f t="shared" si="0"/>
        <v>#N/A</v>
      </c>
      <c r="P16" s="21" t="e">
        <f t="shared" si="1"/>
        <v>#N/A</v>
      </c>
      <c r="Q16" s="21" t="e">
        <f t="shared" si="2"/>
        <v>#N/A</v>
      </c>
      <c r="R16" s="21" t="e">
        <f t="shared" si="3"/>
        <v>#N/A</v>
      </c>
      <c r="S16" s="21" t="e">
        <f t="shared" si="4"/>
        <v>#N/A</v>
      </c>
      <c r="T16" s="21" t="e">
        <f t="shared" si="5"/>
        <v>#N/A</v>
      </c>
      <c r="U16" s="21" t="e">
        <f t="shared" si="6"/>
        <v>#N/A</v>
      </c>
      <c r="W16" s="24"/>
      <c r="AX16" s="24"/>
      <c r="AY16" s="8">
        <v>11</v>
      </c>
      <c r="AZ16" s="24" t="e">
        <f t="shared" si="8"/>
        <v>#N/A</v>
      </c>
      <c r="BA16" s="24" t="e">
        <f t="shared" si="9"/>
        <v>#N/A</v>
      </c>
      <c r="BB16" s="24" t="e">
        <f t="shared" si="10"/>
        <v>#N/A</v>
      </c>
      <c r="BC16" s="24" t="e">
        <f t="shared" si="11"/>
        <v>#N/A</v>
      </c>
      <c r="BD16" s="24" t="e">
        <f t="shared" si="12"/>
        <v>#N/A</v>
      </c>
      <c r="BE16" s="24" t="e">
        <f t="shared" si="13"/>
        <v>#N/A</v>
      </c>
      <c r="BF16" s="24" t="e">
        <f t="shared" si="14"/>
        <v>#N/A</v>
      </c>
      <c r="BG16" s="24" t="e">
        <f t="shared" si="15"/>
        <v>#N/A</v>
      </c>
      <c r="BH16" s="24"/>
      <c r="BK16" s="16" t="s">
        <v>198</v>
      </c>
      <c r="BL16">
        <v>207</v>
      </c>
      <c r="BM16">
        <v>216</v>
      </c>
      <c r="BN16">
        <v>190</v>
      </c>
      <c r="BO16">
        <v>156</v>
      </c>
      <c r="BP16">
        <v>65</v>
      </c>
      <c r="BQ16">
        <v>169</v>
      </c>
      <c r="BR16">
        <v>134</v>
      </c>
      <c r="BS16">
        <v>48</v>
      </c>
    </row>
    <row r="17" spans="13:71" x14ac:dyDescent="0.35">
      <c r="M17" s="8">
        <v>14</v>
      </c>
      <c r="N17" s="21" t="e">
        <f>(VLOOKUP($M17,$B$7:$J$1048576,9, FALSE))</f>
        <v>#N/A</v>
      </c>
      <c r="O17" s="21" t="e">
        <f t="shared" si="0"/>
        <v>#N/A</v>
      </c>
      <c r="P17" s="21" t="e">
        <f t="shared" si="1"/>
        <v>#N/A</v>
      </c>
      <c r="Q17" s="21" t="e">
        <f t="shared" si="2"/>
        <v>#N/A</v>
      </c>
      <c r="R17" s="21" t="e">
        <f t="shared" si="3"/>
        <v>#N/A</v>
      </c>
      <c r="S17" s="21" t="e">
        <f t="shared" si="4"/>
        <v>#N/A</v>
      </c>
      <c r="T17" s="21" t="e">
        <f t="shared" si="5"/>
        <v>#N/A</v>
      </c>
      <c r="U17" s="21" t="e">
        <f t="shared" si="6"/>
        <v>#N/A</v>
      </c>
      <c r="W17" s="24"/>
      <c r="AX17" s="24"/>
      <c r="AY17" s="8">
        <v>12</v>
      </c>
      <c r="AZ17" s="24" t="e">
        <f t="shared" si="8"/>
        <v>#N/A</v>
      </c>
      <c r="BA17" s="24" t="e">
        <f t="shared" si="9"/>
        <v>#N/A</v>
      </c>
      <c r="BB17" s="24" t="e">
        <f t="shared" si="10"/>
        <v>#N/A</v>
      </c>
      <c r="BC17" s="24" t="e">
        <f t="shared" si="11"/>
        <v>#N/A</v>
      </c>
      <c r="BD17" s="24" t="e">
        <f t="shared" si="12"/>
        <v>#N/A</v>
      </c>
      <c r="BE17" s="24" t="e">
        <f t="shared" si="13"/>
        <v>#N/A</v>
      </c>
      <c r="BF17" s="24" t="e">
        <f t="shared" si="14"/>
        <v>#N/A</v>
      </c>
      <c r="BG17" s="24" t="e">
        <f t="shared" si="15"/>
        <v>#N/A</v>
      </c>
      <c r="BH17" s="24"/>
      <c r="BK17" s="16" t="s">
        <v>199</v>
      </c>
      <c r="BL17">
        <v>89</v>
      </c>
      <c r="BM17">
        <v>53</v>
      </c>
      <c r="BN17">
        <v>17</v>
      </c>
      <c r="BO17">
        <v>84</v>
      </c>
      <c r="BP17">
        <v>61</v>
      </c>
      <c r="BQ17">
        <v>111</v>
      </c>
      <c r="BR17">
        <v>33</v>
      </c>
      <c r="BS17">
        <v>3</v>
      </c>
    </row>
    <row r="18" spans="13:71" x14ac:dyDescent="0.35">
      <c r="AY18" s="8">
        <v>13</v>
      </c>
      <c r="AZ18" s="24" t="e">
        <f t="shared" si="8"/>
        <v>#N/A</v>
      </c>
      <c r="BA18" s="24" t="e">
        <f t="shared" si="9"/>
        <v>#N/A</v>
      </c>
      <c r="BB18" s="24" t="e">
        <f t="shared" si="10"/>
        <v>#N/A</v>
      </c>
      <c r="BC18" s="24" t="e">
        <f t="shared" si="11"/>
        <v>#N/A</v>
      </c>
      <c r="BD18" s="24" t="e">
        <f t="shared" si="12"/>
        <v>#N/A</v>
      </c>
      <c r="BE18" s="24" t="e">
        <f t="shared" si="13"/>
        <v>#N/A</v>
      </c>
      <c r="BF18" s="24" t="e">
        <f t="shared" si="14"/>
        <v>#N/A</v>
      </c>
      <c r="BG18" s="24" t="e">
        <f t="shared" si="15"/>
        <v>#N/A</v>
      </c>
      <c r="BH18" s="24"/>
      <c r="BK18" s="16" t="s">
        <v>200</v>
      </c>
      <c r="BL18">
        <v>132</v>
      </c>
      <c r="BM18">
        <v>72</v>
      </c>
      <c r="BN18">
        <v>69</v>
      </c>
      <c r="BO18">
        <v>68</v>
      </c>
      <c r="BP18">
        <v>52</v>
      </c>
      <c r="BQ18">
        <v>117</v>
      </c>
      <c r="BR18">
        <v>74</v>
      </c>
      <c r="BS18">
        <v>29</v>
      </c>
    </row>
    <row r="19" spans="13:71" x14ac:dyDescent="0.35">
      <c r="AY19" s="8">
        <v>14</v>
      </c>
      <c r="AZ19" s="24" t="e">
        <f t="shared" si="8"/>
        <v>#N/A</v>
      </c>
      <c r="BA19" s="24" t="e">
        <f t="shared" si="9"/>
        <v>#N/A</v>
      </c>
      <c r="BB19" s="24" t="e">
        <f t="shared" si="10"/>
        <v>#N/A</v>
      </c>
      <c r="BC19" s="24" t="e">
        <f t="shared" si="11"/>
        <v>#N/A</v>
      </c>
      <c r="BD19" s="24" t="e">
        <f t="shared" si="12"/>
        <v>#N/A</v>
      </c>
      <c r="BE19" s="24" t="e">
        <f t="shared" si="13"/>
        <v>#N/A</v>
      </c>
      <c r="BF19" s="24" t="e">
        <f t="shared" si="14"/>
        <v>#N/A</v>
      </c>
      <c r="BG19" s="24" t="e">
        <f t="shared" si="15"/>
        <v>#N/A</v>
      </c>
      <c r="BH19" s="24"/>
      <c r="BK19" s="16" t="s">
        <v>201</v>
      </c>
      <c r="BL19">
        <v>16</v>
      </c>
      <c r="BM19">
        <v>9</v>
      </c>
      <c r="BN19">
        <v>33</v>
      </c>
      <c r="BO19">
        <v>12</v>
      </c>
      <c r="BP19">
        <v>19</v>
      </c>
      <c r="BQ19">
        <v>5</v>
      </c>
      <c r="BR19">
        <v>16</v>
      </c>
      <c r="BS19">
        <v>1</v>
      </c>
    </row>
    <row r="20" spans="13:71" x14ac:dyDescent="0.35">
      <c r="BK20" s="16" t="s">
        <v>202</v>
      </c>
      <c r="BL20">
        <v>40</v>
      </c>
      <c r="BM20">
        <v>43</v>
      </c>
      <c r="BN20">
        <v>48</v>
      </c>
      <c r="BO20">
        <v>24</v>
      </c>
      <c r="BP20">
        <v>36</v>
      </c>
      <c r="BQ20">
        <v>47</v>
      </c>
      <c r="BR20">
        <v>36</v>
      </c>
      <c r="BS20">
        <v>27</v>
      </c>
    </row>
    <row r="21" spans="13:71" x14ac:dyDescent="0.35">
      <c r="BK21" s="16" t="s">
        <v>203</v>
      </c>
      <c r="BL21">
        <v>103</v>
      </c>
      <c r="BM21">
        <v>141</v>
      </c>
      <c r="BN21">
        <v>64</v>
      </c>
      <c r="BO21">
        <v>93</v>
      </c>
      <c r="BP21">
        <v>72</v>
      </c>
      <c r="BQ21">
        <v>169</v>
      </c>
      <c r="BR21">
        <v>134</v>
      </c>
      <c r="BS21">
        <v>34</v>
      </c>
    </row>
    <row r="22" spans="13:71" x14ac:dyDescent="0.35">
      <c r="W22" s="24"/>
      <c r="X22" s="24"/>
      <c r="Y22" s="24"/>
      <c r="Z22" s="24"/>
      <c r="AA22" s="24"/>
      <c r="AB22" s="24"/>
      <c r="AC22" s="24"/>
      <c r="AD22" s="24"/>
      <c r="AE22" s="24"/>
      <c r="AF22" s="24"/>
      <c r="AG22" s="24"/>
      <c r="AH22" s="24"/>
      <c r="AI22" s="24"/>
      <c r="AJ22" s="24"/>
      <c r="AK22" s="24"/>
      <c r="AL22" s="24"/>
      <c r="AM22" s="24"/>
      <c r="AN22" s="24"/>
      <c r="AO22" s="24"/>
      <c r="AP22" s="24"/>
      <c r="AQ22" s="24"/>
      <c r="AR22" s="24"/>
      <c r="AS22" s="24"/>
      <c r="AT22" s="24"/>
      <c r="AU22" s="24"/>
      <c r="AV22" s="24"/>
      <c r="AW22" s="24"/>
      <c r="AX22" s="24"/>
      <c r="AZ22" t="s">
        <v>132</v>
      </c>
      <c r="BA22" t="s">
        <v>21</v>
      </c>
      <c r="BB22" t="s">
        <v>22</v>
      </c>
      <c r="BC22" t="s">
        <v>25</v>
      </c>
      <c r="BD22" s="36" t="s">
        <v>27</v>
      </c>
      <c r="BE22" s="42" t="s">
        <v>28</v>
      </c>
      <c r="BF22" s="42" t="s">
        <v>133</v>
      </c>
      <c r="BG22" s="42" t="s">
        <v>37</v>
      </c>
      <c r="BH22" s="42"/>
      <c r="BK22" s="16" t="s">
        <v>370</v>
      </c>
      <c r="BL22">
        <v>0</v>
      </c>
      <c r="BM22">
        <v>0</v>
      </c>
      <c r="BN22">
        <v>0</v>
      </c>
      <c r="BO22">
        <v>0</v>
      </c>
      <c r="BP22">
        <v>1</v>
      </c>
      <c r="BQ22">
        <v>0</v>
      </c>
      <c r="BR22">
        <v>0</v>
      </c>
      <c r="BS22">
        <v>0</v>
      </c>
    </row>
    <row r="23" spans="13:71" x14ac:dyDescent="0.35">
      <c r="W23" s="24"/>
      <c r="X23" s="24"/>
      <c r="Y23" s="24"/>
      <c r="Z23" s="24"/>
      <c r="AA23" s="24"/>
      <c r="AB23" s="24"/>
      <c r="AC23" s="24"/>
      <c r="AD23" s="24"/>
      <c r="AE23" s="24"/>
      <c r="AF23" s="24"/>
      <c r="AG23" s="24"/>
      <c r="AH23" s="24"/>
      <c r="AI23" s="24"/>
      <c r="AJ23" s="24"/>
      <c r="AK23" s="24"/>
      <c r="AL23" s="24"/>
      <c r="AM23" s="24"/>
      <c r="AN23" s="24"/>
      <c r="AO23" s="24"/>
      <c r="AP23" s="24"/>
      <c r="AQ23" s="24"/>
      <c r="AR23" s="24"/>
      <c r="AS23" s="24"/>
      <c r="AT23" s="24"/>
      <c r="AU23" s="24"/>
      <c r="AV23" s="24"/>
      <c r="AW23" s="24"/>
      <c r="AX23" s="24"/>
      <c r="AY23" s="8">
        <v>1</v>
      </c>
      <c r="AZ23" s="24">
        <f t="shared" ref="AZ23:AZ36" si="16">VLOOKUP($AY23,$X$8:$AV$1048576,25,FALSE)/VLOOKUP($AY23,$X$8:$AV$1048576,23,FALSE)</f>
        <v>0.16356585721545838</v>
      </c>
      <c r="BA23" s="24">
        <f t="shared" ref="BA23:BA36" si="17">VLOOKUP($AY23,$X$8:$AV$1048576,7,FALSE)/VLOOKUP($AY23,$X$8:$AV$1048576,5,FALSE)</f>
        <v>2.1654074473826227E-2</v>
      </c>
      <c r="BB23" s="24">
        <f t="shared" ref="BB23:BB36" si="18">VLOOKUP($AY23,$X$8:$AV$1048576,10,FALSE)/VLOOKUP($AY23,$X$8:$AV$1048576,8,FALSE)</f>
        <v>0.33864839613827469</v>
      </c>
      <c r="BC23" s="24">
        <f t="shared" ref="BC23:BC36" si="19">VLOOKUP($AY23,$X$8:$AV$1048576,13,FALSE)/VLOOKUP($AY23,$X$8:$AV$1048576,11,FALSE)</f>
        <v>0.14150885579457009</v>
      </c>
      <c r="BD23" s="24">
        <f t="shared" ref="BD23:BD36" si="20">VLOOKUP($AY23,$X$8:$AV$1048576,19,FALSE)/VLOOKUP($AY23,$X$8:$AV$1048576,17,FALSE)</f>
        <v>4.6442207566817079E-2</v>
      </c>
      <c r="BE23" s="24">
        <f t="shared" ref="BE23:BE36" si="21">VLOOKUP($AY23,$X$8:$AV$1048576,22,FALSE)/VLOOKUP($AY23,$X$8:$AV$1048576,20,FALSE)</f>
        <v>0.30243902439024389</v>
      </c>
      <c r="BF23" s="24">
        <f t="shared" ref="BF23:BF36" si="22">VLOOKUP($AY23,$X$8:$AV$1048576,4,FALSE)/VLOOKUP($AY23,$X$8:$AV$1048576,2,FALSE)</f>
        <v>0.16014429383471798</v>
      </c>
      <c r="BG23" s="24">
        <f t="shared" ref="BG23:BG36" si="23">VLOOKUP($AY23,$X$8:$AV$1048576,16,FALSE)/VLOOKUP($AY23,$X$8:$AV$1048576,14,FALSE)</f>
        <v>0.18151408450704226</v>
      </c>
      <c r="BH23" s="24"/>
      <c r="BK23" s="16" t="s">
        <v>371</v>
      </c>
      <c r="BR23">
        <v>0</v>
      </c>
      <c r="BS23">
        <v>0</v>
      </c>
    </row>
    <row r="24" spans="13:71" x14ac:dyDescent="0.35">
      <c r="W24" s="24"/>
      <c r="X24" s="24"/>
      <c r="Y24" s="24"/>
      <c r="Z24" s="24"/>
      <c r="AA24" s="24"/>
      <c r="AB24" s="24"/>
      <c r="AC24" s="24"/>
      <c r="AD24" s="24"/>
      <c r="AE24" s="24"/>
      <c r="AF24" s="24"/>
      <c r="AG24" s="24"/>
      <c r="AH24" s="24"/>
      <c r="AI24" s="24"/>
      <c r="AJ24" s="24"/>
      <c r="AK24" s="24"/>
      <c r="AL24" s="24"/>
      <c r="AM24" s="24"/>
      <c r="AN24" s="24"/>
      <c r="AO24" s="24"/>
      <c r="AP24" s="24"/>
      <c r="AQ24" s="24"/>
      <c r="AR24" s="24"/>
      <c r="AS24" s="24"/>
      <c r="AT24" s="24"/>
      <c r="AU24" s="24"/>
      <c r="AV24" s="24"/>
      <c r="AW24" s="24"/>
      <c r="AX24" s="24"/>
      <c r="AY24" s="8">
        <v>2</v>
      </c>
      <c r="AZ24" s="24">
        <f t="shared" si="16"/>
        <v>0.16319992881137238</v>
      </c>
      <c r="BA24" s="24">
        <f t="shared" si="17"/>
        <v>2.3066577000672495E-2</v>
      </c>
      <c r="BB24" s="24">
        <f t="shared" si="18"/>
        <v>0.32156052351430897</v>
      </c>
      <c r="BC24" s="24">
        <f t="shared" si="19"/>
        <v>0.14733658416147152</v>
      </c>
      <c r="BD24" s="24">
        <f t="shared" si="20"/>
        <v>4.5806405795042963E-2</v>
      </c>
      <c r="BE24" s="24">
        <f t="shared" si="21"/>
        <v>0.28730538922155691</v>
      </c>
      <c r="BF24" s="24">
        <f t="shared" si="22"/>
        <v>0.19086638260679559</v>
      </c>
      <c r="BG24" s="24">
        <f t="shared" si="23"/>
        <v>0.17875509842170598</v>
      </c>
      <c r="BH24" s="24"/>
      <c r="BK24" s="16" t="s">
        <v>372</v>
      </c>
      <c r="BL24">
        <v>0</v>
      </c>
      <c r="BM24">
        <v>2</v>
      </c>
      <c r="BN24">
        <v>0</v>
      </c>
      <c r="BO24">
        <v>0</v>
      </c>
      <c r="BP24">
        <v>0</v>
      </c>
      <c r="BQ24">
        <v>1</v>
      </c>
      <c r="BR24">
        <v>0</v>
      </c>
      <c r="BS24">
        <v>1</v>
      </c>
    </row>
    <row r="25" spans="13:71" x14ac:dyDescent="0.35">
      <c r="W25" s="24"/>
      <c r="X25" s="24"/>
      <c r="Y25" s="24"/>
      <c r="Z25" s="24"/>
      <c r="AA25" s="24"/>
      <c r="AB25" s="24"/>
      <c r="AC25" s="24"/>
      <c r="AD25" s="24"/>
      <c r="AE25" s="24"/>
      <c r="AF25" s="24"/>
      <c r="AG25" s="24"/>
      <c r="AH25" s="24"/>
      <c r="AI25" s="24"/>
      <c r="AJ25" s="24"/>
      <c r="AK25" s="24"/>
      <c r="AL25" s="24"/>
      <c r="AM25" s="24"/>
      <c r="AN25" s="24"/>
      <c r="AO25" s="24"/>
      <c r="AP25" s="24"/>
      <c r="AQ25" s="24"/>
      <c r="AR25" s="24"/>
      <c r="AS25" s="24"/>
      <c r="AT25" s="24"/>
      <c r="AU25" s="24"/>
      <c r="AV25" s="24"/>
      <c r="AW25" s="24"/>
      <c r="AX25" s="24"/>
      <c r="AY25" s="8">
        <v>3</v>
      </c>
      <c r="AZ25" s="24">
        <f t="shared" si="16"/>
        <v>0.14307089108045826</v>
      </c>
      <c r="BA25" s="24">
        <f t="shared" si="17"/>
        <v>1.916458600445374E-2</v>
      </c>
      <c r="BB25" s="24">
        <f t="shared" si="18"/>
        <v>0.28155516467519864</v>
      </c>
      <c r="BC25" s="24">
        <f t="shared" si="19"/>
        <v>0.13747472891012683</v>
      </c>
      <c r="BD25" s="24">
        <f t="shared" si="20"/>
        <v>3.0379392412151755E-2</v>
      </c>
      <c r="BE25" s="24">
        <f t="shared" si="21"/>
        <v>0.27067929759704251</v>
      </c>
      <c r="BF25" s="24">
        <f t="shared" si="22"/>
        <v>0.15098307223215224</v>
      </c>
      <c r="BG25" s="24">
        <f t="shared" si="23"/>
        <v>0.14955143280202074</v>
      </c>
      <c r="BH25" s="24"/>
      <c r="BK25" s="16" t="s">
        <v>204</v>
      </c>
      <c r="BL25">
        <v>0</v>
      </c>
      <c r="BM25">
        <v>0</v>
      </c>
      <c r="BN25">
        <v>3</v>
      </c>
      <c r="BO25">
        <v>0</v>
      </c>
      <c r="BP25">
        <v>0</v>
      </c>
      <c r="BQ25">
        <v>2</v>
      </c>
      <c r="BR25">
        <v>8</v>
      </c>
      <c r="BS25">
        <v>7</v>
      </c>
    </row>
    <row r="26" spans="13:71" x14ac:dyDescent="0.35">
      <c r="W26" s="24"/>
      <c r="X26" s="24"/>
      <c r="Y26" s="24"/>
      <c r="Z26" s="24"/>
      <c r="AA26" s="24"/>
      <c r="AB26" s="24"/>
      <c r="AC26" s="24"/>
      <c r="AD26" s="24"/>
      <c r="AE26" s="24"/>
      <c r="AF26" s="24"/>
      <c r="AG26" s="24"/>
      <c r="AH26" s="24"/>
      <c r="AI26" s="24"/>
      <c r="AJ26" s="24"/>
      <c r="AK26" s="24"/>
      <c r="AL26" s="24"/>
      <c r="AM26" s="24"/>
      <c r="AN26" s="24"/>
      <c r="AO26" s="24"/>
      <c r="AP26" s="24"/>
      <c r="AQ26" s="24"/>
      <c r="AR26" s="24"/>
      <c r="AS26" s="24"/>
      <c r="AT26" s="24"/>
      <c r="AU26" s="24"/>
      <c r="AV26" s="24"/>
      <c r="AW26" s="24"/>
      <c r="AX26" s="24"/>
      <c r="AY26" s="8">
        <v>4</v>
      </c>
      <c r="AZ26" s="24">
        <f t="shared" si="16"/>
        <v>0.16252311927394728</v>
      </c>
      <c r="BA26" s="24">
        <f t="shared" si="17"/>
        <v>2.4074691563854618E-2</v>
      </c>
      <c r="BB26" s="24">
        <f t="shared" si="18"/>
        <v>0.32280194981043508</v>
      </c>
      <c r="BC26" s="24">
        <f t="shared" si="19"/>
        <v>0.15311233007393274</v>
      </c>
      <c r="BD26" s="24">
        <f t="shared" si="20"/>
        <v>2.1952549768202892E-2</v>
      </c>
      <c r="BE26" s="24">
        <f t="shared" si="21"/>
        <v>0.30694317140238314</v>
      </c>
      <c r="BF26" s="24">
        <f t="shared" si="22"/>
        <v>0.18912678421494541</v>
      </c>
      <c r="BG26" s="24">
        <f t="shared" si="23"/>
        <v>0.17265571526351814</v>
      </c>
      <c r="BH26" s="24"/>
      <c r="BK26" s="16" t="s">
        <v>205</v>
      </c>
      <c r="BL26">
        <v>22</v>
      </c>
      <c r="BM26">
        <v>2</v>
      </c>
      <c r="BN26">
        <v>1</v>
      </c>
      <c r="BO26">
        <v>3</v>
      </c>
      <c r="BP26">
        <v>2</v>
      </c>
      <c r="BQ26">
        <v>17</v>
      </c>
      <c r="BR26">
        <v>7</v>
      </c>
      <c r="BS26">
        <v>2</v>
      </c>
    </row>
    <row r="27" spans="13:71" x14ac:dyDescent="0.35">
      <c r="W27" s="24"/>
      <c r="X27" s="24"/>
      <c r="Y27" s="24"/>
      <c r="Z27" s="24"/>
      <c r="AA27" s="24"/>
      <c r="AB27" s="24"/>
      <c r="AC27" s="24"/>
      <c r="AD27" s="24"/>
      <c r="AE27" s="24"/>
      <c r="AF27" s="24"/>
      <c r="AG27" s="24"/>
      <c r="AH27" s="24"/>
      <c r="AI27" s="24"/>
      <c r="AJ27" s="24"/>
      <c r="AK27" s="24"/>
      <c r="AL27" s="24"/>
      <c r="AM27" s="24"/>
      <c r="AN27" s="24"/>
      <c r="AO27" s="24"/>
      <c r="AP27" s="24"/>
      <c r="AQ27" s="24"/>
      <c r="AR27" s="24"/>
      <c r="AS27" s="24"/>
      <c r="AT27" s="24"/>
      <c r="AU27" s="24"/>
      <c r="AV27" s="24"/>
      <c r="AW27" s="24"/>
      <c r="AX27" s="24"/>
      <c r="AY27" s="8">
        <v>5</v>
      </c>
      <c r="AZ27" s="24">
        <f t="shared" si="16"/>
        <v>0.12941699385139641</v>
      </c>
      <c r="BA27" s="24">
        <f t="shared" si="17"/>
        <v>2.3075323955373848E-2</v>
      </c>
      <c r="BB27" s="24">
        <f t="shared" si="18"/>
        <v>0.22934340499709471</v>
      </c>
      <c r="BC27" s="24">
        <f t="shared" si="19"/>
        <v>0.12006608059472536</v>
      </c>
      <c r="BD27" s="24">
        <f t="shared" si="20"/>
        <v>2.6071881042875243E-2</v>
      </c>
      <c r="BE27" s="24">
        <f t="shared" si="21"/>
        <v>0.2664367560351541</v>
      </c>
      <c r="BF27" s="24">
        <f t="shared" si="22"/>
        <v>0.17809338918974149</v>
      </c>
      <c r="BG27" s="24">
        <f t="shared" si="23"/>
        <v>0.11417971970321517</v>
      </c>
      <c r="BH27" s="24"/>
      <c r="BK27" s="16" t="s">
        <v>206</v>
      </c>
      <c r="BL27">
        <v>106</v>
      </c>
      <c r="BM27">
        <v>138</v>
      </c>
      <c r="BN27">
        <v>101</v>
      </c>
      <c r="BO27">
        <v>99</v>
      </c>
      <c r="BP27">
        <v>94</v>
      </c>
      <c r="BQ27">
        <v>155</v>
      </c>
      <c r="BR27">
        <v>101</v>
      </c>
      <c r="BS27">
        <v>90</v>
      </c>
    </row>
    <row r="28" spans="13:71" x14ac:dyDescent="0.35">
      <c r="W28" s="24"/>
      <c r="X28" s="24"/>
      <c r="Y28" s="24"/>
      <c r="Z28" s="24"/>
      <c r="AA28" s="24"/>
      <c r="AB28" s="24"/>
      <c r="AC28" s="24"/>
      <c r="AD28" s="24"/>
      <c r="AE28" s="24"/>
      <c r="AF28" s="24"/>
      <c r="AG28" s="24"/>
      <c r="AH28" s="24"/>
      <c r="AI28" s="24"/>
      <c r="AJ28" s="24"/>
      <c r="AK28" s="24"/>
      <c r="AL28" s="24"/>
      <c r="AM28" s="24"/>
      <c r="AN28" s="24"/>
      <c r="AO28" s="24"/>
      <c r="AP28" s="24"/>
      <c r="AQ28" s="24"/>
      <c r="AR28" s="24"/>
      <c r="AS28" s="24"/>
      <c r="AT28" s="24"/>
      <c r="AU28" s="24"/>
      <c r="AV28" s="24"/>
      <c r="AW28" s="24"/>
      <c r="AX28" s="24"/>
      <c r="AY28" s="8">
        <v>6</v>
      </c>
      <c r="AZ28" s="24">
        <f t="shared" si="16"/>
        <v>0.2128627724194988</v>
      </c>
      <c r="BA28" s="24">
        <f t="shared" si="17"/>
        <v>3.3038192150125545E-2</v>
      </c>
      <c r="BB28" s="24">
        <f t="shared" si="18"/>
        <v>0.37996439752010314</v>
      </c>
      <c r="BC28" s="24">
        <f t="shared" si="19"/>
        <v>0.18021458446990363</v>
      </c>
      <c r="BD28" s="24">
        <f t="shared" si="20"/>
        <v>5.4744282189771287E-2</v>
      </c>
      <c r="BE28" s="24">
        <f t="shared" si="21"/>
        <v>0.39853445219241224</v>
      </c>
      <c r="BF28" s="24">
        <f t="shared" si="22"/>
        <v>0.32975544981741728</v>
      </c>
      <c r="BG28" s="24">
        <f t="shared" si="23"/>
        <v>0.23748361730013107</v>
      </c>
      <c r="BH28" s="24"/>
      <c r="BK28" s="16" t="s">
        <v>207</v>
      </c>
      <c r="BL28">
        <v>62</v>
      </c>
      <c r="BM28">
        <v>98</v>
      </c>
      <c r="BN28">
        <v>37</v>
      </c>
      <c r="BO28">
        <v>77</v>
      </c>
      <c r="BP28">
        <v>54</v>
      </c>
      <c r="BQ28">
        <v>70</v>
      </c>
      <c r="BR28">
        <v>87</v>
      </c>
      <c r="BS28">
        <v>27</v>
      </c>
    </row>
    <row r="29" spans="13:71" x14ac:dyDescent="0.35">
      <c r="W29" s="24"/>
      <c r="X29" s="24"/>
      <c r="Y29" s="24"/>
      <c r="Z29" s="24"/>
      <c r="AA29" s="24"/>
      <c r="AB29" s="24"/>
      <c r="AC29" s="24"/>
      <c r="AD29" s="24"/>
      <c r="AE29" s="24"/>
      <c r="AF29" s="24"/>
      <c r="AG29" s="24"/>
      <c r="AH29" s="24"/>
      <c r="AI29" s="24"/>
      <c r="AJ29" s="24"/>
      <c r="AK29" s="24"/>
      <c r="AL29" s="24"/>
      <c r="AM29" s="24"/>
      <c r="AN29" s="24"/>
      <c r="AO29" s="24"/>
      <c r="AP29" s="24"/>
      <c r="AQ29" s="24"/>
      <c r="AR29" s="24"/>
      <c r="AS29" s="24"/>
      <c r="AT29" s="24"/>
      <c r="AU29" s="24"/>
      <c r="AV29" s="24"/>
      <c r="AW29" s="24"/>
      <c r="AX29" s="24"/>
      <c r="AY29" s="8">
        <v>7</v>
      </c>
      <c r="AZ29" s="24">
        <f t="shared" si="16"/>
        <v>0.14707055511869352</v>
      </c>
      <c r="BA29" s="24">
        <f t="shared" si="17"/>
        <v>3.2519209659714603E-2</v>
      </c>
      <c r="BB29" s="24">
        <f t="shared" si="18"/>
        <v>0.24021692241326184</v>
      </c>
      <c r="BC29" s="24">
        <f t="shared" si="19"/>
        <v>0.1389624652755346</v>
      </c>
      <c r="BD29" s="24">
        <f t="shared" si="20"/>
        <v>3.4320915224405987E-2</v>
      </c>
      <c r="BE29" s="24">
        <f t="shared" si="21"/>
        <v>0.29890689785148888</v>
      </c>
      <c r="BF29" s="24">
        <f t="shared" si="22"/>
        <v>0.22719546742209631</v>
      </c>
      <c r="BG29" s="24">
        <f t="shared" si="23"/>
        <v>0.13852421910366683</v>
      </c>
      <c r="BH29" s="24"/>
      <c r="BK29" s="16" t="s">
        <v>208</v>
      </c>
      <c r="BL29">
        <v>6</v>
      </c>
      <c r="BM29">
        <v>16</v>
      </c>
      <c r="BN29">
        <v>11</v>
      </c>
      <c r="BO29">
        <v>8</v>
      </c>
      <c r="BP29">
        <v>17</v>
      </c>
      <c r="BQ29">
        <v>8</v>
      </c>
      <c r="BR29">
        <v>7</v>
      </c>
      <c r="BS29">
        <v>9</v>
      </c>
    </row>
    <row r="30" spans="13:71" x14ac:dyDescent="0.35">
      <c r="W30" s="24"/>
      <c r="X30" s="24"/>
      <c r="Y30" s="24"/>
      <c r="Z30" s="24"/>
      <c r="AA30" s="24"/>
      <c r="AB30" s="24"/>
      <c r="AC30" s="24"/>
      <c r="AD30" s="24"/>
      <c r="AE30" s="24"/>
      <c r="AF30" s="24"/>
      <c r="AG30" s="24"/>
      <c r="AH30" s="24"/>
      <c r="AI30" s="24"/>
      <c r="AJ30" s="24"/>
      <c r="AK30" s="24"/>
      <c r="AL30" s="24"/>
      <c r="AM30" s="24"/>
      <c r="AN30" s="24"/>
      <c r="AO30" s="24"/>
      <c r="AP30" s="24"/>
      <c r="AQ30" s="24"/>
      <c r="AR30" s="24"/>
      <c r="AS30" s="24"/>
      <c r="AT30" s="24"/>
      <c r="AU30" s="24"/>
      <c r="AV30" s="24"/>
      <c r="AW30" s="24"/>
      <c r="AX30" s="24"/>
      <c r="AY30" s="8">
        <v>8</v>
      </c>
      <c r="AZ30" s="24">
        <f t="shared" si="16"/>
        <v>0.10144161568909679</v>
      </c>
      <c r="BA30" s="24">
        <f t="shared" si="17"/>
        <v>2.1920888077004146E-2</v>
      </c>
      <c r="BB30" s="24">
        <f t="shared" si="18"/>
        <v>0.19842688594923133</v>
      </c>
      <c r="BC30" s="24">
        <f t="shared" si="19"/>
        <v>7.0075515167029312E-2</v>
      </c>
      <c r="BD30" s="24">
        <f t="shared" si="20"/>
        <v>1.4213197969543147E-2</v>
      </c>
      <c r="BE30" s="24">
        <f t="shared" si="21"/>
        <v>0.25313253012048192</v>
      </c>
      <c r="BF30" s="24">
        <f t="shared" si="22"/>
        <v>0.10807848295516825</v>
      </c>
      <c r="BG30" s="24">
        <f t="shared" si="23"/>
        <v>9.0391908975979776E-2</v>
      </c>
      <c r="BH30" s="24"/>
      <c r="BK30" s="16" t="s">
        <v>209</v>
      </c>
      <c r="BL30">
        <v>0</v>
      </c>
      <c r="BM30">
        <v>7</v>
      </c>
      <c r="BN30">
        <v>1</v>
      </c>
      <c r="BO30">
        <v>0</v>
      </c>
      <c r="BP30">
        <v>6</v>
      </c>
      <c r="BQ30">
        <v>7</v>
      </c>
      <c r="BR30">
        <v>10</v>
      </c>
      <c r="BS30">
        <v>1</v>
      </c>
    </row>
    <row r="31" spans="13:71" x14ac:dyDescent="0.35">
      <c r="W31" s="24"/>
      <c r="X31" s="24"/>
      <c r="Y31" s="24"/>
      <c r="Z31" s="24"/>
      <c r="AA31" s="24"/>
      <c r="AB31" s="24"/>
      <c r="AC31" s="24"/>
      <c r="AD31" s="24"/>
      <c r="AE31" s="24"/>
      <c r="AF31" s="24"/>
      <c r="AG31" s="24"/>
      <c r="AH31" s="24"/>
      <c r="AI31" s="24"/>
      <c r="AJ31" s="24"/>
      <c r="AK31" s="24"/>
      <c r="AL31" s="24"/>
      <c r="AM31" s="24"/>
      <c r="AN31" s="24"/>
      <c r="AO31" s="24"/>
      <c r="AP31" s="24"/>
      <c r="AQ31" s="24"/>
      <c r="AR31" s="24"/>
      <c r="AS31" s="24"/>
      <c r="AT31" s="24"/>
      <c r="AU31" s="24"/>
      <c r="AV31" s="24"/>
      <c r="AW31" s="24"/>
      <c r="AX31" s="24"/>
      <c r="AY31" s="8">
        <v>9</v>
      </c>
      <c r="AZ31" s="24" t="e">
        <f t="shared" si="16"/>
        <v>#N/A</v>
      </c>
      <c r="BA31" s="24" t="e">
        <f t="shared" si="17"/>
        <v>#N/A</v>
      </c>
      <c r="BB31" s="24" t="e">
        <f t="shared" si="18"/>
        <v>#N/A</v>
      </c>
      <c r="BC31" s="24" t="e">
        <f t="shared" si="19"/>
        <v>#N/A</v>
      </c>
      <c r="BD31" s="24" t="e">
        <f t="shared" si="20"/>
        <v>#N/A</v>
      </c>
      <c r="BE31" s="24" t="e">
        <f t="shared" si="21"/>
        <v>#N/A</v>
      </c>
      <c r="BF31" s="24" t="e">
        <f t="shared" si="22"/>
        <v>#N/A</v>
      </c>
      <c r="BG31" s="24" t="e">
        <f t="shared" si="23"/>
        <v>#N/A</v>
      </c>
      <c r="BH31" s="24"/>
      <c r="BK31" s="16" t="s">
        <v>210</v>
      </c>
      <c r="BL31">
        <v>137</v>
      </c>
      <c r="BM31">
        <v>196</v>
      </c>
      <c r="BN31">
        <v>151</v>
      </c>
      <c r="BO31">
        <v>208</v>
      </c>
      <c r="BP31">
        <v>154</v>
      </c>
      <c r="BQ31">
        <v>252</v>
      </c>
      <c r="BR31">
        <v>177</v>
      </c>
      <c r="BS31">
        <v>27</v>
      </c>
    </row>
    <row r="32" spans="13:71" x14ac:dyDescent="0.35">
      <c r="W32" s="24"/>
      <c r="X32" s="24"/>
      <c r="Y32" s="24"/>
      <c r="Z32" s="24"/>
      <c r="AA32" s="24"/>
      <c r="AB32" s="24"/>
      <c r="AC32" s="24"/>
      <c r="AD32" s="24"/>
      <c r="AE32" s="24"/>
      <c r="AF32" s="24"/>
      <c r="AG32" s="24"/>
      <c r="AH32" s="24"/>
      <c r="AI32" s="24"/>
      <c r="AJ32" s="24"/>
      <c r="AK32" s="24"/>
      <c r="AL32" s="24"/>
      <c r="AM32" s="24"/>
      <c r="AN32" s="24"/>
      <c r="AO32" s="24"/>
      <c r="AP32" s="24"/>
      <c r="AQ32" s="24"/>
      <c r="AR32" s="24"/>
      <c r="AS32" s="24"/>
      <c r="AT32" s="24"/>
      <c r="AU32" s="24"/>
      <c r="AV32" s="24"/>
      <c r="AW32" s="24"/>
      <c r="AX32" s="24"/>
      <c r="AY32" s="8">
        <v>10</v>
      </c>
      <c r="AZ32" s="24" t="e">
        <f t="shared" si="16"/>
        <v>#N/A</v>
      </c>
      <c r="BA32" s="24" t="e">
        <f t="shared" si="17"/>
        <v>#N/A</v>
      </c>
      <c r="BB32" s="24" t="e">
        <f t="shared" si="18"/>
        <v>#N/A</v>
      </c>
      <c r="BC32" s="24" t="e">
        <f t="shared" si="19"/>
        <v>#N/A</v>
      </c>
      <c r="BD32" s="24" t="e">
        <f t="shared" si="20"/>
        <v>#N/A</v>
      </c>
      <c r="BE32" s="24" t="e">
        <f t="shared" si="21"/>
        <v>#N/A</v>
      </c>
      <c r="BF32" s="24" t="e">
        <f t="shared" si="22"/>
        <v>#N/A</v>
      </c>
      <c r="BG32" s="24" t="e">
        <f t="shared" si="23"/>
        <v>#N/A</v>
      </c>
      <c r="BH32" s="24"/>
      <c r="BK32" s="16" t="s">
        <v>211</v>
      </c>
      <c r="BL32">
        <v>12</v>
      </c>
      <c r="BM32">
        <v>12</v>
      </c>
      <c r="BN32">
        <v>52</v>
      </c>
      <c r="BO32">
        <v>24</v>
      </c>
      <c r="BP32">
        <v>2</v>
      </c>
      <c r="BQ32">
        <v>36</v>
      </c>
      <c r="BR32">
        <v>23</v>
      </c>
      <c r="BS32">
        <v>21</v>
      </c>
    </row>
    <row r="33" spans="23:71" x14ac:dyDescent="0.35">
      <c r="W33" s="24"/>
      <c r="X33" s="24"/>
      <c r="Y33" s="24"/>
      <c r="Z33" s="24"/>
      <c r="AA33" s="24"/>
      <c r="AB33" s="24"/>
      <c r="AC33" s="24"/>
      <c r="AD33" s="24"/>
      <c r="AE33" s="24"/>
      <c r="AF33" s="24"/>
      <c r="AG33" s="24"/>
      <c r="AH33" s="24"/>
      <c r="AI33" s="24"/>
      <c r="AJ33" s="24"/>
      <c r="AK33" s="24"/>
      <c r="AL33" s="24"/>
      <c r="AM33" s="24"/>
      <c r="AN33" s="24"/>
      <c r="AO33" s="24"/>
      <c r="AP33" s="24"/>
      <c r="AQ33" s="24"/>
      <c r="AR33" s="24"/>
      <c r="AS33" s="24"/>
      <c r="AT33" s="24"/>
      <c r="AU33" s="24"/>
      <c r="AV33" s="24"/>
      <c r="AW33" s="24"/>
      <c r="AX33" s="24"/>
      <c r="AY33" s="8">
        <v>11</v>
      </c>
      <c r="AZ33" s="24" t="e">
        <f t="shared" si="16"/>
        <v>#N/A</v>
      </c>
      <c r="BA33" s="24" t="e">
        <f t="shared" si="17"/>
        <v>#N/A</v>
      </c>
      <c r="BB33" s="24" t="e">
        <f t="shared" si="18"/>
        <v>#N/A</v>
      </c>
      <c r="BC33" s="24" t="e">
        <f t="shared" si="19"/>
        <v>#N/A</v>
      </c>
      <c r="BD33" s="24" t="e">
        <f t="shared" si="20"/>
        <v>#N/A</v>
      </c>
      <c r="BE33" s="24" t="e">
        <f t="shared" si="21"/>
        <v>#N/A</v>
      </c>
      <c r="BF33" s="24" t="e">
        <f t="shared" si="22"/>
        <v>#N/A</v>
      </c>
      <c r="BG33" s="24" t="e">
        <f t="shared" si="23"/>
        <v>#N/A</v>
      </c>
      <c r="BH33" s="24"/>
      <c r="BK33" s="16" t="s">
        <v>212</v>
      </c>
      <c r="BL33">
        <v>85</v>
      </c>
      <c r="BM33">
        <v>102</v>
      </c>
      <c r="BN33">
        <v>102</v>
      </c>
      <c r="BO33">
        <v>131</v>
      </c>
      <c r="BP33">
        <v>103</v>
      </c>
      <c r="BQ33">
        <v>184</v>
      </c>
      <c r="BR33">
        <v>148</v>
      </c>
      <c r="BS33">
        <v>20</v>
      </c>
    </row>
    <row r="34" spans="23:71" x14ac:dyDescent="0.35">
      <c r="W34" s="24"/>
      <c r="X34" s="24"/>
      <c r="Y34" s="24"/>
      <c r="Z34" s="24"/>
      <c r="AA34" s="24"/>
      <c r="AB34" s="24"/>
      <c r="AC34" s="24"/>
      <c r="AD34" s="24"/>
      <c r="AE34" s="24"/>
      <c r="AF34" s="24"/>
      <c r="AG34" s="24"/>
      <c r="AH34" s="24"/>
      <c r="AI34" s="24"/>
      <c r="AJ34" s="24"/>
      <c r="AK34" s="24"/>
      <c r="AL34" s="24"/>
      <c r="AM34" s="24"/>
      <c r="AN34" s="24"/>
      <c r="AO34" s="24"/>
      <c r="AP34" s="24"/>
      <c r="AQ34" s="24"/>
      <c r="AR34" s="24"/>
      <c r="AS34" s="24"/>
      <c r="AT34" s="24"/>
      <c r="AU34" s="24"/>
      <c r="AV34" s="24"/>
      <c r="AW34" s="24"/>
      <c r="AX34" s="24"/>
      <c r="AY34" s="8">
        <v>12</v>
      </c>
      <c r="AZ34" s="24" t="e">
        <f t="shared" si="16"/>
        <v>#N/A</v>
      </c>
      <c r="BA34" s="24" t="e">
        <f t="shared" si="17"/>
        <v>#N/A</v>
      </c>
      <c r="BB34" s="24" t="e">
        <f t="shared" si="18"/>
        <v>#N/A</v>
      </c>
      <c r="BC34" s="24" t="e">
        <f t="shared" si="19"/>
        <v>#N/A</v>
      </c>
      <c r="BD34" s="24" t="e">
        <f t="shared" si="20"/>
        <v>#N/A</v>
      </c>
      <c r="BE34" s="24" t="e">
        <f t="shared" si="21"/>
        <v>#N/A</v>
      </c>
      <c r="BF34" s="24" t="e">
        <f t="shared" si="22"/>
        <v>#N/A</v>
      </c>
      <c r="BG34" s="24" t="e">
        <f t="shared" si="23"/>
        <v>#N/A</v>
      </c>
      <c r="BH34" s="24"/>
      <c r="BK34" s="16" t="s">
        <v>213</v>
      </c>
      <c r="BL34">
        <v>10</v>
      </c>
      <c r="BM34">
        <v>24</v>
      </c>
      <c r="BN34">
        <v>37</v>
      </c>
      <c r="BO34">
        <v>49</v>
      </c>
      <c r="BP34">
        <v>46</v>
      </c>
      <c r="BQ34">
        <v>69</v>
      </c>
      <c r="BR34">
        <v>28</v>
      </c>
      <c r="BS34">
        <v>19</v>
      </c>
    </row>
    <row r="35" spans="23:71" x14ac:dyDescent="0.35">
      <c r="W35" s="24"/>
      <c r="X35" s="24"/>
      <c r="Y35" s="24"/>
      <c r="Z35" s="24"/>
      <c r="AA35" s="24"/>
      <c r="AB35" s="24"/>
      <c r="AC35" s="24"/>
      <c r="AD35" s="24"/>
      <c r="AE35" s="24"/>
      <c r="AF35" s="24"/>
      <c r="AG35" s="24"/>
      <c r="AH35" s="24"/>
      <c r="AI35" s="24"/>
      <c r="AJ35" s="24"/>
      <c r="AK35" s="24"/>
      <c r="AL35" s="24"/>
      <c r="AM35" s="24"/>
      <c r="AN35" s="24"/>
      <c r="AO35" s="24"/>
      <c r="AP35" s="24"/>
      <c r="AQ35" s="24"/>
      <c r="AR35" s="24"/>
      <c r="AS35" s="24"/>
      <c r="AT35" s="24"/>
      <c r="AU35" s="24"/>
      <c r="AV35" s="24"/>
      <c r="AW35" s="24"/>
      <c r="AX35" s="24"/>
      <c r="AY35" s="8">
        <v>13</v>
      </c>
      <c r="AZ35" s="24" t="e">
        <f t="shared" si="16"/>
        <v>#N/A</v>
      </c>
      <c r="BA35" s="24" t="e">
        <f t="shared" si="17"/>
        <v>#N/A</v>
      </c>
      <c r="BB35" s="24" t="e">
        <f t="shared" si="18"/>
        <v>#N/A</v>
      </c>
      <c r="BC35" s="24" t="e">
        <f t="shared" si="19"/>
        <v>#N/A</v>
      </c>
      <c r="BD35" s="24" t="e">
        <f t="shared" si="20"/>
        <v>#N/A</v>
      </c>
      <c r="BE35" s="24" t="e">
        <f t="shared" si="21"/>
        <v>#N/A</v>
      </c>
      <c r="BF35" s="24" t="e">
        <f t="shared" si="22"/>
        <v>#N/A</v>
      </c>
      <c r="BG35" s="24" t="e">
        <f t="shared" si="23"/>
        <v>#N/A</v>
      </c>
      <c r="BH35" s="24"/>
      <c r="BK35" s="16" t="s">
        <v>214</v>
      </c>
      <c r="BL35">
        <v>7</v>
      </c>
      <c r="BM35">
        <v>17</v>
      </c>
      <c r="BN35">
        <v>8</v>
      </c>
      <c r="BO35">
        <v>0</v>
      </c>
      <c r="BP35">
        <v>8</v>
      </c>
      <c r="BQ35">
        <v>25</v>
      </c>
      <c r="BR35">
        <v>13</v>
      </c>
      <c r="BS35">
        <v>1</v>
      </c>
    </row>
    <row r="36" spans="23:71" x14ac:dyDescent="0.35">
      <c r="AY36" s="8">
        <v>14</v>
      </c>
      <c r="AZ36" s="24" t="e">
        <f t="shared" si="16"/>
        <v>#N/A</v>
      </c>
      <c r="BA36" s="24" t="e">
        <f t="shared" si="17"/>
        <v>#N/A</v>
      </c>
      <c r="BB36" s="24" t="e">
        <f t="shared" si="18"/>
        <v>#N/A</v>
      </c>
      <c r="BC36" s="24" t="e">
        <f t="shared" si="19"/>
        <v>#N/A</v>
      </c>
      <c r="BD36" s="24" t="e">
        <f t="shared" si="20"/>
        <v>#N/A</v>
      </c>
      <c r="BE36" s="24" t="e">
        <f t="shared" si="21"/>
        <v>#N/A</v>
      </c>
      <c r="BF36" s="24" t="e">
        <f t="shared" si="22"/>
        <v>#N/A</v>
      </c>
      <c r="BG36" s="24" t="e">
        <f t="shared" si="23"/>
        <v>#N/A</v>
      </c>
      <c r="BH36" s="24"/>
      <c r="BK36" s="16" t="s">
        <v>215</v>
      </c>
      <c r="BL36">
        <v>52</v>
      </c>
      <c r="BM36">
        <v>30</v>
      </c>
      <c r="BN36">
        <v>41</v>
      </c>
      <c r="BO36">
        <v>90</v>
      </c>
      <c r="BP36">
        <v>78</v>
      </c>
      <c r="BQ36">
        <v>99</v>
      </c>
      <c r="BR36">
        <v>90</v>
      </c>
      <c r="BS36">
        <v>46</v>
      </c>
    </row>
    <row r="37" spans="23:71" x14ac:dyDescent="0.35">
      <c r="BG37" s="24"/>
      <c r="BK37" s="16" t="s">
        <v>373</v>
      </c>
      <c r="BL37">
        <v>1</v>
      </c>
      <c r="BM37">
        <v>1</v>
      </c>
      <c r="BN37">
        <v>0</v>
      </c>
      <c r="BO37">
        <v>1</v>
      </c>
      <c r="BP37">
        <v>3</v>
      </c>
      <c r="BQ37">
        <v>0</v>
      </c>
      <c r="BR37">
        <v>1</v>
      </c>
      <c r="BS37">
        <v>2</v>
      </c>
    </row>
    <row r="38" spans="23:71" x14ac:dyDescent="0.35">
      <c r="BK38" s="16" t="s">
        <v>216</v>
      </c>
      <c r="BL38">
        <v>262</v>
      </c>
      <c r="BM38">
        <v>261</v>
      </c>
      <c r="BN38">
        <v>175</v>
      </c>
      <c r="BO38">
        <v>300</v>
      </c>
      <c r="BP38">
        <v>308</v>
      </c>
      <c r="BQ38">
        <v>517</v>
      </c>
      <c r="BR38">
        <v>314</v>
      </c>
      <c r="BS38">
        <v>69</v>
      </c>
    </row>
    <row r="39" spans="23:71" x14ac:dyDescent="0.35">
      <c r="BK39" s="16" t="s">
        <v>217</v>
      </c>
      <c r="BL39">
        <v>28</v>
      </c>
      <c r="BM39">
        <v>27</v>
      </c>
      <c r="BN39">
        <v>20</v>
      </c>
      <c r="BO39">
        <v>21</v>
      </c>
      <c r="BP39">
        <v>26</v>
      </c>
      <c r="BQ39">
        <v>48</v>
      </c>
      <c r="BR39">
        <v>22</v>
      </c>
      <c r="BS39">
        <v>19</v>
      </c>
    </row>
    <row r="40" spans="23:71" x14ac:dyDescent="0.35">
      <c r="BK40" s="16" t="s">
        <v>218</v>
      </c>
      <c r="BL40">
        <v>13</v>
      </c>
      <c r="BM40">
        <v>8</v>
      </c>
      <c r="BN40">
        <v>8</v>
      </c>
      <c r="BO40">
        <v>11</v>
      </c>
      <c r="BP40">
        <v>9</v>
      </c>
      <c r="BQ40">
        <v>13</v>
      </c>
      <c r="BR40">
        <v>12</v>
      </c>
      <c r="BS40">
        <v>11</v>
      </c>
    </row>
    <row r="41" spans="23:71" x14ac:dyDescent="0.35">
      <c r="BK41" s="16" t="s">
        <v>374</v>
      </c>
      <c r="BL41">
        <v>0</v>
      </c>
      <c r="BM41">
        <v>0</v>
      </c>
      <c r="BN41">
        <v>0</v>
      </c>
      <c r="BO41">
        <v>0</v>
      </c>
      <c r="BP41">
        <v>0</v>
      </c>
      <c r="BQ41">
        <v>0</v>
      </c>
      <c r="BR41">
        <v>1</v>
      </c>
      <c r="BS41">
        <v>0</v>
      </c>
    </row>
    <row r="42" spans="23:71" x14ac:dyDescent="0.35">
      <c r="BK42" s="16" t="s">
        <v>219</v>
      </c>
      <c r="BL42">
        <v>34</v>
      </c>
      <c r="BM42">
        <v>31</v>
      </c>
      <c r="BN42">
        <v>22</v>
      </c>
      <c r="BO42">
        <v>15</v>
      </c>
      <c r="BP42">
        <v>14</v>
      </c>
      <c r="BQ42">
        <v>87</v>
      </c>
      <c r="BR42">
        <v>13</v>
      </c>
      <c r="BS42">
        <v>7</v>
      </c>
    </row>
    <row r="43" spans="23:71" x14ac:dyDescent="0.35">
      <c r="BK43" s="16" t="s">
        <v>220</v>
      </c>
      <c r="BL43">
        <v>3</v>
      </c>
      <c r="BM43">
        <v>1</v>
      </c>
      <c r="BN43">
        <v>0</v>
      </c>
      <c r="BO43">
        <v>17</v>
      </c>
      <c r="BP43">
        <v>24</v>
      </c>
      <c r="BQ43">
        <v>1</v>
      </c>
      <c r="BR43">
        <v>18</v>
      </c>
      <c r="BS43">
        <v>0</v>
      </c>
    </row>
    <row r="44" spans="23:71" x14ac:dyDescent="0.35">
      <c r="BK44" s="16" t="s">
        <v>221</v>
      </c>
      <c r="BL44">
        <v>119</v>
      </c>
      <c r="BM44">
        <v>99</v>
      </c>
      <c r="BN44">
        <v>97</v>
      </c>
      <c r="BO44">
        <v>146</v>
      </c>
      <c r="BP44">
        <v>68</v>
      </c>
      <c r="BQ44">
        <v>118</v>
      </c>
      <c r="BR44">
        <v>87</v>
      </c>
      <c r="BS44">
        <v>42</v>
      </c>
    </row>
    <row r="45" spans="23:71" x14ac:dyDescent="0.35">
      <c r="BK45" s="16" t="s">
        <v>222</v>
      </c>
      <c r="BL45">
        <v>236</v>
      </c>
      <c r="BM45">
        <v>225</v>
      </c>
      <c r="BN45">
        <v>172</v>
      </c>
      <c r="BO45">
        <v>217</v>
      </c>
      <c r="BP45">
        <v>223</v>
      </c>
      <c r="BQ45">
        <v>350</v>
      </c>
      <c r="BR45">
        <v>220</v>
      </c>
      <c r="BS45">
        <v>156</v>
      </c>
    </row>
    <row r="46" spans="23:71" x14ac:dyDescent="0.35">
      <c r="BK46" s="16" t="s">
        <v>223</v>
      </c>
      <c r="BL46">
        <v>0</v>
      </c>
      <c r="BM46">
        <v>0</v>
      </c>
      <c r="BN46">
        <v>1</v>
      </c>
      <c r="BO46">
        <v>0</v>
      </c>
      <c r="BP46">
        <v>0</v>
      </c>
      <c r="BQ46">
        <v>0</v>
      </c>
      <c r="BR46">
        <v>1</v>
      </c>
      <c r="BS46">
        <v>1</v>
      </c>
    </row>
    <row r="47" spans="23:71" x14ac:dyDescent="0.35">
      <c r="BK47" s="16" t="s">
        <v>224</v>
      </c>
      <c r="BL47">
        <v>235</v>
      </c>
      <c r="BM47">
        <v>254</v>
      </c>
      <c r="BN47">
        <v>222</v>
      </c>
      <c r="BO47">
        <v>274</v>
      </c>
      <c r="BP47">
        <v>173</v>
      </c>
      <c r="BQ47">
        <v>261</v>
      </c>
      <c r="BR47">
        <v>244</v>
      </c>
      <c r="BS47">
        <v>260</v>
      </c>
    </row>
    <row r="48" spans="23:71" x14ac:dyDescent="0.35">
      <c r="BK48" s="16" t="s">
        <v>225</v>
      </c>
      <c r="BL48">
        <v>6</v>
      </c>
      <c r="BM48">
        <v>12</v>
      </c>
      <c r="BN48">
        <v>3</v>
      </c>
      <c r="BO48">
        <v>12</v>
      </c>
      <c r="BP48">
        <v>6</v>
      </c>
      <c r="BQ48">
        <v>7</v>
      </c>
      <c r="BR48">
        <v>4</v>
      </c>
      <c r="BS48">
        <v>7</v>
      </c>
    </row>
    <row r="49" spans="63:71" x14ac:dyDescent="0.35">
      <c r="BK49" s="16" t="s">
        <v>226</v>
      </c>
      <c r="BL49">
        <v>92</v>
      </c>
      <c r="BM49">
        <v>74</v>
      </c>
      <c r="BN49">
        <v>73</v>
      </c>
      <c r="BO49">
        <v>21</v>
      </c>
      <c r="BP49">
        <v>40</v>
      </c>
      <c r="BQ49">
        <v>102</v>
      </c>
      <c r="BR49">
        <v>42</v>
      </c>
      <c r="BS49">
        <v>20</v>
      </c>
    </row>
    <row r="50" spans="63:71" x14ac:dyDescent="0.35">
      <c r="BK50" s="16" t="s">
        <v>227</v>
      </c>
      <c r="BL50">
        <v>59</v>
      </c>
      <c r="BM50">
        <v>63</v>
      </c>
      <c r="BN50">
        <v>43</v>
      </c>
      <c r="BO50">
        <v>31</v>
      </c>
      <c r="BP50">
        <v>60</v>
      </c>
      <c r="BQ50">
        <v>39</v>
      </c>
      <c r="BR50">
        <v>16</v>
      </c>
      <c r="BS50">
        <v>31</v>
      </c>
    </row>
    <row r="51" spans="63:71" x14ac:dyDescent="0.35">
      <c r="BK51" s="16" t="s">
        <v>375</v>
      </c>
      <c r="BL51">
        <v>0</v>
      </c>
      <c r="BM51">
        <v>0</v>
      </c>
      <c r="BN51">
        <v>0</v>
      </c>
      <c r="BO51">
        <v>0</v>
      </c>
      <c r="BP51">
        <v>0</v>
      </c>
      <c r="BQ51">
        <v>1</v>
      </c>
      <c r="BR51">
        <v>0</v>
      </c>
      <c r="BS51">
        <v>0</v>
      </c>
    </row>
    <row r="52" spans="63:71" x14ac:dyDescent="0.35">
      <c r="BK52" s="16" t="s">
        <v>228</v>
      </c>
      <c r="BL52">
        <v>0</v>
      </c>
      <c r="BM52">
        <v>0</v>
      </c>
      <c r="BN52">
        <v>2</v>
      </c>
      <c r="BO52">
        <v>1</v>
      </c>
      <c r="BP52">
        <v>1</v>
      </c>
      <c r="BQ52">
        <v>1</v>
      </c>
      <c r="BR52">
        <v>0</v>
      </c>
      <c r="BS52">
        <v>0</v>
      </c>
    </row>
    <row r="53" spans="63:71" x14ac:dyDescent="0.35">
      <c r="BK53" s="16" t="s">
        <v>229</v>
      </c>
      <c r="BL53">
        <v>373</v>
      </c>
      <c r="BM53">
        <v>321</v>
      </c>
      <c r="BN53">
        <v>400</v>
      </c>
      <c r="BO53">
        <v>249</v>
      </c>
      <c r="BP53">
        <v>188</v>
      </c>
      <c r="BQ53">
        <v>230</v>
      </c>
      <c r="BR53">
        <v>226</v>
      </c>
      <c r="BS53">
        <v>34</v>
      </c>
    </row>
    <row r="54" spans="63:71" x14ac:dyDescent="0.35">
      <c r="BK54" s="16" t="s">
        <v>230</v>
      </c>
      <c r="BL54">
        <v>4</v>
      </c>
      <c r="BM54">
        <v>11</v>
      </c>
      <c r="BN54">
        <v>12</v>
      </c>
      <c r="BO54">
        <v>7</v>
      </c>
      <c r="BP54">
        <v>9</v>
      </c>
      <c r="BQ54">
        <v>9</v>
      </c>
      <c r="BR54">
        <v>7</v>
      </c>
      <c r="BS54">
        <v>7</v>
      </c>
    </row>
    <row r="55" spans="63:71" x14ac:dyDescent="0.35">
      <c r="BK55" s="16" t="s">
        <v>232</v>
      </c>
      <c r="BL55">
        <v>163</v>
      </c>
      <c r="BM55">
        <v>182</v>
      </c>
      <c r="BN55">
        <v>123</v>
      </c>
      <c r="BO55">
        <v>202</v>
      </c>
      <c r="BP55">
        <v>112</v>
      </c>
      <c r="BQ55">
        <v>188</v>
      </c>
      <c r="BR55">
        <v>180</v>
      </c>
      <c r="BS55">
        <v>98</v>
      </c>
    </row>
    <row r="56" spans="63:71" x14ac:dyDescent="0.35">
      <c r="BK56" s="16" t="s">
        <v>376</v>
      </c>
      <c r="BN56">
        <v>0</v>
      </c>
      <c r="BO56">
        <v>0</v>
      </c>
      <c r="BP56">
        <v>0</v>
      </c>
      <c r="BR56">
        <v>0</v>
      </c>
      <c r="BS56">
        <v>0</v>
      </c>
    </row>
    <row r="57" spans="63:71" x14ac:dyDescent="0.35">
      <c r="BK57" s="16" t="s">
        <v>377</v>
      </c>
      <c r="BL57">
        <v>0</v>
      </c>
      <c r="BM57">
        <v>0</v>
      </c>
      <c r="BN57">
        <v>0</v>
      </c>
      <c r="BO57">
        <v>0</v>
      </c>
      <c r="BP57">
        <v>0</v>
      </c>
      <c r="BQ57">
        <v>0</v>
      </c>
      <c r="BR57">
        <v>0</v>
      </c>
      <c r="BS57">
        <v>0</v>
      </c>
    </row>
    <row r="58" spans="63:71" x14ac:dyDescent="0.35">
      <c r="BK58" s="16" t="s">
        <v>233</v>
      </c>
      <c r="BL58">
        <v>271</v>
      </c>
      <c r="BM58">
        <v>225</v>
      </c>
      <c r="BN58">
        <v>128</v>
      </c>
      <c r="BO58">
        <v>216</v>
      </c>
      <c r="BP58">
        <v>227</v>
      </c>
      <c r="BQ58">
        <v>316</v>
      </c>
      <c r="BR58">
        <v>148</v>
      </c>
      <c r="BS58">
        <v>114</v>
      </c>
    </row>
    <row r="59" spans="63:71" x14ac:dyDescent="0.35">
      <c r="BK59" s="16" t="s">
        <v>234</v>
      </c>
      <c r="BL59">
        <v>39</v>
      </c>
      <c r="BM59">
        <v>17</v>
      </c>
      <c r="BN59">
        <v>26</v>
      </c>
      <c r="BO59">
        <v>29</v>
      </c>
      <c r="BP59">
        <v>13</v>
      </c>
      <c r="BQ59">
        <v>44</v>
      </c>
      <c r="BR59">
        <v>32</v>
      </c>
      <c r="BS59">
        <v>21</v>
      </c>
    </row>
    <row r="60" spans="63:71" x14ac:dyDescent="0.35">
      <c r="BK60" s="16" t="s">
        <v>235</v>
      </c>
      <c r="BM60">
        <v>5</v>
      </c>
      <c r="BN60">
        <v>8</v>
      </c>
      <c r="BO60">
        <v>6</v>
      </c>
      <c r="BP60">
        <v>11</v>
      </c>
      <c r="BQ60">
        <v>10</v>
      </c>
      <c r="BR60">
        <v>11</v>
      </c>
      <c r="BS60">
        <v>1</v>
      </c>
    </row>
    <row r="61" spans="63:71" x14ac:dyDescent="0.35">
      <c r="BK61" s="16" t="s">
        <v>236</v>
      </c>
      <c r="BL61">
        <v>2</v>
      </c>
    </row>
    <row r="62" spans="63:71" x14ac:dyDescent="0.35">
      <c r="BK62" s="16" t="s">
        <v>378</v>
      </c>
      <c r="BL62">
        <v>0</v>
      </c>
      <c r="BM62">
        <v>0</v>
      </c>
      <c r="BN62">
        <v>0</v>
      </c>
      <c r="BO62">
        <v>0</v>
      </c>
      <c r="BP62">
        <v>0</v>
      </c>
      <c r="BQ62">
        <v>0</v>
      </c>
      <c r="BR62">
        <v>0</v>
      </c>
      <c r="BS62">
        <v>0</v>
      </c>
    </row>
    <row r="63" spans="63:71" x14ac:dyDescent="0.35">
      <c r="BK63" s="16" t="s">
        <v>237</v>
      </c>
      <c r="BL63">
        <v>112</v>
      </c>
      <c r="BM63">
        <v>74</v>
      </c>
      <c r="BN63">
        <v>36</v>
      </c>
      <c r="BO63">
        <v>42</v>
      </c>
      <c r="BP63">
        <v>52</v>
      </c>
      <c r="BQ63">
        <v>137</v>
      </c>
      <c r="BR63">
        <v>75</v>
      </c>
      <c r="BS63">
        <v>66</v>
      </c>
    </row>
    <row r="64" spans="63:71" x14ac:dyDescent="0.35">
      <c r="BK64" s="16" t="s">
        <v>238</v>
      </c>
      <c r="BL64">
        <v>18</v>
      </c>
      <c r="BM64">
        <v>27</v>
      </c>
      <c r="BN64">
        <v>35</v>
      </c>
      <c r="BO64">
        <v>26</v>
      </c>
      <c r="BP64">
        <v>20</v>
      </c>
      <c r="BQ64">
        <v>17</v>
      </c>
      <c r="BR64">
        <v>15</v>
      </c>
      <c r="BS64">
        <v>18</v>
      </c>
    </row>
    <row r="65" spans="63:71" x14ac:dyDescent="0.35">
      <c r="BK65" s="16" t="s">
        <v>239</v>
      </c>
      <c r="BL65">
        <v>12</v>
      </c>
      <c r="BM65">
        <v>20</v>
      </c>
      <c r="BN65">
        <v>9</v>
      </c>
      <c r="BO65">
        <v>17</v>
      </c>
      <c r="BP65">
        <v>19</v>
      </c>
      <c r="BQ65">
        <v>38</v>
      </c>
      <c r="BR65">
        <v>26</v>
      </c>
      <c r="BS65">
        <v>4</v>
      </c>
    </row>
    <row r="66" spans="63:71" x14ac:dyDescent="0.35">
      <c r="BK66" s="16" t="s">
        <v>379</v>
      </c>
      <c r="BL66">
        <v>0</v>
      </c>
      <c r="BM66">
        <v>0</v>
      </c>
      <c r="BN66">
        <v>1</v>
      </c>
      <c r="BO66">
        <v>0</v>
      </c>
      <c r="BP66">
        <v>0</v>
      </c>
      <c r="BQ66">
        <v>0</v>
      </c>
      <c r="BR66">
        <v>0</v>
      </c>
      <c r="BS66">
        <v>0</v>
      </c>
    </row>
    <row r="67" spans="63:71" x14ac:dyDescent="0.35">
      <c r="BK67" s="16" t="s">
        <v>241</v>
      </c>
      <c r="BL67">
        <v>358</v>
      </c>
      <c r="BM67">
        <v>320</v>
      </c>
      <c r="BN67">
        <v>286</v>
      </c>
      <c r="BO67">
        <v>365</v>
      </c>
      <c r="BP67">
        <v>216</v>
      </c>
      <c r="BQ67">
        <v>317</v>
      </c>
      <c r="BR67">
        <v>135</v>
      </c>
      <c r="BS67">
        <v>48</v>
      </c>
    </row>
    <row r="68" spans="63:71" x14ac:dyDescent="0.35">
      <c r="BK68" s="16" t="s">
        <v>243</v>
      </c>
      <c r="BL68">
        <v>24</v>
      </c>
      <c r="BM68">
        <v>17</v>
      </c>
      <c r="BN68">
        <v>20</v>
      </c>
      <c r="BO68">
        <v>8</v>
      </c>
      <c r="BP68">
        <v>13</v>
      </c>
      <c r="BQ68">
        <v>30</v>
      </c>
      <c r="BR68">
        <v>12</v>
      </c>
      <c r="BS68">
        <v>26</v>
      </c>
    </row>
    <row r="69" spans="63:71" x14ac:dyDescent="0.35">
      <c r="BK69" s="16" t="s">
        <v>244</v>
      </c>
      <c r="BL69">
        <v>6</v>
      </c>
      <c r="BM69">
        <v>5</v>
      </c>
      <c r="BN69">
        <v>4</v>
      </c>
      <c r="BO69">
        <v>3</v>
      </c>
      <c r="BP69">
        <v>2</v>
      </c>
      <c r="BQ69">
        <v>7</v>
      </c>
      <c r="BR69">
        <v>5</v>
      </c>
      <c r="BS69">
        <v>3</v>
      </c>
    </row>
    <row r="70" spans="63:71" x14ac:dyDescent="0.35">
      <c r="BK70" s="16" t="s">
        <v>245</v>
      </c>
      <c r="BL70">
        <v>107</v>
      </c>
      <c r="BM70">
        <v>78</v>
      </c>
      <c r="BN70">
        <v>38</v>
      </c>
      <c r="BO70">
        <v>45</v>
      </c>
      <c r="BP70">
        <v>29</v>
      </c>
      <c r="BQ70">
        <v>71</v>
      </c>
      <c r="BR70">
        <v>58</v>
      </c>
      <c r="BS70">
        <v>44</v>
      </c>
    </row>
    <row r="71" spans="63:71" x14ac:dyDescent="0.35">
      <c r="BK71" s="16" t="s">
        <v>246</v>
      </c>
      <c r="BL71">
        <v>1</v>
      </c>
      <c r="BM71">
        <v>0</v>
      </c>
      <c r="BN71">
        <v>0</v>
      </c>
      <c r="BO71">
        <v>2</v>
      </c>
      <c r="BP71">
        <v>4</v>
      </c>
      <c r="BQ71">
        <v>6</v>
      </c>
      <c r="BR71">
        <v>0</v>
      </c>
      <c r="BS71">
        <v>5</v>
      </c>
    </row>
    <row r="72" spans="63:71" x14ac:dyDescent="0.35">
      <c r="BK72" s="16" t="s">
        <v>247</v>
      </c>
      <c r="BL72">
        <v>276</v>
      </c>
      <c r="BM72">
        <v>377</v>
      </c>
      <c r="BN72">
        <v>268</v>
      </c>
      <c r="BO72">
        <v>319</v>
      </c>
      <c r="BP72">
        <v>240</v>
      </c>
      <c r="BQ72">
        <v>309</v>
      </c>
      <c r="BR72">
        <v>160</v>
      </c>
      <c r="BS72">
        <v>112</v>
      </c>
    </row>
    <row r="73" spans="63:71" x14ac:dyDescent="0.35">
      <c r="BK73" s="16" t="s">
        <v>248</v>
      </c>
      <c r="BL73">
        <v>82</v>
      </c>
      <c r="BM73">
        <v>203</v>
      </c>
      <c r="BN73">
        <v>150</v>
      </c>
      <c r="BO73">
        <v>327</v>
      </c>
      <c r="BP73">
        <v>179</v>
      </c>
      <c r="BQ73">
        <v>490</v>
      </c>
      <c r="BR73">
        <v>301</v>
      </c>
      <c r="BS73">
        <v>88</v>
      </c>
    </row>
    <row r="74" spans="63:71" x14ac:dyDescent="0.35">
      <c r="BK74" s="16" t="s">
        <v>249</v>
      </c>
      <c r="BL74">
        <v>55</v>
      </c>
      <c r="BM74">
        <v>43</v>
      </c>
      <c r="BN74">
        <v>25</v>
      </c>
      <c r="BO74">
        <v>45</v>
      </c>
      <c r="BP74">
        <v>27</v>
      </c>
      <c r="BQ74">
        <v>58</v>
      </c>
      <c r="BR74">
        <v>20</v>
      </c>
      <c r="BS74">
        <v>37</v>
      </c>
    </row>
    <row r="75" spans="63:71" x14ac:dyDescent="0.35">
      <c r="BK75" s="16" t="s">
        <v>250</v>
      </c>
      <c r="BL75">
        <v>253</v>
      </c>
      <c r="BM75">
        <v>284</v>
      </c>
      <c r="BN75">
        <v>281</v>
      </c>
      <c r="BO75">
        <v>153</v>
      </c>
      <c r="BP75">
        <v>61</v>
      </c>
      <c r="BQ75">
        <v>253</v>
      </c>
      <c r="BR75">
        <v>123</v>
      </c>
      <c r="BS75">
        <v>43</v>
      </c>
    </row>
    <row r="76" spans="63:71" x14ac:dyDescent="0.35">
      <c r="BK76" s="16" t="s">
        <v>380</v>
      </c>
      <c r="BL76">
        <v>51</v>
      </c>
      <c r="BM76">
        <v>93</v>
      </c>
      <c r="BN76">
        <v>76</v>
      </c>
      <c r="BO76">
        <v>98</v>
      </c>
      <c r="BP76">
        <v>46</v>
      </c>
      <c r="BQ76">
        <v>88</v>
      </c>
      <c r="BR76">
        <v>41</v>
      </c>
      <c r="BS76">
        <v>8</v>
      </c>
    </row>
    <row r="77" spans="63:71" x14ac:dyDescent="0.35">
      <c r="BK77" s="16" t="s">
        <v>251</v>
      </c>
      <c r="BL77">
        <v>10</v>
      </c>
      <c r="BM77">
        <v>33</v>
      </c>
      <c r="BN77">
        <v>4</v>
      </c>
      <c r="BO77">
        <v>2</v>
      </c>
      <c r="BP77">
        <v>2</v>
      </c>
      <c r="BQ77">
        <v>4</v>
      </c>
      <c r="BR77">
        <v>3</v>
      </c>
      <c r="BS77">
        <v>2</v>
      </c>
    </row>
    <row r="78" spans="63:71" x14ac:dyDescent="0.35">
      <c r="BK78" s="16" t="s">
        <v>252</v>
      </c>
      <c r="BM78">
        <v>0</v>
      </c>
      <c r="BN78">
        <v>0</v>
      </c>
      <c r="BQ78">
        <v>0</v>
      </c>
      <c r="BS78">
        <v>0</v>
      </c>
    </row>
    <row r="79" spans="63:71" x14ac:dyDescent="0.35">
      <c r="BK79" s="16" t="s">
        <v>253</v>
      </c>
      <c r="BL79">
        <v>125</v>
      </c>
      <c r="BM79">
        <v>191</v>
      </c>
      <c r="BN79">
        <v>225</v>
      </c>
      <c r="BO79">
        <v>261</v>
      </c>
      <c r="BP79">
        <v>388</v>
      </c>
      <c r="BQ79">
        <v>395</v>
      </c>
      <c r="BR79">
        <v>329</v>
      </c>
      <c r="BS79">
        <v>204</v>
      </c>
    </row>
    <row r="80" spans="63:71" x14ac:dyDescent="0.35">
      <c r="BK80" s="16" t="s">
        <v>381</v>
      </c>
      <c r="BL80">
        <v>0</v>
      </c>
      <c r="BM80">
        <v>1</v>
      </c>
      <c r="BN80">
        <v>0</v>
      </c>
      <c r="BO80">
        <v>0</v>
      </c>
      <c r="BP80">
        <v>0</v>
      </c>
      <c r="BQ80">
        <v>0</v>
      </c>
      <c r="BR80">
        <v>0</v>
      </c>
      <c r="BS80">
        <v>0</v>
      </c>
    </row>
    <row r="81" spans="63:71" x14ac:dyDescent="0.35">
      <c r="BK81" s="16" t="s">
        <v>382</v>
      </c>
      <c r="BL81">
        <v>0</v>
      </c>
      <c r="BM81">
        <v>0</v>
      </c>
      <c r="BN81">
        <v>0</v>
      </c>
      <c r="BO81">
        <v>0</v>
      </c>
      <c r="BP81">
        <v>0</v>
      </c>
      <c r="BQ81">
        <v>0</v>
      </c>
      <c r="BS81">
        <v>0</v>
      </c>
    </row>
    <row r="82" spans="63:71" x14ac:dyDescent="0.35">
      <c r="BK82" s="16" t="s">
        <v>254</v>
      </c>
      <c r="BL82">
        <v>228</v>
      </c>
      <c r="BM82">
        <v>113</v>
      </c>
      <c r="BN82">
        <v>84</v>
      </c>
      <c r="BO82">
        <v>176</v>
      </c>
      <c r="BP82">
        <v>100</v>
      </c>
      <c r="BQ82">
        <v>237</v>
      </c>
      <c r="BR82">
        <v>141</v>
      </c>
      <c r="BS82">
        <v>89</v>
      </c>
    </row>
    <row r="83" spans="63:71" x14ac:dyDescent="0.35">
      <c r="BK83" s="16" t="s">
        <v>255</v>
      </c>
      <c r="BL83">
        <v>43</v>
      </c>
      <c r="BM83">
        <v>32</v>
      </c>
      <c r="BN83">
        <v>21</v>
      </c>
      <c r="BO83">
        <v>55</v>
      </c>
      <c r="BP83">
        <v>35</v>
      </c>
      <c r="BQ83">
        <v>47</v>
      </c>
      <c r="BR83">
        <v>70</v>
      </c>
      <c r="BS83">
        <v>40</v>
      </c>
    </row>
    <row r="84" spans="63:71" x14ac:dyDescent="0.35">
      <c r="BK84" s="16" t="s">
        <v>383</v>
      </c>
      <c r="BL84">
        <v>2</v>
      </c>
      <c r="BM84">
        <v>5</v>
      </c>
      <c r="BN84">
        <v>5</v>
      </c>
      <c r="BO84">
        <v>3</v>
      </c>
      <c r="BP84">
        <v>6</v>
      </c>
      <c r="BQ84">
        <v>9</v>
      </c>
      <c r="BR84">
        <v>4</v>
      </c>
      <c r="BS84">
        <v>10</v>
      </c>
    </row>
    <row r="85" spans="63:71" x14ac:dyDescent="0.35">
      <c r="BK85" s="16" t="s">
        <v>256</v>
      </c>
      <c r="BL85">
        <v>82</v>
      </c>
      <c r="BM85">
        <v>94</v>
      </c>
      <c r="BN85">
        <v>86</v>
      </c>
      <c r="BO85">
        <v>92</v>
      </c>
      <c r="BP85">
        <v>65</v>
      </c>
      <c r="BS85">
        <v>0</v>
      </c>
    </row>
    <row r="86" spans="63:71" x14ac:dyDescent="0.35">
      <c r="BK86" s="16" t="s">
        <v>257</v>
      </c>
      <c r="BL86">
        <v>7</v>
      </c>
      <c r="BM86">
        <v>8</v>
      </c>
      <c r="BN86">
        <v>13</v>
      </c>
      <c r="BO86">
        <v>16</v>
      </c>
      <c r="BP86">
        <v>1</v>
      </c>
      <c r="BQ86">
        <v>14</v>
      </c>
      <c r="BR86">
        <v>10</v>
      </c>
      <c r="BS86">
        <v>1</v>
      </c>
    </row>
    <row r="87" spans="63:71" x14ac:dyDescent="0.35">
      <c r="BK87" s="16" t="s">
        <v>258</v>
      </c>
      <c r="BL87">
        <v>281</v>
      </c>
      <c r="BM87">
        <v>265</v>
      </c>
      <c r="BN87">
        <v>315</v>
      </c>
      <c r="BO87">
        <v>204</v>
      </c>
      <c r="BP87">
        <v>101</v>
      </c>
      <c r="BQ87">
        <v>383</v>
      </c>
      <c r="BR87">
        <v>146</v>
      </c>
      <c r="BS87">
        <v>238</v>
      </c>
    </row>
    <row r="88" spans="63:71" x14ac:dyDescent="0.35">
      <c r="BK88" s="16" t="s">
        <v>259</v>
      </c>
      <c r="BL88">
        <v>289</v>
      </c>
      <c r="BM88">
        <v>262</v>
      </c>
      <c r="BN88">
        <v>198</v>
      </c>
      <c r="BO88">
        <v>270</v>
      </c>
      <c r="BP88">
        <v>189</v>
      </c>
      <c r="BQ88">
        <v>274</v>
      </c>
      <c r="BR88">
        <v>182</v>
      </c>
      <c r="BS88">
        <v>79</v>
      </c>
    </row>
    <row r="89" spans="63:71" x14ac:dyDescent="0.35">
      <c r="BK89" s="16" t="s">
        <v>260</v>
      </c>
      <c r="BL89">
        <v>224</v>
      </c>
      <c r="BM89">
        <v>116</v>
      </c>
      <c r="BN89">
        <v>222</v>
      </c>
      <c r="BO89">
        <v>199</v>
      </c>
      <c r="BP89">
        <v>189</v>
      </c>
      <c r="BQ89">
        <v>305</v>
      </c>
      <c r="BR89">
        <v>169</v>
      </c>
      <c r="BS89">
        <v>148</v>
      </c>
    </row>
    <row r="90" spans="63:71" x14ac:dyDescent="0.35">
      <c r="BK90" s="16" t="s">
        <v>261</v>
      </c>
      <c r="BL90">
        <v>270</v>
      </c>
      <c r="BM90">
        <v>295</v>
      </c>
      <c r="BN90">
        <v>235</v>
      </c>
      <c r="BO90">
        <v>312</v>
      </c>
      <c r="BP90">
        <v>280</v>
      </c>
      <c r="BQ90">
        <v>393</v>
      </c>
      <c r="BR90">
        <v>251</v>
      </c>
      <c r="BS90">
        <v>206</v>
      </c>
    </row>
    <row r="91" spans="63:71" x14ac:dyDescent="0.35">
      <c r="BK91" s="16" t="s">
        <v>262</v>
      </c>
      <c r="BL91">
        <v>41</v>
      </c>
      <c r="BM91">
        <v>35</v>
      </c>
      <c r="BN91">
        <v>35</v>
      </c>
      <c r="BO91">
        <v>96</v>
      </c>
      <c r="BP91">
        <v>94</v>
      </c>
      <c r="BQ91">
        <v>63</v>
      </c>
      <c r="BR91">
        <v>94</v>
      </c>
      <c r="BS91">
        <v>16</v>
      </c>
    </row>
    <row r="92" spans="63:71" x14ac:dyDescent="0.35">
      <c r="BK92" s="16" t="s">
        <v>263</v>
      </c>
      <c r="BL92">
        <v>438</v>
      </c>
      <c r="BM92">
        <v>273</v>
      </c>
      <c r="BN92">
        <v>249</v>
      </c>
      <c r="BO92">
        <v>216</v>
      </c>
      <c r="BP92">
        <v>156</v>
      </c>
      <c r="BQ92">
        <v>177</v>
      </c>
      <c r="BR92">
        <v>221</v>
      </c>
      <c r="BS92">
        <v>143</v>
      </c>
    </row>
    <row r="93" spans="63:71" x14ac:dyDescent="0.35">
      <c r="BK93" s="16" t="s">
        <v>384</v>
      </c>
      <c r="BL93">
        <v>0</v>
      </c>
      <c r="BM93">
        <v>0</v>
      </c>
      <c r="BR93">
        <v>0</v>
      </c>
      <c r="BS93">
        <v>0</v>
      </c>
    </row>
    <row r="94" spans="63:71" x14ac:dyDescent="0.35">
      <c r="BK94" s="16" t="s">
        <v>264</v>
      </c>
      <c r="BL94">
        <v>46</v>
      </c>
      <c r="BM94">
        <v>12</v>
      </c>
      <c r="BN94">
        <v>9</v>
      </c>
      <c r="BO94">
        <v>32</v>
      </c>
      <c r="BP94">
        <v>23</v>
      </c>
      <c r="BQ94">
        <v>14</v>
      </c>
      <c r="BR94">
        <v>15</v>
      </c>
      <c r="BS94">
        <v>12</v>
      </c>
    </row>
    <row r="95" spans="63:71" x14ac:dyDescent="0.35">
      <c r="BK95" s="16" t="s">
        <v>265</v>
      </c>
      <c r="BL95">
        <v>195</v>
      </c>
      <c r="BM95">
        <v>234</v>
      </c>
      <c r="BN95">
        <v>88</v>
      </c>
      <c r="BO95">
        <v>11</v>
      </c>
      <c r="BP95">
        <v>8</v>
      </c>
      <c r="BQ95">
        <v>20</v>
      </c>
      <c r="BR95">
        <v>34</v>
      </c>
      <c r="BS95">
        <v>15</v>
      </c>
    </row>
    <row r="96" spans="63:71" x14ac:dyDescent="0.35">
      <c r="BK96" s="16" t="s">
        <v>266</v>
      </c>
      <c r="BL96">
        <v>0</v>
      </c>
      <c r="BM96">
        <v>0</v>
      </c>
      <c r="BN96">
        <v>0</v>
      </c>
      <c r="BO96">
        <v>0</v>
      </c>
      <c r="BP96">
        <v>0</v>
      </c>
      <c r="BQ96">
        <v>0</v>
      </c>
      <c r="BR96">
        <v>0</v>
      </c>
      <c r="BS96">
        <v>0</v>
      </c>
    </row>
    <row r="97" spans="63:71" x14ac:dyDescent="0.35">
      <c r="BK97" s="16" t="s">
        <v>267</v>
      </c>
      <c r="BL97">
        <v>41</v>
      </c>
      <c r="BM97">
        <v>89</v>
      </c>
      <c r="BN97">
        <v>53</v>
      </c>
      <c r="BO97">
        <v>36</v>
      </c>
      <c r="BP97">
        <v>45</v>
      </c>
      <c r="BQ97">
        <v>136</v>
      </c>
      <c r="BR97">
        <v>92</v>
      </c>
      <c r="BS97">
        <v>27</v>
      </c>
    </row>
    <row r="98" spans="63:71" x14ac:dyDescent="0.35">
      <c r="BK98" s="16" t="s">
        <v>268</v>
      </c>
      <c r="BL98">
        <v>274</v>
      </c>
      <c r="BM98">
        <v>283</v>
      </c>
      <c r="BN98">
        <v>337</v>
      </c>
      <c r="BO98">
        <v>275</v>
      </c>
      <c r="BP98">
        <v>177</v>
      </c>
      <c r="BQ98">
        <v>404</v>
      </c>
      <c r="BR98">
        <v>344</v>
      </c>
      <c r="BS98">
        <v>328</v>
      </c>
    </row>
    <row r="99" spans="63:71" x14ac:dyDescent="0.35">
      <c r="BK99" s="16" t="s">
        <v>269</v>
      </c>
      <c r="BL99">
        <v>164</v>
      </c>
      <c r="BM99">
        <v>165</v>
      </c>
      <c r="BN99">
        <v>183</v>
      </c>
      <c r="BO99">
        <v>173</v>
      </c>
      <c r="BP99">
        <v>197</v>
      </c>
      <c r="BQ99">
        <v>250</v>
      </c>
      <c r="BR99">
        <v>136</v>
      </c>
      <c r="BS99">
        <v>95</v>
      </c>
    </row>
    <row r="100" spans="63:71" x14ac:dyDescent="0.35">
      <c r="BK100" s="16" t="s">
        <v>270</v>
      </c>
      <c r="BL100">
        <v>44</v>
      </c>
      <c r="BM100">
        <v>50</v>
      </c>
      <c r="BN100">
        <v>33</v>
      </c>
      <c r="BO100">
        <v>86</v>
      </c>
      <c r="BP100">
        <v>68</v>
      </c>
      <c r="BQ100">
        <v>191</v>
      </c>
      <c r="BR100">
        <v>228</v>
      </c>
      <c r="BS100">
        <v>145</v>
      </c>
    </row>
    <row r="101" spans="63:71" x14ac:dyDescent="0.35">
      <c r="BK101" s="16" t="s">
        <v>271</v>
      </c>
      <c r="BN101">
        <v>0</v>
      </c>
      <c r="BS101">
        <v>0</v>
      </c>
    </row>
    <row r="102" spans="63:71" x14ac:dyDescent="0.35">
      <c r="BK102" s="16" t="s">
        <v>272</v>
      </c>
      <c r="BL102">
        <v>3</v>
      </c>
      <c r="BM102">
        <v>2</v>
      </c>
      <c r="BN102">
        <v>1</v>
      </c>
      <c r="BO102">
        <v>3</v>
      </c>
      <c r="BP102">
        <v>4</v>
      </c>
      <c r="BQ102">
        <v>2</v>
      </c>
      <c r="BR102">
        <v>4</v>
      </c>
      <c r="BS102">
        <v>3</v>
      </c>
    </row>
    <row r="103" spans="63:71" x14ac:dyDescent="0.35">
      <c r="BK103" s="16" t="s">
        <v>273</v>
      </c>
      <c r="BL103">
        <v>0</v>
      </c>
      <c r="BM103">
        <v>1</v>
      </c>
      <c r="BN103">
        <v>0</v>
      </c>
      <c r="BO103">
        <v>0</v>
      </c>
      <c r="BP103">
        <v>0</v>
      </c>
      <c r="BQ103">
        <v>3</v>
      </c>
      <c r="BR103">
        <v>1</v>
      </c>
      <c r="BS103">
        <v>0</v>
      </c>
    </row>
    <row r="104" spans="63:71" x14ac:dyDescent="0.35">
      <c r="BK104" s="16" t="s">
        <v>274</v>
      </c>
      <c r="BL104">
        <v>258</v>
      </c>
      <c r="BM104">
        <v>283</v>
      </c>
      <c r="BN104">
        <v>290</v>
      </c>
      <c r="BO104">
        <v>256</v>
      </c>
      <c r="BP104">
        <v>205</v>
      </c>
      <c r="BQ104">
        <v>321</v>
      </c>
      <c r="BR104">
        <v>233</v>
      </c>
      <c r="BS104">
        <v>257</v>
      </c>
    </row>
    <row r="105" spans="63:71" x14ac:dyDescent="0.35">
      <c r="BK105" s="16" t="s">
        <v>275</v>
      </c>
      <c r="BL105">
        <v>28</v>
      </c>
      <c r="BM105">
        <v>26</v>
      </c>
      <c r="BN105">
        <v>22</v>
      </c>
      <c r="BO105">
        <v>30</v>
      </c>
      <c r="BP105">
        <v>24</v>
      </c>
      <c r="BQ105">
        <v>27</v>
      </c>
      <c r="BR105">
        <v>11</v>
      </c>
      <c r="BS105">
        <v>7</v>
      </c>
    </row>
    <row r="106" spans="63:71" x14ac:dyDescent="0.35">
      <c r="BK106" s="16" t="s">
        <v>276</v>
      </c>
      <c r="BL106">
        <v>0</v>
      </c>
      <c r="BR106">
        <v>0</v>
      </c>
      <c r="BS106">
        <v>0</v>
      </c>
    </row>
    <row r="107" spans="63:71" x14ac:dyDescent="0.35">
      <c r="BK107" s="16" t="s">
        <v>277</v>
      </c>
      <c r="BL107">
        <v>0</v>
      </c>
      <c r="BM107">
        <v>0</v>
      </c>
      <c r="BN107">
        <v>0</v>
      </c>
      <c r="BO107">
        <v>2</v>
      </c>
      <c r="BP107">
        <v>0</v>
      </c>
      <c r="BQ107">
        <v>0</v>
      </c>
      <c r="BR107">
        <v>0</v>
      </c>
      <c r="BS107">
        <v>0</v>
      </c>
    </row>
    <row r="108" spans="63:71" x14ac:dyDescent="0.35">
      <c r="BK108" s="16" t="s">
        <v>278</v>
      </c>
      <c r="BL108">
        <v>154</v>
      </c>
      <c r="BM108">
        <v>138</v>
      </c>
      <c r="BN108">
        <v>150</v>
      </c>
      <c r="BO108">
        <v>225</v>
      </c>
      <c r="BP108">
        <v>151</v>
      </c>
      <c r="BQ108">
        <v>194</v>
      </c>
      <c r="BR108">
        <v>162</v>
      </c>
      <c r="BS108">
        <v>77</v>
      </c>
    </row>
    <row r="109" spans="63:71" x14ac:dyDescent="0.35">
      <c r="BK109" s="16" t="s">
        <v>279</v>
      </c>
      <c r="BL109">
        <v>17</v>
      </c>
      <c r="BM109">
        <v>6</v>
      </c>
      <c r="BN109">
        <v>9</v>
      </c>
      <c r="BO109">
        <v>26</v>
      </c>
      <c r="BP109">
        <v>34</v>
      </c>
      <c r="BQ109">
        <v>32</v>
      </c>
      <c r="BR109">
        <v>5</v>
      </c>
      <c r="BS109">
        <v>6</v>
      </c>
    </row>
    <row r="110" spans="63:71" x14ac:dyDescent="0.35">
      <c r="BK110" s="16" t="s">
        <v>280</v>
      </c>
      <c r="BL110">
        <v>169</v>
      </c>
      <c r="BM110">
        <v>172</v>
      </c>
      <c r="BN110">
        <v>203</v>
      </c>
      <c r="BO110">
        <v>312</v>
      </c>
      <c r="BP110">
        <v>254</v>
      </c>
      <c r="BQ110">
        <v>337</v>
      </c>
      <c r="BR110">
        <v>169</v>
      </c>
      <c r="BS110">
        <v>109</v>
      </c>
    </row>
    <row r="111" spans="63:71" x14ac:dyDescent="0.35">
      <c r="BK111" s="16" t="s">
        <v>385</v>
      </c>
      <c r="BL111">
        <v>0</v>
      </c>
      <c r="BM111">
        <v>0</v>
      </c>
      <c r="BN111">
        <v>0</v>
      </c>
      <c r="BO111">
        <v>0</v>
      </c>
      <c r="BP111">
        <v>1</v>
      </c>
      <c r="BQ111">
        <v>0</v>
      </c>
      <c r="BR111">
        <v>1</v>
      </c>
      <c r="BS111">
        <v>0</v>
      </c>
    </row>
    <row r="112" spans="63:71" x14ac:dyDescent="0.35">
      <c r="BK112" s="16" t="s">
        <v>281</v>
      </c>
      <c r="BL112">
        <v>94</v>
      </c>
      <c r="BM112">
        <v>140</v>
      </c>
      <c r="BN112">
        <v>131</v>
      </c>
      <c r="BO112">
        <v>114</v>
      </c>
      <c r="BP112">
        <v>162</v>
      </c>
      <c r="BQ112">
        <v>175</v>
      </c>
      <c r="BR112">
        <v>107</v>
      </c>
      <c r="BS112">
        <v>87</v>
      </c>
    </row>
    <row r="113" spans="63:71" x14ac:dyDescent="0.35">
      <c r="BK113" s="16" t="s">
        <v>282</v>
      </c>
      <c r="BL113">
        <v>163</v>
      </c>
      <c r="BM113">
        <v>201</v>
      </c>
      <c r="BN113">
        <v>186</v>
      </c>
      <c r="BO113">
        <v>313</v>
      </c>
      <c r="BP113">
        <v>197</v>
      </c>
      <c r="BQ113">
        <v>258</v>
      </c>
      <c r="BR113">
        <v>164</v>
      </c>
      <c r="BS113">
        <v>105</v>
      </c>
    </row>
    <row r="114" spans="63:71" x14ac:dyDescent="0.35">
      <c r="BK114" s="16" t="s">
        <v>283</v>
      </c>
      <c r="BL114">
        <v>71</v>
      </c>
      <c r="BM114">
        <v>67</v>
      </c>
      <c r="BN114">
        <v>52</v>
      </c>
      <c r="BO114">
        <v>44</v>
      </c>
      <c r="BP114">
        <v>104</v>
      </c>
      <c r="BQ114">
        <v>130</v>
      </c>
      <c r="BR114">
        <v>67</v>
      </c>
      <c r="BS114">
        <v>48</v>
      </c>
    </row>
    <row r="115" spans="63:71" x14ac:dyDescent="0.35">
      <c r="BK115" s="16" t="s">
        <v>284</v>
      </c>
      <c r="BL115">
        <v>8</v>
      </c>
      <c r="BM115">
        <v>21</v>
      </c>
      <c r="BN115">
        <v>16</v>
      </c>
      <c r="BO115">
        <v>25</v>
      </c>
      <c r="BP115">
        <v>14</v>
      </c>
      <c r="BQ115">
        <v>14</v>
      </c>
      <c r="BR115">
        <v>15</v>
      </c>
      <c r="BS115">
        <v>11</v>
      </c>
    </row>
    <row r="116" spans="63:71" x14ac:dyDescent="0.35">
      <c r="BK116" s="16" t="s">
        <v>285</v>
      </c>
      <c r="BL116">
        <v>86</v>
      </c>
      <c r="BM116">
        <v>131</v>
      </c>
      <c r="BN116">
        <v>38</v>
      </c>
      <c r="BO116">
        <v>71</v>
      </c>
      <c r="BP116">
        <v>28</v>
      </c>
      <c r="BQ116">
        <v>143</v>
      </c>
      <c r="BR116">
        <v>96</v>
      </c>
      <c r="BS116">
        <v>48</v>
      </c>
    </row>
    <row r="117" spans="63:71" x14ac:dyDescent="0.35">
      <c r="BK117" s="16" t="s">
        <v>386</v>
      </c>
      <c r="BS117">
        <v>0</v>
      </c>
    </row>
    <row r="118" spans="63:71" x14ac:dyDescent="0.35">
      <c r="BK118" s="16" t="s">
        <v>286</v>
      </c>
      <c r="BL118">
        <v>2</v>
      </c>
      <c r="BM118">
        <v>16</v>
      </c>
      <c r="BN118">
        <v>6</v>
      </c>
      <c r="BO118">
        <v>15</v>
      </c>
      <c r="BP118">
        <v>22</v>
      </c>
      <c r="BQ118">
        <v>54</v>
      </c>
      <c r="BR118">
        <v>19</v>
      </c>
      <c r="BS118">
        <v>19</v>
      </c>
    </row>
    <row r="119" spans="63:71" x14ac:dyDescent="0.35">
      <c r="BK119" s="16" t="s">
        <v>387</v>
      </c>
      <c r="BM119">
        <v>0</v>
      </c>
      <c r="BN119">
        <v>0</v>
      </c>
      <c r="BO119">
        <v>0</v>
      </c>
      <c r="BP119">
        <v>0</v>
      </c>
      <c r="BQ119">
        <v>0</v>
      </c>
      <c r="BR119">
        <v>0</v>
      </c>
      <c r="BS119">
        <v>0</v>
      </c>
    </row>
    <row r="120" spans="63:71" x14ac:dyDescent="0.35">
      <c r="BK120" s="16" t="s">
        <v>388</v>
      </c>
      <c r="BL120">
        <v>0</v>
      </c>
      <c r="BM120">
        <v>0</v>
      </c>
      <c r="BN120">
        <v>0</v>
      </c>
      <c r="BO120">
        <v>0</v>
      </c>
      <c r="BP120">
        <v>0</v>
      </c>
      <c r="BQ120">
        <v>0</v>
      </c>
      <c r="BR120">
        <v>0</v>
      </c>
      <c r="BS120">
        <v>0</v>
      </c>
    </row>
    <row r="121" spans="63:71" x14ac:dyDescent="0.35">
      <c r="BK121" s="16" t="s">
        <v>287</v>
      </c>
      <c r="BL121">
        <v>17</v>
      </c>
      <c r="BM121">
        <v>15</v>
      </c>
      <c r="BN121">
        <v>35</v>
      </c>
      <c r="BO121">
        <v>49</v>
      </c>
      <c r="BP121">
        <v>23</v>
      </c>
      <c r="BQ121">
        <v>73</v>
      </c>
      <c r="BR121">
        <v>14</v>
      </c>
      <c r="BS121">
        <v>3</v>
      </c>
    </row>
    <row r="122" spans="63:71" x14ac:dyDescent="0.35">
      <c r="BK122" s="16" t="s">
        <v>290</v>
      </c>
      <c r="BL122">
        <v>292</v>
      </c>
      <c r="BM122">
        <v>255</v>
      </c>
      <c r="BN122">
        <v>309</v>
      </c>
      <c r="BO122">
        <v>337</v>
      </c>
      <c r="BP122">
        <v>262</v>
      </c>
      <c r="BQ122">
        <v>334</v>
      </c>
      <c r="BR122">
        <v>212</v>
      </c>
      <c r="BS122">
        <v>193</v>
      </c>
    </row>
    <row r="123" spans="63:71" x14ac:dyDescent="0.35">
      <c r="BK123" s="16" t="s">
        <v>291</v>
      </c>
      <c r="BL123">
        <v>2</v>
      </c>
      <c r="BM123">
        <v>0</v>
      </c>
      <c r="BN123">
        <v>0</v>
      </c>
      <c r="BO123">
        <v>1</v>
      </c>
      <c r="BP123">
        <v>2</v>
      </c>
      <c r="BQ123">
        <v>5</v>
      </c>
      <c r="BR123">
        <v>0</v>
      </c>
      <c r="BS123">
        <v>0</v>
      </c>
    </row>
    <row r="124" spans="63:71" x14ac:dyDescent="0.35">
      <c r="BK124" s="16" t="s">
        <v>292</v>
      </c>
      <c r="BL124">
        <v>32</v>
      </c>
      <c r="BM124">
        <v>37</v>
      </c>
      <c r="BN124">
        <v>21</v>
      </c>
      <c r="BO124">
        <v>36</v>
      </c>
      <c r="BP124">
        <v>7</v>
      </c>
      <c r="BQ124">
        <v>34</v>
      </c>
      <c r="BR124">
        <v>26</v>
      </c>
      <c r="BS124">
        <v>23</v>
      </c>
    </row>
    <row r="125" spans="63:71" x14ac:dyDescent="0.35">
      <c r="BK125" s="16" t="s">
        <v>293</v>
      </c>
      <c r="BL125">
        <v>81</v>
      </c>
      <c r="BM125">
        <v>97</v>
      </c>
      <c r="BN125">
        <v>81</v>
      </c>
      <c r="BO125">
        <v>105</v>
      </c>
      <c r="BP125">
        <v>146</v>
      </c>
      <c r="BQ125">
        <v>159</v>
      </c>
      <c r="BR125">
        <v>97</v>
      </c>
      <c r="BS125">
        <v>85</v>
      </c>
    </row>
    <row r="126" spans="63:71" x14ac:dyDescent="0.35">
      <c r="BK126" s="16" t="s">
        <v>294</v>
      </c>
      <c r="BL126">
        <v>48</v>
      </c>
      <c r="BM126">
        <v>41</v>
      </c>
      <c r="BN126">
        <v>39</v>
      </c>
      <c r="BO126">
        <v>56</v>
      </c>
      <c r="BP126">
        <v>105</v>
      </c>
      <c r="BQ126">
        <v>135</v>
      </c>
      <c r="BR126">
        <v>48</v>
      </c>
      <c r="BS126">
        <v>3</v>
      </c>
    </row>
    <row r="127" spans="63:71" x14ac:dyDescent="0.35">
      <c r="BK127" s="16" t="s">
        <v>296</v>
      </c>
      <c r="BL127">
        <v>67</v>
      </c>
      <c r="BM127">
        <v>15</v>
      </c>
      <c r="BN127">
        <v>88</v>
      </c>
      <c r="BO127">
        <v>104</v>
      </c>
      <c r="BP127">
        <v>66</v>
      </c>
      <c r="BQ127">
        <v>220</v>
      </c>
      <c r="BR127">
        <v>115</v>
      </c>
      <c r="BS127">
        <v>66</v>
      </c>
    </row>
    <row r="128" spans="63:71" x14ac:dyDescent="0.35">
      <c r="BK128" s="16" t="s">
        <v>297</v>
      </c>
      <c r="BO128">
        <v>0</v>
      </c>
      <c r="BQ128">
        <v>0</v>
      </c>
      <c r="BS128">
        <v>0</v>
      </c>
    </row>
    <row r="129" spans="63:71" x14ac:dyDescent="0.35">
      <c r="BK129" s="16" t="s">
        <v>299</v>
      </c>
      <c r="BL129">
        <v>274</v>
      </c>
      <c r="BM129">
        <v>305</v>
      </c>
      <c r="BN129">
        <v>366</v>
      </c>
      <c r="BO129">
        <v>451</v>
      </c>
      <c r="BP129">
        <v>277</v>
      </c>
      <c r="BQ129">
        <v>417</v>
      </c>
      <c r="BR129">
        <v>152</v>
      </c>
      <c r="BS129">
        <v>102</v>
      </c>
    </row>
    <row r="130" spans="63:71" x14ac:dyDescent="0.35">
      <c r="BK130" s="16" t="s">
        <v>300</v>
      </c>
      <c r="BL130">
        <v>335</v>
      </c>
      <c r="BM130">
        <v>284</v>
      </c>
      <c r="BN130">
        <v>331</v>
      </c>
      <c r="BO130">
        <v>350</v>
      </c>
      <c r="BP130">
        <v>312</v>
      </c>
      <c r="BQ130">
        <v>378</v>
      </c>
      <c r="BR130">
        <v>326</v>
      </c>
      <c r="BS130">
        <v>188</v>
      </c>
    </row>
    <row r="131" spans="63:71" x14ac:dyDescent="0.35">
      <c r="BK131" s="16" t="s">
        <v>302</v>
      </c>
      <c r="BL131">
        <v>223</v>
      </c>
      <c r="BM131">
        <v>190</v>
      </c>
      <c r="BN131">
        <v>200</v>
      </c>
      <c r="BO131">
        <v>210</v>
      </c>
      <c r="BP131">
        <v>294</v>
      </c>
      <c r="BQ131">
        <v>300</v>
      </c>
      <c r="BR131">
        <v>156</v>
      </c>
      <c r="BS131">
        <v>113</v>
      </c>
    </row>
    <row r="132" spans="63:71" x14ac:dyDescent="0.35">
      <c r="BK132" s="16" t="s">
        <v>303</v>
      </c>
      <c r="BL132">
        <v>295</v>
      </c>
      <c r="BM132">
        <v>278</v>
      </c>
      <c r="BN132">
        <v>195</v>
      </c>
      <c r="BO132">
        <v>222</v>
      </c>
      <c r="BP132">
        <v>151</v>
      </c>
      <c r="BQ132">
        <v>405</v>
      </c>
      <c r="BR132">
        <v>310</v>
      </c>
      <c r="BS132">
        <v>237</v>
      </c>
    </row>
    <row r="133" spans="63:71" x14ac:dyDescent="0.35">
      <c r="BK133" s="16" t="s">
        <v>304</v>
      </c>
      <c r="BL133">
        <v>3</v>
      </c>
      <c r="BM133">
        <v>1</v>
      </c>
      <c r="BN133">
        <v>1</v>
      </c>
      <c r="BO133">
        <v>1</v>
      </c>
      <c r="BP133">
        <v>0</v>
      </c>
      <c r="BQ133">
        <v>0</v>
      </c>
      <c r="BR133">
        <v>2</v>
      </c>
      <c r="BS133">
        <v>3</v>
      </c>
    </row>
    <row r="134" spans="63:71" x14ac:dyDescent="0.35">
      <c r="BK134" s="16" t="s">
        <v>305</v>
      </c>
      <c r="BL134">
        <v>28</v>
      </c>
      <c r="BM134">
        <v>4</v>
      </c>
      <c r="BN134">
        <v>9</v>
      </c>
      <c r="BO134">
        <v>17</v>
      </c>
      <c r="BP134">
        <v>35</v>
      </c>
      <c r="BQ134">
        <v>78</v>
      </c>
      <c r="BR134">
        <v>27</v>
      </c>
      <c r="BS134">
        <v>4</v>
      </c>
    </row>
    <row r="135" spans="63:71" x14ac:dyDescent="0.35">
      <c r="BK135" s="16" t="s">
        <v>306</v>
      </c>
      <c r="BL135">
        <v>826</v>
      </c>
      <c r="BM135">
        <v>808</v>
      </c>
      <c r="BN135">
        <v>702</v>
      </c>
      <c r="BO135">
        <v>715</v>
      </c>
      <c r="BP135">
        <v>486</v>
      </c>
      <c r="BQ135">
        <v>910</v>
      </c>
      <c r="BR135">
        <v>497</v>
      </c>
      <c r="BS135">
        <v>497</v>
      </c>
    </row>
    <row r="136" spans="63:71" x14ac:dyDescent="0.35">
      <c r="BK136" s="16" t="s">
        <v>307</v>
      </c>
      <c r="BL136">
        <v>297</v>
      </c>
      <c r="BM136">
        <v>224</v>
      </c>
      <c r="BN136">
        <v>183</v>
      </c>
      <c r="BO136">
        <v>287</v>
      </c>
      <c r="BP136">
        <v>197</v>
      </c>
      <c r="BQ136">
        <v>313</v>
      </c>
      <c r="BR136">
        <v>278</v>
      </c>
      <c r="BS136">
        <v>252</v>
      </c>
    </row>
    <row r="137" spans="63:71" x14ac:dyDescent="0.35">
      <c r="BK137" s="16" t="s">
        <v>308</v>
      </c>
      <c r="BL137">
        <v>222</v>
      </c>
      <c r="BM137">
        <v>144</v>
      </c>
      <c r="BN137">
        <v>163</v>
      </c>
      <c r="BO137">
        <v>232</v>
      </c>
      <c r="BP137">
        <v>144</v>
      </c>
      <c r="BQ137">
        <v>194</v>
      </c>
      <c r="BR137">
        <v>155</v>
      </c>
      <c r="BS137">
        <v>199</v>
      </c>
    </row>
    <row r="138" spans="63:71" x14ac:dyDescent="0.35">
      <c r="BK138" s="16" t="s">
        <v>309</v>
      </c>
      <c r="BL138">
        <v>79</v>
      </c>
      <c r="BM138">
        <v>88</v>
      </c>
      <c r="BN138">
        <v>142</v>
      </c>
      <c r="BO138">
        <v>121</v>
      </c>
      <c r="BP138">
        <v>212</v>
      </c>
      <c r="BQ138">
        <v>194</v>
      </c>
      <c r="BR138">
        <v>157</v>
      </c>
      <c r="BS138">
        <v>82</v>
      </c>
    </row>
    <row r="139" spans="63:71" x14ac:dyDescent="0.35">
      <c r="BK139" s="16" t="s">
        <v>310</v>
      </c>
      <c r="BL139">
        <v>451</v>
      </c>
      <c r="BM139">
        <v>479</v>
      </c>
      <c r="BN139">
        <v>481</v>
      </c>
      <c r="BO139">
        <v>507</v>
      </c>
      <c r="BP139">
        <v>350</v>
      </c>
      <c r="BQ139">
        <v>567</v>
      </c>
      <c r="BR139">
        <v>222</v>
      </c>
      <c r="BS139">
        <v>221</v>
      </c>
    </row>
    <row r="140" spans="63:71" x14ac:dyDescent="0.35">
      <c r="BK140" s="16" t="s">
        <v>311</v>
      </c>
      <c r="BL140">
        <v>478</v>
      </c>
      <c r="BM140">
        <v>413</v>
      </c>
      <c r="BN140">
        <v>216</v>
      </c>
      <c r="BO140">
        <v>332</v>
      </c>
      <c r="BP140">
        <v>171</v>
      </c>
      <c r="BQ140">
        <v>491</v>
      </c>
      <c r="BR140">
        <v>450</v>
      </c>
      <c r="BS140">
        <v>394</v>
      </c>
    </row>
    <row r="141" spans="63:71" x14ac:dyDescent="0.35">
      <c r="BK141" s="16" t="s">
        <v>312</v>
      </c>
      <c r="BL141">
        <v>118</v>
      </c>
      <c r="BM141">
        <v>60</v>
      </c>
      <c r="BN141">
        <v>74</v>
      </c>
      <c r="BO141">
        <v>59</v>
      </c>
      <c r="BP141">
        <v>63</v>
      </c>
      <c r="BQ141">
        <v>140</v>
      </c>
      <c r="BR141">
        <v>51</v>
      </c>
      <c r="BS141">
        <v>30</v>
      </c>
    </row>
    <row r="142" spans="63:71" x14ac:dyDescent="0.35">
      <c r="BK142" s="16" t="s">
        <v>313</v>
      </c>
      <c r="BL142">
        <v>449</v>
      </c>
      <c r="BM142">
        <v>460</v>
      </c>
      <c r="BN142">
        <v>452</v>
      </c>
      <c r="BO142">
        <v>482</v>
      </c>
      <c r="BP142">
        <v>305</v>
      </c>
      <c r="BQ142">
        <v>489</v>
      </c>
      <c r="BR142">
        <v>315</v>
      </c>
      <c r="BS142">
        <v>449</v>
      </c>
    </row>
    <row r="143" spans="63:71" x14ac:dyDescent="0.35">
      <c r="BK143" s="16" t="s">
        <v>314</v>
      </c>
      <c r="BL143">
        <v>339</v>
      </c>
      <c r="BM143">
        <v>364</v>
      </c>
      <c r="BN143">
        <v>253</v>
      </c>
      <c r="BO143">
        <v>324</v>
      </c>
      <c r="BP143">
        <v>337</v>
      </c>
      <c r="BQ143">
        <v>342</v>
      </c>
      <c r="BR143">
        <v>267</v>
      </c>
      <c r="BS143">
        <v>332</v>
      </c>
    </row>
    <row r="144" spans="63:71" x14ac:dyDescent="0.35">
      <c r="BK144" s="16" t="s">
        <v>315</v>
      </c>
      <c r="BL144">
        <v>154</v>
      </c>
      <c r="BM144">
        <v>70</v>
      </c>
      <c r="BN144">
        <v>80</v>
      </c>
      <c r="BO144">
        <v>119</v>
      </c>
      <c r="BP144">
        <v>113</v>
      </c>
      <c r="BQ144">
        <v>194</v>
      </c>
      <c r="BR144">
        <v>128</v>
      </c>
      <c r="BS144">
        <v>48</v>
      </c>
    </row>
    <row r="145" spans="63:77" x14ac:dyDescent="0.35">
      <c r="BK145" s="16" t="s">
        <v>316</v>
      </c>
      <c r="BL145">
        <v>133</v>
      </c>
      <c r="BM145">
        <v>217</v>
      </c>
      <c r="BN145">
        <v>194</v>
      </c>
      <c r="BO145">
        <v>217</v>
      </c>
      <c r="BP145">
        <v>145</v>
      </c>
      <c r="BQ145">
        <v>255</v>
      </c>
      <c r="BR145">
        <v>120</v>
      </c>
      <c r="BS145">
        <v>37</v>
      </c>
    </row>
    <row r="146" spans="63:77" x14ac:dyDescent="0.35">
      <c r="BK146" s="16" t="s">
        <v>317</v>
      </c>
      <c r="BL146">
        <v>36</v>
      </c>
      <c r="BM146">
        <v>27</v>
      </c>
      <c r="BN146">
        <v>28</v>
      </c>
      <c r="BO146">
        <v>71</v>
      </c>
      <c r="BP146">
        <v>21</v>
      </c>
      <c r="BQ146">
        <v>161</v>
      </c>
      <c r="BR146">
        <v>122</v>
      </c>
      <c r="BS146">
        <v>62</v>
      </c>
    </row>
    <row r="147" spans="63:77" x14ac:dyDescent="0.35">
      <c r="BK147" s="16" t="s">
        <v>318</v>
      </c>
      <c r="BL147">
        <v>57</v>
      </c>
      <c r="BM147">
        <v>23</v>
      </c>
      <c r="BN147">
        <v>29</v>
      </c>
      <c r="BO147">
        <v>4</v>
      </c>
      <c r="BP147">
        <v>13</v>
      </c>
      <c r="BQ147">
        <v>83</v>
      </c>
      <c r="BR147">
        <v>73</v>
      </c>
      <c r="BS147">
        <v>0</v>
      </c>
    </row>
    <row r="148" spans="63:77" x14ac:dyDescent="0.35">
      <c r="BK148" s="16" t="s">
        <v>389</v>
      </c>
      <c r="BL148">
        <v>0</v>
      </c>
      <c r="BM148">
        <v>1</v>
      </c>
      <c r="BN148">
        <v>0</v>
      </c>
      <c r="BO148">
        <v>1</v>
      </c>
      <c r="BP148">
        <v>0</v>
      </c>
      <c r="BQ148">
        <v>0</v>
      </c>
      <c r="BR148">
        <v>0</v>
      </c>
      <c r="BS148">
        <v>0</v>
      </c>
    </row>
    <row r="149" spans="63:77" x14ac:dyDescent="0.35">
      <c r="BK149" s="16" t="s">
        <v>319</v>
      </c>
      <c r="BL149">
        <v>57</v>
      </c>
      <c r="BM149">
        <v>152</v>
      </c>
      <c r="BN149">
        <v>94</v>
      </c>
      <c r="BO149">
        <v>59</v>
      </c>
      <c r="BP149">
        <v>134</v>
      </c>
      <c r="BQ149">
        <v>140</v>
      </c>
      <c r="BR149">
        <v>155</v>
      </c>
      <c r="BS149">
        <v>93</v>
      </c>
    </row>
    <row r="150" spans="63:77" x14ac:dyDescent="0.35">
      <c r="BK150" s="16" t="s">
        <v>320</v>
      </c>
      <c r="BL150">
        <v>4</v>
      </c>
      <c r="BM150">
        <v>11</v>
      </c>
      <c r="BN150">
        <v>9</v>
      </c>
      <c r="BO150">
        <v>12</v>
      </c>
      <c r="BP150">
        <v>4</v>
      </c>
      <c r="BQ150">
        <v>35</v>
      </c>
      <c r="BR150">
        <v>9</v>
      </c>
      <c r="BS150">
        <v>5</v>
      </c>
    </row>
    <row r="151" spans="63:77" x14ac:dyDescent="0.35">
      <c r="BK151" s="16" t="s">
        <v>321</v>
      </c>
      <c r="BL151">
        <v>81</v>
      </c>
      <c r="BM151">
        <v>164</v>
      </c>
      <c r="BN151">
        <v>135</v>
      </c>
      <c r="BO151">
        <v>153</v>
      </c>
      <c r="BP151">
        <v>82</v>
      </c>
      <c r="BQ151">
        <v>221</v>
      </c>
      <c r="BR151">
        <v>96</v>
      </c>
      <c r="BS151">
        <v>110</v>
      </c>
    </row>
    <row r="152" spans="63:77" x14ac:dyDescent="0.35">
      <c r="BK152" s="16" t="s">
        <v>322</v>
      </c>
      <c r="BL152">
        <v>284</v>
      </c>
      <c r="BM152">
        <v>395</v>
      </c>
      <c r="BN152">
        <v>301</v>
      </c>
      <c r="BO152">
        <v>391</v>
      </c>
      <c r="BP152">
        <v>413</v>
      </c>
      <c r="BQ152">
        <v>437</v>
      </c>
      <c r="BR152">
        <v>270</v>
      </c>
      <c r="BS152">
        <v>328</v>
      </c>
    </row>
    <row r="153" spans="63:77" x14ac:dyDescent="0.35">
      <c r="BK153" s="16" t="s">
        <v>323</v>
      </c>
      <c r="BL153">
        <v>124</v>
      </c>
      <c r="BM153">
        <v>149</v>
      </c>
      <c r="BN153">
        <v>143</v>
      </c>
      <c r="BO153">
        <v>117</v>
      </c>
      <c r="BP153">
        <v>70</v>
      </c>
      <c r="BQ153">
        <v>177</v>
      </c>
      <c r="BR153">
        <v>147</v>
      </c>
      <c r="BS153">
        <v>83</v>
      </c>
    </row>
    <row r="154" spans="63:77" x14ac:dyDescent="0.35">
      <c r="BK154" s="16" t="s">
        <v>324</v>
      </c>
      <c r="BL154">
        <v>119</v>
      </c>
      <c r="BM154">
        <v>69</v>
      </c>
      <c r="BN154">
        <v>121</v>
      </c>
      <c r="BO154">
        <v>107</v>
      </c>
      <c r="BP154">
        <v>105</v>
      </c>
      <c r="BQ154">
        <v>161</v>
      </c>
      <c r="BR154">
        <v>111</v>
      </c>
      <c r="BS154">
        <v>41</v>
      </c>
    </row>
    <row r="155" spans="63:77" x14ac:dyDescent="0.35">
      <c r="BK155" s="16" t="s">
        <v>325</v>
      </c>
      <c r="BL155">
        <v>266</v>
      </c>
      <c r="BM155">
        <v>297</v>
      </c>
      <c r="BN155">
        <v>260</v>
      </c>
      <c r="BO155">
        <v>354</v>
      </c>
      <c r="BP155">
        <v>324</v>
      </c>
      <c r="BQ155">
        <v>371</v>
      </c>
      <c r="BR155">
        <v>280</v>
      </c>
      <c r="BS155">
        <v>201</v>
      </c>
    </row>
    <row r="157" spans="63:77" x14ac:dyDescent="0.35">
      <c r="BL157" s="23" t="s">
        <v>1</v>
      </c>
      <c r="BM157" s="23" t="s">
        <v>2</v>
      </c>
      <c r="BN157" s="23" t="s">
        <v>3</v>
      </c>
      <c r="BO157" s="23" t="s">
        <v>4</v>
      </c>
      <c r="BP157" s="23" t="s">
        <v>5</v>
      </c>
      <c r="BQ157" s="23" t="s">
        <v>6</v>
      </c>
      <c r="BR157" s="23" t="s">
        <v>7</v>
      </c>
      <c r="BS157" s="23" t="s">
        <v>8</v>
      </c>
      <c r="BT157" s="23" t="s">
        <v>9</v>
      </c>
      <c r="BU157" s="23" t="s">
        <v>10</v>
      </c>
      <c r="BV157" s="23" t="s">
        <v>11</v>
      </c>
      <c r="BW157" s="23" t="s">
        <v>12</v>
      </c>
      <c r="BX157" s="23" t="s">
        <v>13</v>
      </c>
      <c r="BY157" s="23" t="s">
        <v>14</v>
      </c>
    </row>
    <row r="158" spans="63:77" x14ac:dyDescent="0.35">
      <c r="BL158">
        <f>IF(COUNTIF(BL7:BL148,"&gt;0")=0,"",COUNTIF(BL7:BL148,"&gt;0"))</f>
        <v>112</v>
      </c>
      <c r="BM158">
        <f t="shared" ref="BM158:BT158" si="24">IF(COUNTIF(BM7:BM148,"&gt;0")=0,"",COUNTIF(BM7:BM148,"&gt;0"))</f>
        <v>115</v>
      </c>
      <c r="BN158">
        <f t="shared" si="24"/>
        <v>112</v>
      </c>
      <c r="BO158">
        <f t="shared" si="24"/>
        <v>114</v>
      </c>
      <c r="BP158">
        <f t="shared" si="24"/>
        <v>114</v>
      </c>
      <c r="BQ158">
        <f t="shared" si="24"/>
        <v>114</v>
      </c>
      <c r="BR158">
        <f t="shared" si="24"/>
        <v>114</v>
      </c>
      <c r="BS158">
        <f t="shared" si="24"/>
        <v>112</v>
      </c>
      <c r="BT158" t="str">
        <f t="shared" si="24"/>
        <v/>
      </c>
      <c r="BU158" t="str">
        <f t="shared" ref="BU158:BY158" si="25">IF(COUNTIF(BU7:BU140,"&gt;0")=0,"",COUNTIF(BU7:BU140,"&gt;0"))</f>
        <v/>
      </c>
      <c r="BV158" t="str">
        <f t="shared" si="25"/>
        <v/>
      </c>
      <c r="BW158" t="str">
        <f t="shared" si="25"/>
        <v/>
      </c>
      <c r="BX158" t="str">
        <f t="shared" si="25"/>
        <v/>
      </c>
      <c r="BY158" t="str">
        <f t="shared" si="25"/>
        <v/>
      </c>
    </row>
  </sheetData>
  <pageMargins left="0.7" right="0.7" top="0.75" bottom="0.75" header="0.3" footer="0.3"/>
  <pageSetup orientation="portrait" horizontalDpi="1200" r:id="rId4"/>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1677F5-F613-4FAC-8F0F-E722C75E9D99}">
  <dimension ref="A1:U100"/>
  <sheetViews>
    <sheetView zoomScale="85" zoomScaleNormal="85" workbookViewId="0">
      <selection activeCell="N32" sqref="N32"/>
    </sheetView>
  </sheetViews>
  <sheetFormatPr defaultRowHeight="14.5" x14ac:dyDescent="0.35"/>
  <cols>
    <col min="1" max="1" width="11.81640625" bestFit="1" customWidth="1"/>
    <col min="2" max="2" width="11.81640625" customWidth="1"/>
    <col min="3" max="3" width="11" bestFit="1" customWidth="1"/>
    <col min="4" max="4" width="16.81640625" bestFit="1" customWidth="1"/>
    <col min="5" max="5" width="8.54296875" bestFit="1" customWidth="1"/>
    <col min="6" max="6" width="10.1796875" bestFit="1" customWidth="1"/>
    <col min="7" max="7" width="27" bestFit="1" customWidth="1"/>
    <col min="8" max="8" width="12.54296875" bestFit="1" customWidth="1"/>
    <col min="9" max="9" width="11.81640625" bestFit="1" customWidth="1"/>
    <col min="10" max="10" width="12.7265625" bestFit="1" customWidth="1"/>
    <col min="13" max="13" width="13.1796875" bestFit="1" customWidth="1"/>
    <col min="14" max="14" width="19.26953125" bestFit="1" customWidth="1"/>
    <col min="15" max="15" width="23.54296875" bestFit="1" customWidth="1"/>
    <col min="16" max="16" width="16.81640625" bestFit="1" customWidth="1"/>
    <col min="17" max="17" width="18.7265625" bestFit="1" customWidth="1"/>
    <col min="18" max="18" width="32.1796875" bestFit="1" customWidth="1"/>
    <col min="19" max="19" width="20.7265625" bestFit="1" customWidth="1"/>
    <col min="20" max="20" width="19.54296875" bestFit="1" customWidth="1"/>
    <col min="21" max="21" width="20.54296875" bestFit="1" customWidth="1"/>
  </cols>
  <sheetData>
    <row r="1" spans="1:21" x14ac:dyDescent="0.35">
      <c r="A1" t="s">
        <v>390</v>
      </c>
    </row>
    <row r="2" spans="1:21" x14ac:dyDescent="0.35">
      <c r="A2" s="102" t="s">
        <v>391</v>
      </c>
      <c r="B2" s="102" t="s">
        <v>392</v>
      </c>
      <c r="C2" s="103" t="s">
        <v>393</v>
      </c>
      <c r="D2" s="104" t="s">
        <v>24</v>
      </c>
      <c r="E2" s="105" t="s">
        <v>21</v>
      </c>
      <c r="F2" s="105" t="s">
        <v>22</v>
      </c>
      <c r="G2" s="105" t="s">
        <v>138</v>
      </c>
      <c r="H2" s="105" t="s">
        <v>26</v>
      </c>
      <c r="I2" s="105" t="s">
        <v>27</v>
      </c>
      <c r="J2" s="106" t="s">
        <v>28</v>
      </c>
    </row>
    <row r="3" spans="1:21" x14ac:dyDescent="0.35">
      <c r="A3" s="97"/>
      <c r="B3" s="107" t="s">
        <v>1</v>
      </c>
      <c r="C3" s="98">
        <v>4775</v>
      </c>
      <c r="D3" s="99">
        <v>413</v>
      </c>
      <c r="E3" s="100">
        <v>846</v>
      </c>
      <c r="F3" s="100">
        <v>950</v>
      </c>
      <c r="G3" s="100">
        <v>825</v>
      </c>
      <c r="H3" s="100">
        <v>786</v>
      </c>
      <c r="I3" s="100">
        <v>634</v>
      </c>
      <c r="J3" s="101">
        <v>321</v>
      </c>
      <c r="M3" s="15" t="s">
        <v>134</v>
      </c>
      <c r="N3" t="s">
        <v>394</v>
      </c>
      <c r="O3" t="s">
        <v>395</v>
      </c>
      <c r="P3" t="s">
        <v>396</v>
      </c>
      <c r="Q3" t="s">
        <v>397</v>
      </c>
      <c r="R3" t="s">
        <v>398</v>
      </c>
      <c r="S3" t="s">
        <v>399</v>
      </c>
      <c r="T3" t="s">
        <v>400</v>
      </c>
      <c r="U3" t="s">
        <v>401</v>
      </c>
    </row>
    <row r="4" spans="1:21" x14ac:dyDescent="0.35">
      <c r="A4" s="97"/>
      <c r="B4" s="107" t="s">
        <v>1</v>
      </c>
      <c r="C4" s="98">
        <v>4847</v>
      </c>
      <c r="D4" s="99">
        <v>431</v>
      </c>
      <c r="E4" s="100">
        <v>842</v>
      </c>
      <c r="F4" s="100">
        <v>944</v>
      </c>
      <c r="G4" s="100">
        <v>828</v>
      </c>
      <c r="H4" s="100">
        <v>827</v>
      </c>
      <c r="I4" s="100">
        <v>648</v>
      </c>
      <c r="J4" s="101">
        <v>327</v>
      </c>
      <c r="M4" s="16" t="s">
        <v>1</v>
      </c>
      <c r="N4" s="22">
        <v>4968.5714285714284</v>
      </c>
      <c r="O4" s="22">
        <v>437.71428571428572</v>
      </c>
      <c r="P4" s="22">
        <v>847</v>
      </c>
      <c r="Q4" s="22">
        <v>964.14285714285711</v>
      </c>
      <c r="R4" s="22">
        <v>836.28571428571433</v>
      </c>
      <c r="S4" s="22">
        <v>850.71428571428567</v>
      </c>
      <c r="T4" s="22">
        <v>684.57142857142856</v>
      </c>
      <c r="U4" s="22">
        <v>348.14285714285717</v>
      </c>
    </row>
    <row r="5" spans="1:21" x14ac:dyDescent="0.35">
      <c r="A5" s="97"/>
      <c r="B5" s="107" t="s">
        <v>1</v>
      </c>
      <c r="C5" s="98">
        <v>4964</v>
      </c>
      <c r="D5" s="99">
        <v>431</v>
      </c>
      <c r="E5" s="100">
        <v>866</v>
      </c>
      <c r="F5" s="100">
        <v>942</v>
      </c>
      <c r="G5" s="100">
        <v>827</v>
      </c>
      <c r="H5" s="100">
        <v>900</v>
      </c>
      <c r="I5" s="100">
        <v>665</v>
      </c>
      <c r="J5" s="101">
        <v>333</v>
      </c>
      <c r="M5" s="16" t="s">
        <v>2</v>
      </c>
      <c r="N5" s="22">
        <v>5649.7142857142853</v>
      </c>
      <c r="O5" s="22">
        <v>540.14285714285711</v>
      </c>
      <c r="P5" s="22">
        <v>934.71428571428567</v>
      </c>
      <c r="Q5" s="22">
        <v>1038.4285714285713</v>
      </c>
      <c r="R5" s="22">
        <v>905.14285714285711</v>
      </c>
      <c r="S5" s="22">
        <v>896</v>
      </c>
      <c r="T5" s="22">
        <v>817.57142857142856</v>
      </c>
      <c r="U5" s="22">
        <v>517.71428571428567</v>
      </c>
    </row>
    <row r="6" spans="1:21" x14ac:dyDescent="0.35">
      <c r="A6" s="97"/>
      <c r="B6" s="107" t="s">
        <v>1</v>
      </c>
      <c r="C6" s="98">
        <v>4990</v>
      </c>
      <c r="D6" s="99">
        <v>440</v>
      </c>
      <c r="E6" s="100">
        <v>849</v>
      </c>
      <c r="F6" s="100">
        <v>959</v>
      </c>
      <c r="G6" s="100">
        <v>845</v>
      </c>
      <c r="H6" s="100">
        <v>863</v>
      </c>
      <c r="I6" s="100">
        <v>691</v>
      </c>
      <c r="J6" s="101">
        <v>343</v>
      </c>
      <c r="M6" s="16" t="s">
        <v>3</v>
      </c>
      <c r="N6" s="22">
        <v>6917.8571428571431</v>
      </c>
      <c r="O6" s="22">
        <v>741.57142857142856</v>
      </c>
      <c r="P6" s="22">
        <v>1070.5714285714287</v>
      </c>
      <c r="Q6" s="22">
        <v>1275.8571428571429</v>
      </c>
      <c r="R6" s="22">
        <v>1090</v>
      </c>
      <c r="S6" s="22">
        <v>1014</v>
      </c>
      <c r="T6" s="22">
        <v>995.85714285714289</v>
      </c>
      <c r="U6" s="22">
        <v>730</v>
      </c>
    </row>
    <row r="7" spans="1:21" x14ac:dyDescent="0.35">
      <c r="A7" s="97"/>
      <c r="B7" s="107" t="s">
        <v>1</v>
      </c>
      <c r="C7" s="98">
        <v>5027</v>
      </c>
      <c r="D7" s="99">
        <v>434</v>
      </c>
      <c r="E7" s="100">
        <v>849</v>
      </c>
      <c r="F7" s="100">
        <v>975</v>
      </c>
      <c r="G7" s="100">
        <v>850</v>
      </c>
      <c r="H7" s="100">
        <v>857</v>
      </c>
      <c r="I7" s="100">
        <v>703</v>
      </c>
      <c r="J7" s="101">
        <v>359</v>
      </c>
      <c r="M7" s="16" t="s">
        <v>4</v>
      </c>
      <c r="N7" s="22">
        <v>8711.1428571428569</v>
      </c>
      <c r="O7" s="22">
        <v>968.57142857142856</v>
      </c>
      <c r="P7" s="22">
        <v>1285.2857142857142</v>
      </c>
      <c r="Q7" s="22">
        <v>1593.4285714285713</v>
      </c>
      <c r="R7" s="22">
        <v>1350.1428571428571</v>
      </c>
      <c r="S7" s="22">
        <v>1173.8571428571429</v>
      </c>
      <c r="T7" s="22">
        <v>1356.7142857142858</v>
      </c>
      <c r="U7" s="22">
        <v>983.14285714285711</v>
      </c>
    </row>
    <row r="8" spans="1:21" x14ac:dyDescent="0.35">
      <c r="A8" s="97"/>
      <c r="B8" s="107" t="s">
        <v>1</v>
      </c>
      <c r="C8" s="98">
        <v>5022</v>
      </c>
      <c r="D8" s="99">
        <v>449</v>
      </c>
      <c r="E8" s="100">
        <v>823</v>
      </c>
      <c r="F8" s="100">
        <v>993</v>
      </c>
      <c r="G8" s="100">
        <v>831</v>
      </c>
      <c r="H8" s="100">
        <v>860</v>
      </c>
      <c r="I8" s="100">
        <v>708</v>
      </c>
      <c r="J8" s="101">
        <v>358</v>
      </c>
      <c r="M8" s="16" t="s">
        <v>5</v>
      </c>
      <c r="N8" s="22">
        <v>9389.8571428571431</v>
      </c>
      <c r="O8" s="22">
        <v>961.85714285714289</v>
      </c>
      <c r="P8" s="22">
        <v>1454.7142857142858</v>
      </c>
      <c r="Q8" s="22">
        <v>1707</v>
      </c>
      <c r="R8" s="22">
        <v>1464.7142857142858</v>
      </c>
      <c r="S8" s="22">
        <v>1321.8571428571429</v>
      </c>
      <c r="T8" s="22">
        <v>1547.4285714285713</v>
      </c>
      <c r="U8" s="22">
        <v>932.28571428571433</v>
      </c>
    </row>
    <row r="9" spans="1:21" x14ac:dyDescent="0.35">
      <c r="A9" s="97"/>
      <c r="B9" s="107" t="s">
        <v>1</v>
      </c>
      <c r="C9" s="98">
        <v>5155</v>
      </c>
      <c r="D9" s="99">
        <v>466</v>
      </c>
      <c r="E9" s="100">
        <v>854</v>
      </c>
      <c r="F9" s="100">
        <v>986</v>
      </c>
      <c r="G9" s="100">
        <v>848</v>
      </c>
      <c r="H9" s="100">
        <v>862</v>
      </c>
      <c r="I9" s="100">
        <v>743</v>
      </c>
      <c r="J9" s="101">
        <v>396</v>
      </c>
      <c r="M9" s="16" t="s">
        <v>6</v>
      </c>
      <c r="N9" s="22">
        <v>8962.8571428571431</v>
      </c>
      <c r="O9" s="22">
        <v>927.57142857142856</v>
      </c>
      <c r="P9" s="22">
        <v>1428.5714285714287</v>
      </c>
      <c r="Q9" s="22">
        <v>1755</v>
      </c>
      <c r="R9" s="22">
        <v>1479.8571428571429</v>
      </c>
      <c r="S9" s="22">
        <v>1337.7142857142858</v>
      </c>
      <c r="T9" s="22">
        <v>1320.1428571428571</v>
      </c>
      <c r="U9" s="22">
        <v>714</v>
      </c>
    </row>
    <row r="10" spans="1:21" x14ac:dyDescent="0.35">
      <c r="A10" s="97"/>
      <c r="B10" s="107" t="s">
        <v>2</v>
      </c>
      <c r="C10" s="98">
        <v>5285</v>
      </c>
      <c r="D10" s="99">
        <v>477</v>
      </c>
      <c r="E10" s="100">
        <v>872</v>
      </c>
      <c r="F10" s="100">
        <v>1018</v>
      </c>
      <c r="G10" s="100">
        <v>872</v>
      </c>
      <c r="H10" s="100">
        <v>865</v>
      </c>
      <c r="I10" s="100">
        <v>769</v>
      </c>
      <c r="J10" s="101">
        <v>412</v>
      </c>
      <c r="M10" s="16" t="s">
        <v>7</v>
      </c>
      <c r="N10" s="22">
        <v>7481.8571428571431</v>
      </c>
      <c r="O10" s="22">
        <v>792</v>
      </c>
      <c r="P10" s="22">
        <v>1272.4285714285713</v>
      </c>
      <c r="Q10" s="22">
        <v>1448.4285714285713</v>
      </c>
      <c r="R10" s="22">
        <v>1265.8571428571429</v>
      </c>
      <c r="S10" s="22">
        <v>1197.1428571428571</v>
      </c>
      <c r="T10" s="22">
        <v>1004.5714285714286</v>
      </c>
      <c r="U10" s="22">
        <v>501.42857142857144</v>
      </c>
    </row>
    <row r="11" spans="1:21" x14ac:dyDescent="0.35">
      <c r="A11" s="97"/>
      <c r="B11" s="107" t="s">
        <v>2</v>
      </c>
      <c r="C11" s="98">
        <v>5382</v>
      </c>
      <c r="D11" s="99">
        <v>512</v>
      </c>
      <c r="E11" s="100">
        <v>909</v>
      </c>
      <c r="F11" s="100">
        <v>986</v>
      </c>
      <c r="G11" s="100">
        <v>907</v>
      </c>
      <c r="H11" s="100">
        <v>870</v>
      </c>
      <c r="I11" s="100">
        <v>759</v>
      </c>
      <c r="J11" s="101">
        <v>439</v>
      </c>
      <c r="M11" s="16" t="s">
        <v>8</v>
      </c>
      <c r="N11" s="22">
        <v>6128.5714285714284</v>
      </c>
      <c r="O11" s="22">
        <v>617.71428571428567</v>
      </c>
      <c r="P11" s="22">
        <v>1056.5714285714287</v>
      </c>
      <c r="Q11" s="22">
        <v>1194.2857142857142</v>
      </c>
      <c r="R11" s="22">
        <v>1062.1428571428571</v>
      </c>
      <c r="S11" s="22">
        <v>1063.5714285714287</v>
      </c>
      <c r="T11" s="22">
        <v>766.14285714285711</v>
      </c>
      <c r="U11" s="22">
        <v>368.14285714285717</v>
      </c>
    </row>
    <row r="12" spans="1:21" x14ac:dyDescent="0.35">
      <c r="A12" s="97"/>
      <c r="B12" s="107" t="s">
        <v>2</v>
      </c>
      <c r="C12" s="98">
        <v>5501</v>
      </c>
      <c r="D12" s="99">
        <v>522</v>
      </c>
      <c r="E12" s="100">
        <v>915</v>
      </c>
      <c r="F12" s="100">
        <v>1001</v>
      </c>
      <c r="G12" s="100">
        <v>901</v>
      </c>
      <c r="H12" s="100">
        <v>895</v>
      </c>
      <c r="I12" s="100">
        <v>801</v>
      </c>
      <c r="J12" s="101">
        <v>466</v>
      </c>
      <c r="M12" s="16" t="s">
        <v>9</v>
      </c>
      <c r="N12" s="22">
        <v>5723.2857142857147</v>
      </c>
      <c r="O12" s="22">
        <v>601.85714285714289</v>
      </c>
      <c r="P12" s="22">
        <v>946.14285714285711</v>
      </c>
      <c r="Q12" s="22">
        <v>1105.5714285714287</v>
      </c>
      <c r="R12" s="22">
        <v>996.57142857142856</v>
      </c>
      <c r="S12" s="22">
        <v>916.57142857142856</v>
      </c>
      <c r="T12" s="22">
        <v>741.85714285714289</v>
      </c>
      <c r="U12" s="22">
        <v>414.71428571428572</v>
      </c>
    </row>
    <row r="13" spans="1:21" x14ac:dyDescent="0.35">
      <c r="A13" s="97"/>
      <c r="B13" s="107" t="s">
        <v>2</v>
      </c>
      <c r="C13" s="98">
        <v>5632</v>
      </c>
      <c r="D13" s="99">
        <v>536</v>
      </c>
      <c r="E13" s="100">
        <v>916</v>
      </c>
      <c r="F13" s="100">
        <v>1009</v>
      </c>
      <c r="G13" s="100">
        <v>904</v>
      </c>
      <c r="H13" s="100">
        <v>895</v>
      </c>
      <c r="I13" s="100">
        <v>832</v>
      </c>
      <c r="J13" s="101">
        <v>540</v>
      </c>
      <c r="M13" s="16" t="s">
        <v>10</v>
      </c>
      <c r="N13" s="22">
        <v>6149.8571428571431</v>
      </c>
      <c r="O13" s="22">
        <v>719.28571428571433</v>
      </c>
      <c r="P13" s="22">
        <v>958.57142857142856</v>
      </c>
      <c r="Q13" s="22">
        <v>1077.1428571428571</v>
      </c>
      <c r="R13" s="22">
        <v>1089.5714285714287</v>
      </c>
      <c r="S13" s="22">
        <v>901.42857142857144</v>
      </c>
      <c r="T13" s="22">
        <v>884.71428571428567</v>
      </c>
      <c r="U13" s="22">
        <v>519.14285714285711</v>
      </c>
    </row>
    <row r="14" spans="1:21" x14ac:dyDescent="0.35">
      <c r="A14" s="97"/>
      <c r="B14" s="107" t="s">
        <v>2</v>
      </c>
      <c r="C14" s="98">
        <v>5771</v>
      </c>
      <c r="D14" s="99">
        <v>553</v>
      </c>
      <c r="E14" s="100">
        <v>958</v>
      </c>
      <c r="F14" s="100">
        <v>1048</v>
      </c>
      <c r="G14" s="100">
        <v>893</v>
      </c>
      <c r="H14" s="100">
        <v>912</v>
      </c>
      <c r="I14" s="100">
        <v>827</v>
      </c>
      <c r="J14" s="101">
        <v>580</v>
      </c>
      <c r="M14" s="16" t="s">
        <v>11</v>
      </c>
      <c r="N14" s="22">
        <v>6475.2857142857147</v>
      </c>
      <c r="O14" s="22">
        <v>769.85714285714289</v>
      </c>
      <c r="P14" s="22">
        <v>1006</v>
      </c>
      <c r="Q14" s="22">
        <v>1146.2857142857142</v>
      </c>
      <c r="R14" s="22">
        <v>1103.8571428571429</v>
      </c>
      <c r="S14" s="22">
        <v>921.71428571428567</v>
      </c>
      <c r="T14" s="22">
        <v>941.42857142857144</v>
      </c>
      <c r="U14" s="22">
        <v>586.14285714285711</v>
      </c>
    </row>
    <row r="15" spans="1:21" x14ac:dyDescent="0.35">
      <c r="A15" s="97"/>
      <c r="B15" s="107" t="s">
        <v>2</v>
      </c>
      <c r="C15" s="98">
        <v>5920</v>
      </c>
      <c r="D15" s="99">
        <v>577</v>
      </c>
      <c r="E15" s="100">
        <v>983</v>
      </c>
      <c r="F15" s="100">
        <v>1101</v>
      </c>
      <c r="G15" s="100">
        <v>914</v>
      </c>
      <c r="H15" s="100">
        <v>907</v>
      </c>
      <c r="I15" s="100">
        <v>850</v>
      </c>
      <c r="J15" s="101">
        <v>588</v>
      </c>
      <c r="M15" s="16" t="s">
        <v>12</v>
      </c>
      <c r="N15" s="22">
        <v>7284.2857142857147</v>
      </c>
      <c r="O15" s="22">
        <v>792.28571428571433</v>
      </c>
      <c r="P15" s="22">
        <v>1106.8571428571429</v>
      </c>
      <c r="Q15" s="22">
        <v>1406.1428571428571</v>
      </c>
      <c r="R15" s="22">
        <v>1196.7142857142858</v>
      </c>
      <c r="S15" s="22">
        <v>1049.4285714285713</v>
      </c>
      <c r="T15" s="22">
        <v>1125.7142857142858</v>
      </c>
      <c r="U15" s="22">
        <v>607.14285714285711</v>
      </c>
    </row>
    <row r="16" spans="1:21" x14ac:dyDescent="0.35">
      <c r="A16" s="97"/>
      <c r="B16" s="107" t="s">
        <v>2</v>
      </c>
      <c r="C16" s="98">
        <v>6057</v>
      </c>
      <c r="D16" s="99">
        <v>604</v>
      </c>
      <c r="E16" s="100">
        <v>990</v>
      </c>
      <c r="F16" s="100">
        <v>1106</v>
      </c>
      <c r="G16" s="100">
        <v>945</v>
      </c>
      <c r="H16" s="100">
        <v>928</v>
      </c>
      <c r="I16" s="100">
        <v>885</v>
      </c>
      <c r="J16" s="101">
        <v>599</v>
      </c>
      <c r="M16" s="16" t="s">
        <v>13</v>
      </c>
      <c r="N16" s="22">
        <v>7801.5714285714284</v>
      </c>
      <c r="O16" s="22">
        <v>782.57142857142856</v>
      </c>
      <c r="P16" s="22">
        <v>1246</v>
      </c>
      <c r="Q16" s="22">
        <v>1546.1428571428571</v>
      </c>
      <c r="R16" s="22">
        <v>1390.4285714285713</v>
      </c>
      <c r="S16" s="22">
        <v>1033.1428571428571</v>
      </c>
      <c r="T16" s="22">
        <v>1242</v>
      </c>
      <c r="U16" s="22">
        <v>561.28571428571433</v>
      </c>
    </row>
    <row r="17" spans="1:21" x14ac:dyDescent="0.35">
      <c r="A17" s="97"/>
      <c r="B17" s="107" t="s">
        <v>3</v>
      </c>
      <c r="C17" s="98">
        <v>6171</v>
      </c>
      <c r="D17" s="99">
        <v>627</v>
      </c>
      <c r="E17" s="100">
        <v>1010</v>
      </c>
      <c r="F17" s="100">
        <v>1114</v>
      </c>
      <c r="G17" s="100">
        <v>941</v>
      </c>
      <c r="H17" s="100">
        <v>873</v>
      </c>
      <c r="I17" s="100">
        <v>954</v>
      </c>
      <c r="J17" s="101">
        <v>652</v>
      </c>
      <c r="M17" s="16" t="s">
        <v>14</v>
      </c>
      <c r="N17" s="22">
        <v>7502.4285714285716</v>
      </c>
      <c r="O17" s="22">
        <v>762.57142857142856</v>
      </c>
      <c r="P17" s="22">
        <v>1268.8571428571429</v>
      </c>
      <c r="Q17" s="22">
        <v>1443</v>
      </c>
      <c r="R17" s="22">
        <v>1409.8571428571429</v>
      </c>
      <c r="S17" s="22">
        <v>908.85714285714289</v>
      </c>
      <c r="T17" s="22">
        <v>1173.8571428571429</v>
      </c>
      <c r="U17" s="22">
        <v>535.42857142857144</v>
      </c>
    </row>
    <row r="18" spans="1:21" x14ac:dyDescent="0.35">
      <c r="A18" s="97"/>
      <c r="B18" s="107" t="s">
        <v>3</v>
      </c>
      <c r="C18" s="98">
        <v>6369</v>
      </c>
      <c r="D18" s="99">
        <v>686</v>
      </c>
      <c r="E18" s="100">
        <v>1026</v>
      </c>
      <c r="F18" s="100">
        <v>1165</v>
      </c>
      <c r="G18" s="100">
        <v>990</v>
      </c>
      <c r="H18" s="100">
        <v>964</v>
      </c>
      <c r="I18" s="100">
        <v>928</v>
      </c>
      <c r="J18" s="101">
        <v>610</v>
      </c>
      <c r="M18" s="16" t="s">
        <v>139</v>
      </c>
      <c r="N18" s="22">
        <v>7081.9387755102043</v>
      </c>
      <c r="O18" s="22">
        <v>743.96938775510205</v>
      </c>
      <c r="P18" s="22">
        <v>1134.4489795918366</v>
      </c>
      <c r="Q18" s="22">
        <v>1335.7755102040817</v>
      </c>
      <c r="R18" s="22">
        <v>1188.6530612244899</v>
      </c>
      <c r="S18" s="22">
        <v>1041.8571428571429</v>
      </c>
      <c r="T18" s="22">
        <v>1043.0408163265306</v>
      </c>
      <c r="U18" s="22">
        <v>594.19387755102036</v>
      </c>
    </row>
    <row r="19" spans="1:21" x14ac:dyDescent="0.35">
      <c r="A19" s="97"/>
      <c r="B19" s="107" t="s">
        <v>3</v>
      </c>
      <c r="C19" s="98">
        <v>6720</v>
      </c>
      <c r="D19" s="99">
        <v>726</v>
      </c>
      <c r="E19" s="100">
        <v>1026</v>
      </c>
      <c r="F19" s="100">
        <v>1250</v>
      </c>
      <c r="G19" s="100">
        <v>1058</v>
      </c>
      <c r="H19" s="100">
        <v>1011</v>
      </c>
      <c r="I19" s="100">
        <v>923</v>
      </c>
      <c r="J19" s="101">
        <v>726</v>
      </c>
    </row>
    <row r="20" spans="1:21" x14ac:dyDescent="0.35">
      <c r="A20" s="97"/>
      <c r="B20" s="107" t="s">
        <v>3</v>
      </c>
      <c r="C20" s="98">
        <v>6924</v>
      </c>
      <c r="D20" s="99">
        <v>742</v>
      </c>
      <c r="E20" s="100">
        <v>1062</v>
      </c>
      <c r="F20" s="100">
        <v>1273</v>
      </c>
      <c r="G20" s="100">
        <v>1080</v>
      </c>
      <c r="H20" s="100">
        <v>1039</v>
      </c>
      <c r="I20" s="100">
        <v>977</v>
      </c>
      <c r="J20" s="101">
        <v>751</v>
      </c>
    </row>
    <row r="21" spans="1:21" x14ac:dyDescent="0.35">
      <c r="A21" s="97"/>
      <c r="B21" s="107" t="s">
        <v>3</v>
      </c>
      <c r="C21" s="98">
        <v>7157</v>
      </c>
      <c r="D21" s="99">
        <v>769</v>
      </c>
      <c r="E21" s="100">
        <v>1087</v>
      </c>
      <c r="F21" s="100">
        <v>1322</v>
      </c>
      <c r="G21" s="100">
        <v>1123</v>
      </c>
      <c r="H21" s="100">
        <v>1070</v>
      </c>
      <c r="I21" s="100">
        <v>1034</v>
      </c>
      <c r="J21" s="101">
        <v>752</v>
      </c>
    </row>
    <row r="22" spans="1:21" x14ac:dyDescent="0.35">
      <c r="A22" s="97"/>
      <c r="B22" s="107" t="s">
        <v>3</v>
      </c>
      <c r="C22" s="98">
        <v>7396</v>
      </c>
      <c r="D22" s="99">
        <v>808</v>
      </c>
      <c r="E22" s="100">
        <v>1122</v>
      </c>
      <c r="F22" s="100">
        <v>1379</v>
      </c>
      <c r="G22" s="100">
        <v>1194</v>
      </c>
      <c r="H22" s="100">
        <v>1051</v>
      </c>
      <c r="I22" s="100">
        <v>1044</v>
      </c>
      <c r="J22" s="101">
        <v>798</v>
      </c>
    </row>
    <row r="23" spans="1:21" x14ac:dyDescent="0.35">
      <c r="A23" s="97"/>
      <c r="B23" s="107" t="s">
        <v>3</v>
      </c>
      <c r="C23" s="98">
        <v>7688</v>
      </c>
      <c r="D23" s="99">
        <v>833</v>
      </c>
      <c r="E23" s="101">
        <v>1161</v>
      </c>
      <c r="F23" s="101">
        <v>1428</v>
      </c>
      <c r="G23" s="101">
        <v>1244</v>
      </c>
      <c r="H23" s="101">
        <v>1090</v>
      </c>
      <c r="I23" s="101">
        <v>1111</v>
      </c>
      <c r="J23" s="101">
        <v>821</v>
      </c>
    </row>
    <row r="24" spans="1:21" x14ac:dyDescent="0.35">
      <c r="A24" s="97"/>
      <c r="B24" s="107" t="s">
        <v>4</v>
      </c>
      <c r="C24" s="98">
        <v>8006</v>
      </c>
      <c r="D24" s="99">
        <v>874</v>
      </c>
      <c r="E24" s="101">
        <v>1217</v>
      </c>
      <c r="F24" s="101">
        <v>1472</v>
      </c>
      <c r="G24" s="101">
        <v>1308</v>
      </c>
      <c r="H24" s="101">
        <v>1103</v>
      </c>
      <c r="I24" s="101">
        <v>1156</v>
      </c>
      <c r="J24" s="101">
        <v>876</v>
      </c>
    </row>
    <row r="25" spans="1:21" x14ac:dyDescent="0.35">
      <c r="B25" s="107" t="s">
        <v>4</v>
      </c>
      <c r="C25" s="98">
        <v>8340</v>
      </c>
      <c r="D25" s="99">
        <v>922</v>
      </c>
      <c r="E25" s="101">
        <v>1219</v>
      </c>
      <c r="F25" s="101">
        <v>1524</v>
      </c>
      <c r="G25" s="101">
        <v>1338</v>
      </c>
      <c r="H25" s="101">
        <v>1117</v>
      </c>
      <c r="I25" s="101">
        <v>1259</v>
      </c>
      <c r="J25" s="101">
        <v>961</v>
      </c>
    </row>
    <row r="26" spans="1:21" x14ac:dyDescent="0.35">
      <c r="B26" s="107" t="s">
        <v>4</v>
      </c>
      <c r="C26" s="98">
        <v>8643</v>
      </c>
      <c r="D26" s="99">
        <v>966</v>
      </c>
      <c r="E26" s="101">
        <v>1237</v>
      </c>
      <c r="F26" s="101">
        <v>1607</v>
      </c>
      <c r="G26" s="101">
        <v>1332</v>
      </c>
      <c r="H26" s="101">
        <v>1156</v>
      </c>
      <c r="I26" s="101">
        <v>1347</v>
      </c>
      <c r="J26" s="101">
        <v>998</v>
      </c>
    </row>
    <row r="27" spans="1:21" x14ac:dyDescent="0.35">
      <c r="B27" s="107" t="s">
        <v>4</v>
      </c>
      <c r="C27" s="98">
        <v>8919</v>
      </c>
      <c r="D27" s="99">
        <v>985</v>
      </c>
      <c r="E27" s="101">
        <v>1299</v>
      </c>
      <c r="F27" s="101">
        <v>1671</v>
      </c>
      <c r="G27" s="101">
        <v>1364</v>
      </c>
      <c r="H27" s="101">
        <v>1169</v>
      </c>
      <c r="I27" s="101">
        <v>1383</v>
      </c>
      <c r="J27" s="101">
        <v>1048</v>
      </c>
    </row>
    <row r="28" spans="1:21" x14ac:dyDescent="0.35">
      <c r="B28" s="107" t="s">
        <v>4</v>
      </c>
      <c r="C28" s="98">
        <v>9047</v>
      </c>
      <c r="D28" s="99">
        <v>1019</v>
      </c>
      <c r="E28" s="101">
        <v>1340</v>
      </c>
      <c r="F28" s="101">
        <v>1673</v>
      </c>
      <c r="G28" s="101">
        <v>1361</v>
      </c>
      <c r="H28" s="101">
        <v>1213</v>
      </c>
      <c r="I28" s="101">
        <v>1422</v>
      </c>
      <c r="J28" s="101">
        <v>1019</v>
      </c>
    </row>
    <row r="29" spans="1:21" x14ac:dyDescent="0.35">
      <c r="B29" s="107" t="s">
        <v>4</v>
      </c>
      <c r="C29" s="98">
        <v>9044</v>
      </c>
      <c r="D29" s="99">
        <v>1025</v>
      </c>
      <c r="E29" s="101">
        <v>1338</v>
      </c>
      <c r="F29" s="101">
        <v>1603</v>
      </c>
      <c r="G29" s="101">
        <v>1384</v>
      </c>
      <c r="H29" s="101">
        <v>1221</v>
      </c>
      <c r="I29" s="101">
        <v>1468</v>
      </c>
      <c r="J29" s="101">
        <v>1005</v>
      </c>
    </row>
    <row r="30" spans="1:21" x14ac:dyDescent="0.35">
      <c r="B30" s="107" t="s">
        <v>4</v>
      </c>
      <c r="C30" s="98">
        <v>8979</v>
      </c>
      <c r="D30" s="99">
        <v>989</v>
      </c>
      <c r="E30" s="101">
        <v>1347</v>
      </c>
      <c r="F30" s="101">
        <v>1604</v>
      </c>
      <c r="G30" s="101">
        <v>1364</v>
      </c>
      <c r="H30" s="101">
        <v>1238</v>
      </c>
      <c r="I30" s="101">
        <v>1462</v>
      </c>
      <c r="J30" s="101">
        <v>975</v>
      </c>
    </row>
    <row r="31" spans="1:21" x14ac:dyDescent="0.35">
      <c r="B31" s="107" t="s">
        <v>5</v>
      </c>
      <c r="C31" s="98">
        <v>9178</v>
      </c>
      <c r="D31" s="99">
        <v>997</v>
      </c>
      <c r="E31" s="99">
        <v>1357</v>
      </c>
      <c r="F31" s="99">
        <v>1629</v>
      </c>
      <c r="G31" s="99">
        <v>1383</v>
      </c>
      <c r="H31" s="99">
        <v>1255</v>
      </c>
      <c r="I31" s="99">
        <v>1540</v>
      </c>
      <c r="J31" s="99">
        <v>1017</v>
      </c>
    </row>
    <row r="32" spans="1:21" x14ac:dyDescent="0.35">
      <c r="B32" s="107" t="s">
        <v>5</v>
      </c>
      <c r="C32" s="98">
        <v>9250</v>
      </c>
      <c r="D32" s="99">
        <v>925</v>
      </c>
      <c r="E32" s="99">
        <v>1401</v>
      </c>
      <c r="F32" s="99">
        <v>1670</v>
      </c>
      <c r="G32" s="99">
        <v>1426</v>
      </c>
      <c r="H32" s="99">
        <v>1291</v>
      </c>
      <c r="I32" s="99">
        <v>1544</v>
      </c>
      <c r="J32" s="99">
        <v>993</v>
      </c>
    </row>
    <row r="33" spans="2:10" x14ac:dyDescent="0.35">
      <c r="B33" s="107" t="s">
        <v>5</v>
      </c>
      <c r="C33" s="98">
        <v>9459</v>
      </c>
      <c r="D33" s="99">
        <v>1018</v>
      </c>
      <c r="E33" s="99">
        <v>1407</v>
      </c>
      <c r="F33" s="99">
        <v>1691</v>
      </c>
      <c r="G33" s="99">
        <v>1469</v>
      </c>
      <c r="H33" s="99">
        <v>1330</v>
      </c>
      <c r="I33" s="99">
        <v>1569</v>
      </c>
      <c r="J33" s="99">
        <v>975</v>
      </c>
    </row>
    <row r="34" spans="2:10" x14ac:dyDescent="0.35">
      <c r="B34" s="107" t="s">
        <v>5</v>
      </c>
      <c r="C34" s="98">
        <v>9535</v>
      </c>
      <c r="D34" s="99">
        <v>1035</v>
      </c>
      <c r="E34" s="99">
        <v>1502</v>
      </c>
      <c r="F34" s="99">
        <v>1663</v>
      </c>
      <c r="G34" s="99">
        <v>1480</v>
      </c>
      <c r="H34" s="99">
        <v>1341</v>
      </c>
      <c r="I34" s="99">
        <v>1567</v>
      </c>
      <c r="J34" s="99">
        <v>947</v>
      </c>
    </row>
    <row r="35" spans="2:10" x14ac:dyDescent="0.35">
      <c r="B35" s="107" t="s">
        <v>5</v>
      </c>
      <c r="C35" s="98">
        <v>9530</v>
      </c>
      <c r="D35" s="99">
        <v>1005</v>
      </c>
      <c r="E35" s="99">
        <v>1512</v>
      </c>
      <c r="F35" s="99">
        <v>1709</v>
      </c>
      <c r="G35" s="99">
        <v>1498</v>
      </c>
      <c r="H35" s="99">
        <v>1348</v>
      </c>
      <c r="I35" s="99">
        <v>1554</v>
      </c>
      <c r="J35" s="99">
        <v>904</v>
      </c>
    </row>
    <row r="36" spans="2:10" x14ac:dyDescent="0.35">
      <c r="B36" s="107" t="s">
        <v>5</v>
      </c>
      <c r="C36" s="98">
        <v>9360</v>
      </c>
      <c r="D36" s="99">
        <v>870</v>
      </c>
      <c r="E36" s="99">
        <v>1498</v>
      </c>
      <c r="F36" s="99">
        <v>1778</v>
      </c>
      <c r="G36" s="99">
        <v>1500</v>
      </c>
      <c r="H36" s="99">
        <v>1332</v>
      </c>
      <c r="I36" s="99">
        <v>1535</v>
      </c>
      <c r="J36" s="99">
        <v>847</v>
      </c>
    </row>
    <row r="37" spans="2:10" x14ac:dyDescent="0.35">
      <c r="B37" s="107" t="s">
        <v>5</v>
      </c>
      <c r="C37" s="98">
        <v>9417</v>
      </c>
      <c r="D37" s="99">
        <v>883</v>
      </c>
      <c r="E37" s="99">
        <v>1506</v>
      </c>
      <c r="F37" s="99">
        <v>1809</v>
      </c>
      <c r="G37" s="99">
        <v>1497</v>
      </c>
      <c r="H37" s="99">
        <v>1356</v>
      </c>
      <c r="I37" s="99">
        <v>1523</v>
      </c>
      <c r="J37" s="99">
        <v>843</v>
      </c>
    </row>
    <row r="38" spans="2:10" x14ac:dyDescent="0.35">
      <c r="B38" s="107" t="s">
        <v>6</v>
      </c>
      <c r="C38">
        <v>9431</v>
      </c>
      <c r="D38">
        <v>892</v>
      </c>
      <c r="E38">
        <v>1515</v>
      </c>
      <c r="F38">
        <v>1851</v>
      </c>
      <c r="G38">
        <v>1502</v>
      </c>
      <c r="H38">
        <v>1377</v>
      </c>
      <c r="I38">
        <v>1489</v>
      </c>
      <c r="J38">
        <v>805</v>
      </c>
    </row>
    <row r="39" spans="2:10" x14ac:dyDescent="0.35">
      <c r="B39" s="107" t="s">
        <v>6</v>
      </c>
      <c r="C39">
        <v>9291</v>
      </c>
      <c r="D39">
        <v>911</v>
      </c>
      <c r="E39">
        <v>1407</v>
      </c>
      <c r="F39">
        <v>1866</v>
      </c>
      <c r="G39">
        <v>1505</v>
      </c>
      <c r="H39">
        <v>1369</v>
      </c>
      <c r="I39">
        <v>1442</v>
      </c>
      <c r="J39">
        <v>791</v>
      </c>
    </row>
    <row r="40" spans="2:10" x14ac:dyDescent="0.35">
      <c r="B40" s="107" t="s">
        <v>6</v>
      </c>
      <c r="C40">
        <v>9332</v>
      </c>
      <c r="D40">
        <v>1002</v>
      </c>
      <c r="E40">
        <v>1483</v>
      </c>
      <c r="F40">
        <v>1805</v>
      </c>
      <c r="G40">
        <v>1580</v>
      </c>
      <c r="H40">
        <v>1356</v>
      </c>
      <c r="I40">
        <v>1376</v>
      </c>
      <c r="J40">
        <v>730</v>
      </c>
    </row>
    <row r="41" spans="2:10" x14ac:dyDescent="0.35">
      <c r="B41" s="107" t="s">
        <v>6</v>
      </c>
      <c r="C41">
        <v>9072</v>
      </c>
      <c r="D41">
        <v>964</v>
      </c>
      <c r="E41">
        <v>1438</v>
      </c>
      <c r="F41">
        <v>1739</v>
      </c>
      <c r="G41">
        <v>1528</v>
      </c>
      <c r="H41">
        <v>1353</v>
      </c>
      <c r="I41">
        <v>1325</v>
      </c>
      <c r="J41">
        <v>725</v>
      </c>
    </row>
    <row r="42" spans="2:10" x14ac:dyDescent="0.35">
      <c r="B42" s="107" t="s">
        <v>6</v>
      </c>
      <c r="C42">
        <v>8671</v>
      </c>
      <c r="D42">
        <v>926</v>
      </c>
      <c r="E42">
        <v>1406</v>
      </c>
      <c r="F42">
        <v>1698</v>
      </c>
      <c r="G42">
        <v>1463</v>
      </c>
      <c r="H42">
        <v>1333</v>
      </c>
      <c r="I42">
        <v>1192</v>
      </c>
      <c r="J42">
        <v>653</v>
      </c>
    </row>
    <row r="43" spans="2:10" x14ac:dyDescent="0.35">
      <c r="B43" s="107" t="s">
        <v>6</v>
      </c>
      <c r="C43">
        <v>8547</v>
      </c>
      <c r="D43">
        <v>919</v>
      </c>
      <c r="E43">
        <v>1391</v>
      </c>
      <c r="F43">
        <v>1672</v>
      </c>
      <c r="G43">
        <v>1399</v>
      </c>
      <c r="H43">
        <v>1297</v>
      </c>
      <c r="I43">
        <v>1219</v>
      </c>
      <c r="J43">
        <v>650</v>
      </c>
    </row>
    <row r="44" spans="2:10" x14ac:dyDescent="0.35">
      <c r="B44" s="107" t="s">
        <v>6</v>
      </c>
      <c r="C44">
        <v>8396</v>
      </c>
      <c r="D44">
        <v>879</v>
      </c>
      <c r="E44">
        <v>1360</v>
      </c>
      <c r="F44">
        <v>1654</v>
      </c>
      <c r="G44">
        <v>1382</v>
      </c>
      <c r="H44">
        <v>1279</v>
      </c>
      <c r="I44">
        <v>1198</v>
      </c>
      <c r="J44">
        <v>644</v>
      </c>
    </row>
    <row r="45" spans="2:10" x14ac:dyDescent="0.35">
      <c r="B45" s="107" t="s">
        <v>7</v>
      </c>
      <c r="C45">
        <v>8368</v>
      </c>
      <c r="D45">
        <v>891</v>
      </c>
      <c r="E45">
        <v>1372</v>
      </c>
      <c r="F45">
        <v>1648</v>
      </c>
      <c r="G45">
        <v>1383</v>
      </c>
      <c r="H45">
        <v>1284</v>
      </c>
      <c r="I45">
        <v>1177</v>
      </c>
      <c r="J45">
        <v>613</v>
      </c>
    </row>
    <row r="46" spans="2:10" x14ac:dyDescent="0.35">
      <c r="B46" s="107" t="s">
        <v>7</v>
      </c>
      <c r="C46">
        <v>8034</v>
      </c>
      <c r="D46">
        <v>862</v>
      </c>
      <c r="E46">
        <v>1403</v>
      </c>
      <c r="F46">
        <v>1540</v>
      </c>
      <c r="G46">
        <v>1337</v>
      </c>
      <c r="H46">
        <v>1241</v>
      </c>
      <c r="I46">
        <v>1096</v>
      </c>
      <c r="J46">
        <v>555</v>
      </c>
    </row>
    <row r="47" spans="2:10" x14ac:dyDescent="0.35">
      <c r="B47" s="107" t="s">
        <v>7</v>
      </c>
      <c r="C47">
        <v>7743</v>
      </c>
      <c r="D47">
        <v>851</v>
      </c>
      <c r="E47">
        <v>1340</v>
      </c>
      <c r="F47">
        <v>1480</v>
      </c>
      <c r="G47">
        <v>1281</v>
      </c>
      <c r="H47">
        <v>1236</v>
      </c>
      <c r="I47">
        <v>1030</v>
      </c>
      <c r="J47">
        <v>525</v>
      </c>
    </row>
    <row r="48" spans="2:10" x14ac:dyDescent="0.35">
      <c r="B48" s="107" t="s">
        <v>7</v>
      </c>
      <c r="C48">
        <v>7421</v>
      </c>
      <c r="D48">
        <v>798</v>
      </c>
      <c r="E48">
        <v>1299</v>
      </c>
      <c r="F48">
        <v>1413</v>
      </c>
      <c r="G48">
        <v>1246</v>
      </c>
      <c r="H48">
        <v>1201</v>
      </c>
      <c r="I48">
        <v>991</v>
      </c>
      <c r="J48">
        <v>473</v>
      </c>
    </row>
    <row r="49" spans="2:10" x14ac:dyDescent="0.35">
      <c r="B49" s="107" t="s">
        <v>7</v>
      </c>
      <c r="C49">
        <v>7164</v>
      </c>
      <c r="D49">
        <v>753</v>
      </c>
      <c r="E49">
        <v>1233</v>
      </c>
      <c r="F49">
        <v>1393</v>
      </c>
      <c r="G49">
        <v>1242</v>
      </c>
      <c r="H49">
        <v>1139</v>
      </c>
      <c r="I49">
        <v>946</v>
      </c>
      <c r="J49">
        <v>458</v>
      </c>
    </row>
    <row r="50" spans="2:10" x14ac:dyDescent="0.35">
      <c r="B50" s="107" t="s">
        <v>7</v>
      </c>
      <c r="C50">
        <v>6863</v>
      </c>
      <c r="D50">
        <v>691</v>
      </c>
      <c r="E50">
        <v>1143</v>
      </c>
      <c r="F50">
        <v>1341</v>
      </c>
      <c r="G50">
        <v>1198</v>
      </c>
      <c r="H50">
        <v>1133</v>
      </c>
      <c r="I50">
        <v>905</v>
      </c>
      <c r="J50">
        <v>452</v>
      </c>
    </row>
    <row r="51" spans="2:10" x14ac:dyDescent="0.35">
      <c r="B51" s="107" t="s">
        <v>7</v>
      </c>
      <c r="C51">
        <v>6780</v>
      </c>
      <c r="D51">
        <v>698</v>
      </c>
      <c r="E51">
        <v>1117</v>
      </c>
      <c r="F51">
        <v>1324</v>
      </c>
      <c r="G51">
        <v>1174</v>
      </c>
      <c r="H51">
        <v>1146</v>
      </c>
      <c r="I51">
        <v>887</v>
      </c>
      <c r="J51">
        <v>434</v>
      </c>
    </row>
    <row r="52" spans="2:10" x14ac:dyDescent="0.35">
      <c r="B52" s="107" t="s">
        <v>8</v>
      </c>
      <c r="C52">
        <v>6721</v>
      </c>
      <c r="D52">
        <v>669</v>
      </c>
      <c r="E52">
        <v>1159</v>
      </c>
      <c r="F52">
        <v>1318</v>
      </c>
      <c r="G52">
        <v>1167</v>
      </c>
      <c r="H52">
        <v>1150</v>
      </c>
      <c r="I52">
        <v>854</v>
      </c>
      <c r="J52">
        <v>404</v>
      </c>
    </row>
    <row r="53" spans="2:10" x14ac:dyDescent="0.35">
      <c r="B53" s="107" t="s">
        <v>8</v>
      </c>
      <c r="C53">
        <v>6593</v>
      </c>
      <c r="D53">
        <v>660</v>
      </c>
      <c r="E53">
        <v>1123</v>
      </c>
      <c r="F53">
        <v>1318</v>
      </c>
      <c r="G53">
        <v>1128</v>
      </c>
      <c r="H53">
        <v>1170</v>
      </c>
      <c r="I53">
        <v>814</v>
      </c>
      <c r="J53">
        <v>380</v>
      </c>
    </row>
    <row r="54" spans="2:10" x14ac:dyDescent="0.35">
      <c r="B54" s="107" t="s">
        <v>8</v>
      </c>
      <c r="C54">
        <v>6299</v>
      </c>
      <c r="D54">
        <v>630</v>
      </c>
      <c r="E54">
        <v>1079</v>
      </c>
      <c r="F54">
        <v>1193</v>
      </c>
      <c r="G54">
        <v>1131</v>
      </c>
      <c r="H54">
        <v>1111</v>
      </c>
      <c r="I54">
        <v>799</v>
      </c>
      <c r="J54">
        <v>356</v>
      </c>
    </row>
    <row r="55" spans="2:10" x14ac:dyDescent="0.35">
      <c r="B55" s="107" t="s">
        <v>8</v>
      </c>
      <c r="C55">
        <v>5996</v>
      </c>
      <c r="D55">
        <v>624</v>
      </c>
      <c r="E55">
        <v>1047</v>
      </c>
      <c r="F55">
        <v>1164</v>
      </c>
      <c r="G55">
        <v>1048</v>
      </c>
      <c r="H55">
        <v>1051</v>
      </c>
      <c r="I55">
        <v>706</v>
      </c>
      <c r="J55">
        <v>356</v>
      </c>
    </row>
    <row r="56" spans="2:10" x14ac:dyDescent="0.35">
      <c r="B56" s="107" t="s">
        <v>8</v>
      </c>
      <c r="C56">
        <v>5888</v>
      </c>
      <c r="D56">
        <v>594</v>
      </c>
      <c r="E56">
        <v>1018</v>
      </c>
      <c r="F56">
        <v>1144</v>
      </c>
      <c r="G56">
        <v>1006</v>
      </c>
      <c r="H56">
        <v>1009</v>
      </c>
      <c r="I56">
        <v>758</v>
      </c>
      <c r="J56">
        <v>359</v>
      </c>
    </row>
    <row r="57" spans="2:10" x14ac:dyDescent="0.35">
      <c r="B57" s="107" t="s">
        <v>8</v>
      </c>
      <c r="C57">
        <v>5706</v>
      </c>
      <c r="D57">
        <v>582</v>
      </c>
      <c r="E57">
        <v>993</v>
      </c>
      <c r="F57">
        <v>1104</v>
      </c>
      <c r="G57">
        <v>980</v>
      </c>
      <c r="H57">
        <v>968</v>
      </c>
      <c r="I57">
        <v>719</v>
      </c>
      <c r="J57">
        <v>360</v>
      </c>
    </row>
    <row r="58" spans="2:10" x14ac:dyDescent="0.35">
      <c r="B58" s="107" t="s">
        <v>8</v>
      </c>
      <c r="C58">
        <v>5697</v>
      </c>
      <c r="D58">
        <v>565</v>
      </c>
      <c r="E58">
        <v>977</v>
      </c>
      <c r="F58">
        <v>1119</v>
      </c>
      <c r="G58">
        <v>975</v>
      </c>
      <c r="H58">
        <v>986</v>
      </c>
      <c r="I58">
        <v>713</v>
      </c>
      <c r="J58">
        <v>362</v>
      </c>
    </row>
    <row r="59" spans="2:10" x14ac:dyDescent="0.35">
      <c r="B59" s="107" t="s">
        <v>9</v>
      </c>
      <c r="C59">
        <v>5817</v>
      </c>
      <c r="D59">
        <v>588</v>
      </c>
      <c r="E59">
        <v>967</v>
      </c>
      <c r="F59">
        <v>1224</v>
      </c>
      <c r="G59">
        <v>968</v>
      </c>
      <c r="H59">
        <v>971</v>
      </c>
      <c r="I59">
        <v>715</v>
      </c>
      <c r="J59">
        <v>384</v>
      </c>
    </row>
    <row r="60" spans="2:10" x14ac:dyDescent="0.35">
      <c r="B60" s="107" t="s">
        <v>9</v>
      </c>
      <c r="C60">
        <v>5639</v>
      </c>
      <c r="D60">
        <v>586</v>
      </c>
      <c r="E60">
        <v>955</v>
      </c>
      <c r="F60">
        <v>1101</v>
      </c>
      <c r="G60">
        <v>974</v>
      </c>
      <c r="H60">
        <v>939</v>
      </c>
      <c r="I60">
        <v>699</v>
      </c>
      <c r="J60">
        <v>385</v>
      </c>
    </row>
    <row r="61" spans="2:10" x14ac:dyDescent="0.35">
      <c r="B61" s="107" t="s">
        <v>9</v>
      </c>
      <c r="C61">
        <v>5632</v>
      </c>
      <c r="D61">
        <v>593</v>
      </c>
      <c r="E61">
        <v>950</v>
      </c>
      <c r="F61">
        <v>1083</v>
      </c>
      <c r="G61">
        <v>975</v>
      </c>
      <c r="H61">
        <v>924</v>
      </c>
      <c r="I61">
        <v>699</v>
      </c>
      <c r="J61">
        <v>408</v>
      </c>
    </row>
    <row r="62" spans="2:10" x14ac:dyDescent="0.35">
      <c r="B62" s="107" t="s">
        <v>9</v>
      </c>
      <c r="C62">
        <v>5683</v>
      </c>
      <c r="D62">
        <v>595</v>
      </c>
      <c r="E62">
        <v>937</v>
      </c>
      <c r="F62">
        <v>1089</v>
      </c>
      <c r="G62">
        <v>997</v>
      </c>
      <c r="H62">
        <v>915</v>
      </c>
      <c r="I62">
        <v>728</v>
      </c>
      <c r="J62">
        <v>422</v>
      </c>
    </row>
    <row r="63" spans="2:10" x14ac:dyDescent="0.35">
      <c r="B63" s="107" t="s">
        <v>9</v>
      </c>
      <c r="C63">
        <v>5708</v>
      </c>
      <c r="D63">
        <v>603</v>
      </c>
      <c r="E63">
        <v>943</v>
      </c>
      <c r="F63">
        <v>1071</v>
      </c>
      <c r="G63">
        <v>1004</v>
      </c>
      <c r="H63">
        <v>902</v>
      </c>
      <c r="I63">
        <v>752</v>
      </c>
      <c r="J63">
        <v>433</v>
      </c>
    </row>
    <row r="64" spans="2:10" x14ac:dyDescent="0.35">
      <c r="B64" s="107" t="s">
        <v>9</v>
      </c>
      <c r="C64">
        <v>5750</v>
      </c>
      <c r="D64">
        <v>608</v>
      </c>
      <c r="E64">
        <v>929</v>
      </c>
      <c r="F64">
        <v>1086</v>
      </c>
      <c r="G64">
        <v>1018</v>
      </c>
      <c r="H64">
        <v>879</v>
      </c>
      <c r="I64">
        <v>794</v>
      </c>
      <c r="J64">
        <v>436</v>
      </c>
    </row>
    <row r="65" spans="2:10" x14ac:dyDescent="0.35">
      <c r="B65" s="107" t="s">
        <v>9</v>
      </c>
      <c r="C65">
        <v>5834</v>
      </c>
      <c r="D65">
        <v>640</v>
      </c>
      <c r="E65">
        <v>942</v>
      </c>
      <c r="F65">
        <v>1085</v>
      </c>
      <c r="G65">
        <v>1040</v>
      </c>
      <c r="H65">
        <v>886</v>
      </c>
      <c r="I65">
        <v>806</v>
      </c>
      <c r="J65">
        <v>435</v>
      </c>
    </row>
    <row r="66" spans="2:10" x14ac:dyDescent="0.35">
      <c r="B66" s="107" t="s">
        <v>10</v>
      </c>
      <c r="C66" s="98">
        <f>'[1]All beds COVID'!DV$16</f>
        <v>5959</v>
      </c>
      <c r="D66" s="99">
        <f>'[1]All beds COVID'!DV$18</f>
        <v>657</v>
      </c>
      <c r="E66" s="100">
        <f>'[1]All beds COVID'!DV$19</f>
        <v>947</v>
      </c>
      <c r="F66" s="100">
        <f>'[1]All beds COVID'!DV$20</f>
        <v>1079</v>
      </c>
      <c r="G66" s="100">
        <f>'[1]All beds COVID'!DV$21</f>
        <v>1084</v>
      </c>
      <c r="H66" s="100">
        <f>'[1]All beds COVID'!DV$22</f>
        <v>902</v>
      </c>
      <c r="I66" s="100">
        <f>'[1]All beds COVID'!DV$23</f>
        <v>824</v>
      </c>
      <c r="J66" s="101">
        <f>'[1]All beds COVID'!DV$24</f>
        <v>466</v>
      </c>
    </row>
    <row r="67" spans="2:10" x14ac:dyDescent="0.35">
      <c r="B67" s="107" t="s">
        <v>10</v>
      </c>
      <c r="C67" s="98">
        <f>'[1]All beds COVID'!DW$16</f>
        <v>6015</v>
      </c>
      <c r="D67" s="99">
        <f>'[1]All beds COVID'!DW$18</f>
        <v>687</v>
      </c>
      <c r="E67" s="100">
        <f>'[1]All beds COVID'!DW$19</f>
        <v>922</v>
      </c>
      <c r="F67" s="100">
        <f>'[1]All beds COVID'!DW$20</f>
        <v>1060</v>
      </c>
      <c r="G67" s="100">
        <f>'[1]All beds COVID'!DW$21</f>
        <v>1084</v>
      </c>
      <c r="H67" s="100">
        <f>'[1]All beds COVID'!DW$22</f>
        <v>914</v>
      </c>
      <c r="I67" s="100">
        <f>'[1]All beds COVID'!DW$23</f>
        <v>854</v>
      </c>
      <c r="J67" s="101">
        <f>'[1]All beds COVID'!DW$24</f>
        <v>494</v>
      </c>
    </row>
    <row r="68" spans="2:10" x14ac:dyDescent="0.35">
      <c r="B68" s="107" t="s">
        <v>10</v>
      </c>
      <c r="C68" s="98">
        <f>'[1]All beds COVID'!DX$16</f>
        <v>6055</v>
      </c>
      <c r="D68" s="99">
        <f>'[1]All beds COVID'!DX$18</f>
        <v>699</v>
      </c>
      <c r="E68" s="100">
        <f>'[1]All beds COVID'!DX$19</f>
        <v>948</v>
      </c>
      <c r="F68" s="100">
        <f>'[1]All beds COVID'!DX$20</f>
        <v>1034</v>
      </c>
      <c r="G68" s="100">
        <f>'[1]All beds COVID'!DX$21</f>
        <v>1087</v>
      </c>
      <c r="H68" s="100">
        <f>'[1]All beds COVID'!DX$22</f>
        <v>894</v>
      </c>
      <c r="I68" s="100">
        <f>'[1]All beds COVID'!DX$23</f>
        <v>879</v>
      </c>
      <c r="J68" s="101">
        <f>'[1]All beds COVID'!DX$24</f>
        <v>514</v>
      </c>
    </row>
    <row r="69" spans="2:10" x14ac:dyDescent="0.35">
      <c r="B69" s="107" t="s">
        <v>10</v>
      </c>
      <c r="C69" s="98">
        <f>'[1]All beds COVID'!DY$16</f>
        <v>6197</v>
      </c>
      <c r="D69" s="99">
        <f>'[1]All beds COVID'!DY$18</f>
        <v>744</v>
      </c>
      <c r="E69" s="100">
        <f>'[1]All beds COVID'!DY$19</f>
        <v>972</v>
      </c>
      <c r="F69" s="100">
        <f>'[1]All beds COVID'!DY$20</f>
        <v>1056</v>
      </c>
      <c r="G69" s="100">
        <f>'[1]All beds COVID'!DY$21</f>
        <v>1102</v>
      </c>
      <c r="H69" s="100">
        <f>'[1]All beds COVID'!DY$22</f>
        <v>903</v>
      </c>
      <c r="I69" s="100">
        <f>'[1]All beds COVID'!DY$23</f>
        <v>890</v>
      </c>
      <c r="J69" s="101">
        <f>'[1]All beds COVID'!DY$24</f>
        <v>530</v>
      </c>
    </row>
    <row r="70" spans="2:10" x14ac:dyDescent="0.35">
      <c r="B70" s="107" t="s">
        <v>10</v>
      </c>
      <c r="C70" s="98">
        <f>'[1]All beds COVID'!DZ$16</f>
        <v>6288</v>
      </c>
      <c r="D70" s="99">
        <f>'[1]All beds COVID'!DZ$18</f>
        <v>739</v>
      </c>
      <c r="E70" s="100">
        <f>'[1]All beds COVID'!DZ$19</f>
        <v>993</v>
      </c>
      <c r="F70" s="100">
        <f>'[1]All beds COVID'!DZ$20</f>
        <v>1090</v>
      </c>
      <c r="G70" s="100">
        <f>'[1]All beds COVID'!DZ$21</f>
        <v>1113</v>
      </c>
      <c r="H70" s="100">
        <f>'[1]All beds COVID'!DZ$22</f>
        <v>906</v>
      </c>
      <c r="I70" s="100">
        <f>'[1]All beds COVID'!DZ$23</f>
        <v>909</v>
      </c>
      <c r="J70" s="101">
        <f>'[1]All beds COVID'!DZ$24</f>
        <v>538</v>
      </c>
    </row>
    <row r="71" spans="2:10" x14ac:dyDescent="0.35">
      <c r="B71" s="107" t="s">
        <v>10</v>
      </c>
      <c r="C71" s="98">
        <f>'[1]All beds COVID'!EA$16</f>
        <v>6203</v>
      </c>
      <c r="D71" s="99">
        <f>'[1]All beds COVID'!EA$18</f>
        <v>748</v>
      </c>
      <c r="E71" s="100">
        <f>'[1]All beds COVID'!EA$19</f>
        <v>967</v>
      </c>
      <c r="F71" s="100">
        <f>'[1]All beds COVID'!EA$20</f>
        <v>1093</v>
      </c>
      <c r="G71" s="100">
        <f>'[1]All beds COVID'!EA$21</f>
        <v>1069</v>
      </c>
      <c r="H71" s="100">
        <f>'[1]All beds COVID'!EA$22</f>
        <v>885</v>
      </c>
      <c r="I71" s="100">
        <f>'[1]All beds COVID'!EA$23</f>
        <v>905</v>
      </c>
      <c r="J71" s="101">
        <f>'[1]All beds COVID'!EA$24</f>
        <v>536</v>
      </c>
    </row>
    <row r="72" spans="2:10" x14ac:dyDescent="0.35">
      <c r="B72" s="107" t="s">
        <v>10</v>
      </c>
      <c r="C72" s="98">
        <f>'[1]All beds COVID'!EB$16</f>
        <v>6332</v>
      </c>
      <c r="D72" s="99">
        <f>'[1]All beds COVID'!EB$18</f>
        <v>761</v>
      </c>
      <c r="E72" s="100">
        <f>'[1]All beds COVID'!EB$19</f>
        <v>961</v>
      </c>
      <c r="F72" s="100">
        <f>'[1]All beds COVID'!EB$20</f>
        <v>1128</v>
      </c>
      <c r="G72" s="100">
        <f>'[1]All beds COVID'!EB$21</f>
        <v>1088</v>
      </c>
      <c r="H72" s="100">
        <f>'[1]All beds COVID'!EB$22</f>
        <v>906</v>
      </c>
      <c r="I72" s="100">
        <f>'[1]All beds COVID'!EB$23</f>
        <v>932</v>
      </c>
      <c r="J72" s="101">
        <f>'[1]All beds COVID'!EB$24</f>
        <v>556</v>
      </c>
    </row>
    <row r="73" spans="2:10" x14ac:dyDescent="0.35">
      <c r="B73" s="107" t="s">
        <v>11</v>
      </c>
      <c r="C73">
        <v>6484</v>
      </c>
      <c r="D73">
        <v>792</v>
      </c>
      <c r="E73" s="100">
        <f>'[2]All beds COVID'!EC$19</f>
        <v>993</v>
      </c>
      <c r="F73" s="100">
        <f>'[2]All beds COVID'!EC$20</f>
        <v>1147</v>
      </c>
      <c r="G73" s="100">
        <f>'[2]All beds COVID'!EC$21</f>
        <v>1123</v>
      </c>
      <c r="H73" s="100">
        <f>'[2]All beds COVID'!EC$22</f>
        <v>910</v>
      </c>
      <c r="I73" s="100">
        <f>'[2]All beds COVID'!EC$23</f>
        <v>941</v>
      </c>
      <c r="J73" s="101">
        <f>'[2]All beds COVID'!EC$24</f>
        <v>578</v>
      </c>
    </row>
    <row r="74" spans="2:10" x14ac:dyDescent="0.35">
      <c r="B74" s="107" t="s">
        <v>11</v>
      </c>
      <c r="C74">
        <v>6405</v>
      </c>
      <c r="D74">
        <v>765</v>
      </c>
      <c r="E74" s="100">
        <f>'[2]All beds COVID'!ED$19</f>
        <v>980</v>
      </c>
      <c r="F74" s="100">
        <f>'[2]All beds COVID'!ED$20</f>
        <v>1118</v>
      </c>
      <c r="G74" s="100">
        <f>'[2]All beds COVID'!ED$21</f>
        <v>1112</v>
      </c>
      <c r="H74" s="100">
        <f>'[2]All beds COVID'!ED$22</f>
        <v>905</v>
      </c>
      <c r="I74" s="100">
        <f>'[2]All beds COVID'!ED$23</f>
        <v>923</v>
      </c>
      <c r="J74" s="101">
        <f>'[2]All beds COVID'!ED$24</f>
        <v>602</v>
      </c>
    </row>
    <row r="75" spans="2:10" x14ac:dyDescent="0.35">
      <c r="B75" s="107" t="s">
        <v>11</v>
      </c>
      <c r="C75">
        <v>6382</v>
      </c>
      <c r="D75">
        <v>758</v>
      </c>
      <c r="E75" s="100">
        <f>'[2]All beds COVID'!EE$19</f>
        <v>992</v>
      </c>
      <c r="F75" s="100">
        <f>'[2]All beds COVID'!EE$20</f>
        <v>1096</v>
      </c>
      <c r="G75" s="100">
        <f>'[2]All beds COVID'!EE$21</f>
        <v>1120</v>
      </c>
      <c r="H75" s="100">
        <f>'[2]All beds COVID'!EE$22</f>
        <v>928</v>
      </c>
      <c r="I75" s="100">
        <f>'[2]All beds COVID'!EE$23</f>
        <v>908</v>
      </c>
      <c r="J75" s="101">
        <f>'[2]All beds COVID'!EE$24</f>
        <v>580</v>
      </c>
    </row>
    <row r="76" spans="2:10" x14ac:dyDescent="0.35">
      <c r="B76" s="107" t="s">
        <v>11</v>
      </c>
      <c r="C76">
        <v>6403</v>
      </c>
      <c r="D76">
        <v>771</v>
      </c>
      <c r="E76" s="100">
        <f>'[2]All beds COVID'!EF$19</f>
        <v>1023</v>
      </c>
      <c r="F76" s="100">
        <f>'[2]All beds COVID'!EF$20</f>
        <v>1115</v>
      </c>
      <c r="G76" s="100">
        <f>'[2]All beds COVID'!EF$21</f>
        <v>1092</v>
      </c>
      <c r="H76" s="100">
        <f>'[2]All beds COVID'!EF$22</f>
        <v>917</v>
      </c>
      <c r="I76" s="100">
        <f>'[2]All beds COVID'!EF$23</f>
        <v>903</v>
      </c>
      <c r="J76" s="101">
        <f>'[2]All beds COVID'!EF$24</f>
        <v>582</v>
      </c>
    </row>
    <row r="77" spans="2:10" x14ac:dyDescent="0.35">
      <c r="B77" s="107" t="s">
        <v>11</v>
      </c>
      <c r="C77">
        <v>6455</v>
      </c>
      <c r="D77">
        <v>772</v>
      </c>
      <c r="E77" s="100">
        <f>'[2]All beds COVID'!EG$19</f>
        <v>1027</v>
      </c>
      <c r="F77" s="100">
        <f>'[2]All beds COVID'!EG$20</f>
        <v>1126</v>
      </c>
      <c r="G77" s="100">
        <f>'[2]All beds COVID'!EG$21</f>
        <v>1110</v>
      </c>
      <c r="H77" s="100">
        <f>'[2]All beds COVID'!EG$22</f>
        <v>911</v>
      </c>
      <c r="I77" s="100">
        <f>'[2]All beds COVID'!EG$23</f>
        <v>926</v>
      </c>
      <c r="J77" s="101">
        <f>'[2]All beds COVID'!EG$24</f>
        <v>583</v>
      </c>
    </row>
    <row r="78" spans="2:10" x14ac:dyDescent="0.35">
      <c r="B78" s="107" t="s">
        <v>11</v>
      </c>
      <c r="C78">
        <v>6473</v>
      </c>
      <c r="D78">
        <v>753</v>
      </c>
      <c r="E78" s="100">
        <f>'[2]All beds COVID'!EH$19</f>
        <v>1008</v>
      </c>
      <c r="F78" s="100">
        <f>'[2]All beds COVID'!EH$20</f>
        <v>1156</v>
      </c>
      <c r="G78" s="100">
        <f>'[2]All beds COVID'!EH$21</f>
        <v>1073</v>
      </c>
      <c r="H78" s="100">
        <f>'[2]All beds COVID'!EH$22</f>
        <v>930</v>
      </c>
      <c r="I78" s="100">
        <f>'[2]All beds COVID'!EH$23</f>
        <v>972</v>
      </c>
      <c r="J78" s="101">
        <f>'[2]All beds COVID'!EH$24</f>
        <v>581</v>
      </c>
    </row>
    <row r="79" spans="2:10" x14ac:dyDescent="0.35">
      <c r="B79" s="107" t="s">
        <v>11</v>
      </c>
      <c r="C79">
        <v>6725</v>
      </c>
      <c r="D79">
        <v>778</v>
      </c>
      <c r="E79" s="100">
        <f>'[2]All beds COVID'!EI$19</f>
        <v>1019</v>
      </c>
      <c r="F79" s="100">
        <f>'[2]All beds COVID'!EI$20</f>
        <v>1266</v>
      </c>
      <c r="G79" s="100">
        <f>'[2]All beds COVID'!EI$21</f>
        <v>1097</v>
      </c>
      <c r="H79" s="100">
        <f>'[2]All beds COVID'!EI$22</f>
        <v>951</v>
      </c>
      <c r="I79" s="100">
        <f>'[2]All beds COVID'!EI$23</f>
        <v>1017</v>
      </c>
      <c r="J79" s="101">
        <f>'[2]All beds COVID'!EI$24</f>
        <v>597</v>
      </c>
    </row>
    <row r="80" spans="2:10" x14ac:dyDescent="0.35">
      <c r="B80" s="107" t="s">
        <v>12</v>
      </c>
      <c r="C80">
        <v>6953</v>
      </c>
      <c r="D80">
        <v>812</v>
      </c>
      <c r="E80">
        <v>1054</v>
      </c>
      <c r="F80">
        <v>1297</v>
      </c>
      <c r="G80">
        <v>1132</v>
      </c>
      <c r="H80">
        <v>993</v>
      </c>
      <c r="I80">
        <v>1061</v>
      </c>
      <c r="J80">
        <v>604</v>
      </c>
    </row>
    <row r="81" spans="2:20" x14ac:dyDescent="0.35">
      <c r="B81" s="107" t="s">
        <v>12</v>
      </c>
      <c r="C81">
        <v>7031</v>
      </c>
      <c r="D81">
        <v>756</v>
      </c>
      <c r="E81">
        <v>1061</v>
      </c>
      <c r="F81">
        <v>1348</v>
      </c>
      <c r="G81">
        <v>1150</v>
      </c>
      <c r="H81">
        <v>1026</v>
      </c>
      <c r="I81">
        <v>1089</v>
      </c>
      <c r="J81">
        <v>601</v>
      </c>
    </row>
    <row r="82" spans="2:20" x14ac:dyDescent="0.35">
      <c r="B82" s="107" t="s">
        <v>12</v>
      </c>
      <c r="C82">
        <v>7209</v>
      </c>
      <c r="D82">
        <v>777</v>
      </c>
      <c r="E82">
        <v>1104</v>
      </c>
      <c r="F82">
        <v>1369</v>
      </c>
      <c r="G82">
        <v>1174</v>
      </c>
      <c r="H82">
        <v>1086</v>
      </c>
      <c r="I82">
        <v>1078</v>
      </c>
      <c r="J82">
        <v>621</v>
      </c>
    </row>
    <row r="83" spans="2:20" x14ac:dyDescent="0.35">
      <c r="B83" s="107" t="s">
        <v>12</v>
      </c>
      <c r="C83">
        <v>7277</v>
      </c>
      <c r="D83">
        <v>792</v>
      </c>
      <c r="E83">
        <v>1123</v>
      </c>
      <c r="F83">
        <v>1420</v>
      </c>
      <c r="G83">
        <v>1188</v>
      </c>
      <c r="H83">
        <v>1049</v>
      </c>
      <c r="I83">
        <v>1098</v>
      </c>
      <c r="J83">
        <v>607</v>
      </c>
    </row>
    <row r="84" spans="2:20" x14ac:dyDescent="0.35">
      <c r="B84" s="107" t="s">
        <v>12</v>
      </c>
      <c r="C84">
        <v>7371</v>
      </c>
      <c r="D84">
        <v>793</v>
      </c>
      <c r="E84">
        <v>1122</v>
      </c>
      <c r="F84">
        <v>1434</v>
      </c>
      <c r="G84">
        <v>1220</v>
      </c>
      <c r="H84">
        <v>1061</v>
      </c>
      <c r="I84">
        <v>1140</v>
      </c>
      <c r="J84">
        <v>601</v>
      </c>
    </row>
    <row r="85" spans="2:20" x14ac:dyDescent="0.35">
      <c r="B85" s="107" t="s">
        <v>12</v>
      </c>
      <c r="C85">
        <v>7484</v>
      </c>
      <c r="D85">
        <v>797</v>
      </c>
      <c r="E85">
        <v>1118</v>
      </c>
      <c r="F85">
        <v>1475</v>
      </c>
      <c r="G85">
        <v>1242</v>
      </c>
      <c r="H85">
        <v>1061</v>
      </c>
      <c r="I85">
        <v>1195</v>
      </c>
      <c r="J85">
        <v>596</v>
      </c>
    </row>
    <row r="86" spans="2:20" x14ac:dyDescent="0.35">
      <c r="B86" s="107" t="s">
        <v>12</v>
      </c>
      <c r="C86">
        <v>7665</v>
      </c>
      <c r="D86">
        <v>819</v>
      </c>
      <c r="E86">
        <v>1166</v>
      </c>
      <c r="F86">
        <v>1500</v>
      </c>
      <c r="G86">
        <v>1271</v>
      </c>
      <c r="H86">
        <v>1070</v>
      </c>
      <c r="I86">
        <v>1219</v>
      </c>
      <c r="J86">
        <v>620</v>
      </c>
      <c r="M86" s="79"/>
      <c r="N86" s="79"/>
      <c r="O86" s="79"/>
      <c r="P86" s="79"/>
      <c r="Q86" s="79"/>
      <c r="R86" s="79"/>
      <c r="S86" s="79"/>
    </row>
    <row r="87" spans="2:20" x14ac:dyDescent="0.35">
      <c r="B87" s="107" t="s">
        <v>13</v>
      </c>
      <c r="C87">
        <v>7919</v>
      </c>
      <c r="D87">
        <v>810</v>
      </c>
      <c r="E87">
        <v>1206</v>
      </c>
      <c r="F87">
        <v>1538</v>
      </c>
      <c r="G87">
        <v>1346</v>
      </c>
      <c r="H87">
        <v>1120</v>
      </c>
      <c r="I87">
        <v>1275</v>
      </c>
      <c r="J87">
        <v>624</v>
      </c>
    </row>
    <row r="88" spans="2:20" x14ac:dyDescent="0.35">
      <c r="B88" s="107" t="s">
        <v>13</v>
      </c>
      <c r="C88">
        <v>7906</v>
      </c>
      <c r="D88">
        <v>795</v>
      </c>
      <c r="E88">
        <v>1204</v>
      </c>
      <c r="F88">
        <v>1519</v>
      </c>
      <c r="G88">
        <v>1360</v>
      </c>
      <c r="H88">
        <v>1148</v>
      </c>
      <c r="I88">
        <v>1278</v>
      </c>
      <c r="J88">
        <v>602</v>
      </c>
    </row>
    <row r="89" spans="2:20" x14ac:dyDescent="0.35">
      <c r="B89" s="107" t="s">
        <v>13</v>
      </c>
      <c r="C89">
        <v>8015</v>
      </c>
      <c r="D89">
        <v>793</v>
      </c>
      <c r="E89">
        <v>1264</v>
      </c>
      <c r="F89">
        <v>1539</v>
      </c>
      <c r="G89">
        <v>1414</v>
      </c>
      <c r="H89">
        <v>1162</v>
      </c>
      <c r="I89">
        <v>1274</v>
      </c>
      <c r="J89">
        <v>569</v>
      </c>
    </row>
    <row r="90" spans="2:20" x14ac:dyDescent="0.35">
      <c r="B90" s="107" t="s">
        <v>13</v>
      </c>
      <c r="C90">
        <v>8107</v>
      </c>
      <c r="D90">
        <v>797</v>
      </c>
      <c r="E90">
        <v>1289</v>
      </c>
      <c r="F90">
        <v>1581</v>
      </c>
      <c r="G90">
        <v>1406</v>
      </c>
      <c r="H90">
        <v>1256</v>
      </c>
      <c r="I90">
        <v>1225</v>
      </c>
      <c r="J90">
        <v>553</v>
      </c>
      <c r="N90" s="79"/>
      <c r="O90" s="79"/>
      <c r="P90" s="79"/>
      <c r="Q90" s="79"/>
      <c r="R90" s="79"/>
      <c r="S90" s="79"/>
      <c r="T90" s="79"/>
    </row>
    <row r="91" spans="2:20" x14ac:dyDescent="0.35">
      <c r="B91" s="107" t="s">
        <v>13</v>
      </c>
      <c r="C91">
        <v>7598</v>
      </c>
      <c r="D91">
        <v>791</v>
      </c>
      <c r="E91">
        <v>1265</v>
      </c>
      <c r="F91">
        <v>1554</v>
      </c>
      <c r="G91">
        <v>1380</v>
      </c>
      <c r="H91">
        <v>847</v>
      </c>
      <c r="I91">
        <v>1226</v>
      </c>
      <c r="J91">
        <v>535</v>
      </c>
      <c r="N91" s="79"/>
      <c r="O91" s="79"/>
      <c r="P91" s="79"/>
      <c r="Q91" s="79"/>
      <c r="R91" s="79"/>
      <c r="S91" s="79"/>
      <c r="T91" s="79"/>
    </row>
    <row r="92" spans="2:20" x14ac:dyDescent="0.35">
      <c r="B92" s="107" t="s">
        <v>13</v>
      </c>
      <c r="C92">
        <v>7486</v>
      </c>
      <c r="D92">
        <v>743</v>
      </c>
      <c r="E92">
        <v>1255</v>
      </c>
      <c r="F92">
        <v>1557</v>
      </c>
      <c r="G92">
        <v>1372</v>
      </c>
      <c r="H92">
        <v>828</v>
      </c>
      <c r="I92">
        <v>1204</v>
      </c>
      <c r="J92">
        <v>527</v>
      </c>
      <c r="N92" s="79"/>
      <c r="O92" s="79"/>
      <c r="P92" s="79"/>
      <c r="Q92" s="79"/>
      <c r="R92" s="79"/>
      <c r="S92" s="79"/>
      <c r="T92" s="79"/>
    </row>
    <row r="93" spans="2:20" x14ac:dyDescent="0.35">
      <c r="B93" s="107" t="s">
        <v>13</v>
      </c>
      <c r="C93">
        <v>7580</v>
      </c>
      <c r="D93">
        <v>749</v>
      </c>
      <c r="E93">
        <v>1239</v>
      </c>
      <c r="F93">
        <v>1535</v>
      </c>
      <c r="G93">
        <v>1455</v>
      </c>
      <c r="H93">
        <v>871</v>
      </c>
      <c r="I93">
        <v>1212</v>
      </c>
      <c r="J93">
        <v>519</v>
      </c>
      <c r="N93" s="79"/>
      <c r="O93" s="79"/>
      <c r="P93" s="79"/>
      <c r="Q93" s="79"/>
      <c r="R93" s="79"/>
      <c r="S93" s="79"/>
      <c r="T93" s="79"/>
    </row>
    <row r="94" spans="2:20" x14ac:dyDescent="0.35">
      <c r="B94" s="107" t="s">
        <v>14</v>
      </c>
      <c r="C94" s="79">
        <v>7622</v>
      </c>
      <c r="D94" s="79">
        <v>759</v>
      </c>
      <c r="E94" s="79">
        <v>1273</v>
      </c>
      <c r="F94" s="79">
        <v>1541</v>
      </c>
      <c r="G94" s="79">
        <v>1432</v>
      </c>
      <c r="H94" s="79">
        <v>879</v>
      </c>
      <c r="I94" s="79">
        <v>1213</v>
      </c>
      <c r="J94" s="79">
        <v>525</v>
      </c>
      <c r="N94" s="79"/>
      <c r="O94" s="79"/>
      <c r="P94" s="79"/>
      <c r="Q94" s="79"/>
      <c r="R94" s="79"/>
      <c r="S94" s="79"/>
      <c r="T94" s="79"/>
    </row>
    <row r="95" spans="2:20" x14ac:dyDescent="0.35">
      <c r="B95" s="107" t="s">
        <v>14</v>
      </c>
      <c r="C95" s="79">
        <v>7598</v>
      </c>
      <c r="D95" s="79">
        <v>769</v>
      </c>
      <c r="E95" s="79">
        <v>1264</v>
      </c>
      <c r="F95" s="79">
        <v>1510</v>
      </c>
      <c r="G95" s="79">
        <v>1432</v>
      </c>
      <c r="H95" s="79">
        <v>923</v>
      </c>
      <c r="I95" s="79">
        <v>1181</v>
      </c>
      <c r="J95" s="79">
        <v>519</v>
      </c>
      <c r="N95" s="79"/>
      <c r="O95" s="79"/>
      <c r="P95" s="79"/>
      <c r="Q95" s="79"/>
      <c r="R95" s="79"/>
      <c r="S95" s="79"/>
      <c r="T95" s="79"/>
    </row>
    <row r="96" spans="2:20" x14ac:dyDescent="0.35">
      <c r="B96" s="107" t="s">
        <v>14</v>
      </c>
      <c r="C96" s="79">
        <v>7507</v>
      </c>
      <c r="D96" s="79">
        <v>768</v>
      </c>
      <c r="E96" s="79">
        <v>1251</v>
      </c>
      <c r="F96" s="79">
        <v>1467</v>
      </c>
      <c r="G96" s="79">
        <v>1440</v>
      </c>
      <c r="H96" s="79">
        <v>871</v>
      </c>
      <c r="I96" s="79">
        <v>1184</v>
      </c>
      <c r="J96" s="79">
        <v>526</v>
      </c>
      <c r="N96" s="79"/>
      <c r="O96" s="79"/>
      <c r="P96" s="79"/>
      <c r="Q96" s="79"/>
      <c r="R96" s="79"/>
      <c r="S96" s="79"/>
      <c r="T96" s="79"/>
    </row>
    <row r="97" spans="2:10" x14ac:dyDescent="0.35">
      <c r="B97" s="107" t="s">
        <v>14</v>
      </c>
      <c r="C97" s="79">
        <v>7522</v>
      </c>
      <c r="D97" s="79">
        <v>748</v>
      </c>
      <c r="E97" s="79">
        <v>1301</v>
      </c>
      <c r="F97" s="79">
        <v>1441</v>
      </c>
      <c r="G97" s="79">
        <v>1407</v>
      </c>
      <c r="H97" s="79">
        <v>924</v>
      </c>
      <c r="I97" s="79">
        <v>1172</v>
      </c>
      <c r="J97" s="79">
        <v>529</v>
      </c>
    </row>
    <row r="98" spans="2:10" x14ac:dyDescent="0.35">
      <c r="B98" s="107" t="s">
        <v>14</v>
      </c>
      <c r="C98" s="79">
        <v>7468</v>
      </c>
      <c r="D98" s="79">
        <v>751</v>
      </c>
      <c r="E98" s="79">
        <v>1281</v>
      </c>
      <c r="F98" s="79">
        <v>1428</v>
      </c>
      <c r="G98" s="79">
        <v>1402</v>
      </c>
      <c r="H98" s="79">
        <v>916</v>
      </c>
      <c r="I98" s="79">
        <v>1145</v>
      </c>
      <c r="J98" s="79">
        <v>545</v>
      </c>
    </row>
    <row r="99" spans="2:10" x14ac:dyDescent="0.35">
      <c r="B99" s="107" t="s">
        <v>14</v>
      </c>
      <c r="C99" s="79">
        <v>7330</v>
      </c>
      <c r="D99" s="79">
        <v>772</v>
      </c>
      <c r="E99" s="79">
        <v>1223</v>
      </c>
      <c r="F99" s="79">
        <v>1345</v>
      </c>
      <c r="G99" s="79">
        <v>1372</v>
      </c>
      <c r="H99" s="79">
        <v>925</v>
      </c>
      <c r="I99" s="79">
        <v>1145</v>
      </c>
      <c r="J99" s="79">
        <v>548</v>
      </c>
    </row>
    <row r="100" spans="2:10" x14ac:dyDescent="0.35">
      <c r="B100" s="107" t="s">
        <v>14</v>
      </c>
      <c r="C100" s="79">
        <v>7470</v>
      </c>
      <c r="D100" s="79">
        <v>771</v>
      </c>
      <c r="E100" s="79">
        <v>1289</v>
      </c>
      <c r="F100" s="79">
        <v>1369</v>
      </c>
      <c r="G100" s="79">
        <v>1384</v>
      </c>
      <c r="H100" s="79">
        <v>924</v>
      </c>
      <c r="I100" s="79">
        <v>1177</v>
      </c>
      <c r="J100" s="79">
        <v>556</v>
      </c>
    </row>
  </sheetData>
  <phoneticPr fontId="20"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496F64-7257-4357-BEC2-A3C9AB6F5D97}">
  <dimension ref="A1:U100"/>
  <sheetViews>
    <sheetView topLeftCell="A28" zoomScale="85" zoomScaleNormal="85" workbookViewId="0">
      <selection activeCell="N11" sqref="N11"/>
    </sheetView>
  </sheetViews>
  <sheetFormatPr defaultRowHeight="14.5" x14ac:dyDescent="0.35"/>
  <cols>
    <col min="1" max="1" width="11.81640625" bestFit="1" customWidth="1"/>
    <col min="2" max="2" width="11.81640625" customWidth="1"/>
    <col min="3" max="3" width="11" bestFit="1" customWidth="1"/>
    <col min="4" max="4" width="16.81640625" bestFit="1" customWidth="1"/>
    <col min="5" max="5" width="8.54296875" bestFit="1" customWidth="1"/>
    <col min="6" max="6" width="10.1796875" bestFit="1" customWidth="1"/>
    <col min="7" max="7" width="27" bestFit="1" customWidth="1"/>
    <col min="8" max="8" width="12.54296875" bestFit="1" customWidth="1"/>
    <col min="9" max="9" width="11.81640625" bestFit="1" customWidth="1"/>
    <col min="10" max="10" width="12.7265625" bestFit="1" customWidth="1"/>
    <col min="13" max="13" width="13.1796875" bestFit="1" customWidth="1"/>
    <col min="14" max="14" width="19.26953125" bestFit="1" customWidth="1"/>
    <col min="15" max="15" width="23.54296875" bestFit="1" customWidth="1"/>
    <col min="16" max="16" width="16.81640625" bestFit="1" customWidth="1"/>
    <col min="17" max="17" width="18.7265625" bestFit="1" customWidth="1"/>
    <col min="18" max="18" width="32.1796875" bestFit="1" customWidth="1"/>
    <col min="19" max="19" width="20.7265625" bestFit="1" customWidth="1"/>
    <col min="20" max="20" width="19.54296875" bestFit="1" customWidth="1"/>
    <col min="21" max="21" width="20.54296875" bestFit="1" customWidth="1"/>
  </cols>
  <sheetData>
    <row r="1" spans="1:21" x14ac:dyDescent="0.35">
      <c r="A1" t="s">
        <v>402</v>
      </c>
    </row>
    <row r="2" spans="1:21" x14ac:dyDescent="0.35">
      <c r="A2" s="102" t="s">
        <v>391</v>
      </c>
      <c r="B2" s="102" t="s">
        <v>392</v>
      </c>
      <c r="C2" s="103" t="s">
        <v>393</v>
      </c>
      <c r="D2" s="104" t="s">
        <v>24</v>
      </c>
      <c r="E2" s="105" t="s">
        <v>21</v>
      </c>
      <c r="F2" s="105" t="s">
        <v>22</v>
      </c>
      <c r="G2" s="105" t="s">
        <v>138</v>
      </c>
      <c r="H2" s="105" t="s">
        <v>26</v>
      </c>
      <c r="I2" s="105" t="s">
        <v>27</v>
      </c>
      <c r="J2" s="106" t="s">
        <v>28</v>
      </c>
    </row>
    <row r="3" spans="1:21" x14ac:dyDescent="0.35">
      <c r="A3" s="97"/>
      <c r="B3" s="107" t="s">
        <v>1</v>
      </c>
      <c r="C3" s="98">
        <v>111</v>
      </c>
      <c r="D3" s="99">
        <v>6</v>
      </c>
      <c r="E3" s="100">
        <v>57</v>
      </c>
      <c r="F3" s="100">
        <v>3</v>
      </c>
      <c r="G3" s="100">
        <v>7</v>
      </c>
      <c r="H3" s="100">
        <v>15</v>
      </c>
      <c r="I3" s="100">
        <v>14</v>
      </c>
      <c r="J3" s="101">
        <v>9</v>
      </c>
      <c r="M3" s="15" t="s">
        <v>134</v>
      </c>
      <c r="N3" t="s">
        <v>394</v>
      </c>
      <c r="O3" t="s">
        <v>395</v>
      </c>
      <c r="P3" t="s">
        <v>396</v>
      </c>
      <c r="Q3" t="s">
        <v>397</v>
      </c>
      <c r="R3" t="s">
        <v>398</v>
      </c>
      <c r="S3" t="s">
        <v>399</v>
      </c>
      <c r="T3" t="s">
        <v>400</v>
      </c>
      <c r="U3" t="s">
        <v>401</v>
      </c>
    </row>
    <row r="4" spans="1:21" x14ac:dyDescent="0.35">
      <c r="A4" s="97"/>
      <c r="B4" s="107" t="s">
        <v>1</v>
      </c>
      <c r="C4" s="98">
        <v>117</v>
      </c>
      <c r="D4" s="99">
        <v>5</v>
      </c>
      <c r="E4" s="100">
        <v>58</v>
      </c>
      <c r="F4" s="100">
        <v>7</v>
      </c>
      <c r="G4" s="100">
        <v>8</v>
      </c>
      <c r="H4" s="100">
        <v>15</v>
      </c>
      <c r="I4" s="100">
        <v>18</v>
      </c>
      <c r="J4" s="101">
        <v>6</v>
      </c>
      <c r="M4" s="16" t="s">
        <v>1</v>
      </c>
      <c r="N4" s="22">
        <v>125.14285714285714</v>
      </c>
      <c r="O4" s="22">
        <v>6.7142857142857144</v>
      </c>
      <c r="P4" s="22">
        <v>59</v>
      </c>
      <c r="Q4" s="22">
        <v>8.2857142857142865</v>
      </c>
      <c r="R4" s="22">
        <v>12.714285714285714</v>
      </c>
      <c r="S4" s="22">
        <v>12.571428571428571</v>
      </c>
      <c r="T4" s="22">
        <v>18.142857142857142</v>
      </c>
      <c r="U4" s="22">
        <v>7.7142857142857144</v>
      </c>
    </row>
    <row r="5" spans="1:21" x14ac:dyDescent="0.35">
      <c r="A5" s="97"/>
      <c r="B5" s="107" t="s">
        <v>1</v>
      </c>
      <c r="C5" s="98">
        <v>128</v>
      </c>
      <c r="D5" s="99">
        <v>6</v>
      </c>
      <c r="E5" s="100">
        <v>58</v>
      </c>
      <c r="F5" s="100">
        <v>8</v>
      </c>
      <c r="G5" s="100">
        <v>10</v>
      </c>
      <c r="H5" s="100">
        <v>15</v>
      </c>
      <c r="I5" s="100">
        <v>22</v>
      </c>
      <c r="J5" s="101">
        <v>9</v>
      </c>
      <c r="M5" s="16" t="s">
        <v>2</v>
      </c>
      <c r="N5" s="22">
        <v>119.42857142857143</v>
      </c>
      <c r="O5" s="22">
        <v>13.428571428571429</v>
      </c>
      <c r="P5" s="22">
        <v>57.428571428571431</v>
      </c>
      <c r="Q5" s="22">
        <v>7.1428571428571432</v>
      </c>
      <c r="R5" s="22">
        <v>12.571428571428571</v>
      </c>
      <c r="S5" s="22">
        <v>7.2857142857142856</v>
      </c>
      <c r="T5" s="22">
        <v>13.571428571428571</v>
      </c>
      <c r="U5" s="22">
        <v>8</v>
      </c>
    </row>
    <row r="6" spans="1:21" x14ac:dyDescent="0.35">
      <c r="A6" s="97"/>
      <c r="B6" s="107" t="s">
        <v>1</v>
      </c>
      <c r="C6" s="98">
        <v>134</v>
      </c>
      <c r="D6" s="99">
        <v>6</v>
      </c>
      <c r="E6" s="100">
        <v>62</v>
      </c>
      <c r="F6" s="100">
        <v>9</v>
      </c>
      <c r="G6" s="100">
        <v>16</v>
      </c>
      <c r="H6" s="100">
        <v>14</v>
      </c>
      <c r="I6" s="100">
        <v>19</v>
      </c>
      <c r="J6" s="101">
        <v>8</v>
      </c>
      <c r="M6" s="16" t="s">
        <v>3</v>
      </c>
      <c r="N6" s="22">
        <v>151.57142857142858</v>
      </c>
      <c r="O6" s="22">
        <v>22.428571428571427</v>
      </c>
      <c r="P6" s="22">
        <v>60.285714285714285</v>
      </c>
      <c r="Q6" s="22">
        <v>13.857142857142858</v>
      </c>
      <c r="R6" s="22">
        <v>16.857142857142858</v>
      </c>
      <c r="S6" s="22">
        <v>15.142857142857142</v>
      </c>
      <c r="T6" s="22">
        <v>16.714285714285715</v>
      </c>
      <c r="U6" s="22">
        <v>6.2857142857142856</v>
      </c>
    </row>
    <row r="7" spans="1:21" x14ac:dyDescent="0.35">
      <c r="A7" s="97"/>
      <c r="B7" s="107" t="s">
        <v>1</v>
      </c>
      <c r="C7" s="98">
        <v>135</v>
      </c>
      <c r="D7" s="99">
        <v>8</v>
      </c>
      <c r="E7" s="100">
        <v>61</v>
      </c>
      <c r="F7" s="100">
        <v>12</v>
      </c>
      <c r="G7" s="100">
        <v>18</v>
      </c>
      <c r="H7" s="100">
        <v>9</v>
      </c>
      <c r="I7" s="100">
        <v>19</v>
      </c>
      <c r="J7" s="101">
        <v>8</v>
      </c>
      <c r="M7" s="16" t="s">
        <v>4</v>
      </c>
      <c r="N7" s="22">
        <v>173.85714285714286</v>
      </c>
      <c r="O7" s="22">
        <v>24.428571428571427</v>
      </c>
      <c r="P7" s="22">
        <v>72.285714285714292</v>
      </c>
      <c r="Q7" s="22">
        <v>16.428571428571427</v>
      </c>
      <c r="R7" s="22">
        <v>18.142857142857142</v>
      </c>
      <c r="S7" s="22">
        <v>14.142857142857142</v>
      </c>
      <c r="T7" s="22">
        <v>20.714285714285715</v>
      </c>
      <c r="U7" s="22">
        <v>7.7142857142857144</v>
      </c>
    </row>
    <row r="8" spans="1:21" x14ac:dyDescent="0.35">
      <c r="A8" s="97"/>
      <c r="B8" s="107" t="s">
        <v>1</v>
      </c>
      <c r="C8" s="98">
        <v>124</v>
      </c>
      <c r="D8" s="99">
        <v>8</v>
      </c>
      <c r="E8" s="100">
        <v>55</v>
      </c>
      <c r="F8" s="100">
        <v>10</v>
      </c>
      <c r="G8" s="100">
        <v>15</v>
      </c>
      <c r="H8" s="100">
        <v>10</v>
      </c>
      <c r="I8" s="100">
        <v>20</v>
      </c>
      <c r="J8" s="101">
        <v>6</v>
      </c>
      <c r="M8" s="16" t="s">
        <v>5</v>
      </c>
      <c r="N8" s="22">
        <v>205.42857142857142</v>
      </c>
      <c r="O8" s="22">
        <v>20</v>
      </c>
      <c r="P8" s="22">
        <v>84</v>
      </c>
      <c r="Q8" s="22">
        <v>24.857142857142858</v>
      </c>
      <c r="R8" s="22">
        <v>24.428571428571427</v>
      </c>
      <c r="S8" s="22">
        <v>19</v>
      </c>
      <c r="T8" s="22">
        <v>22.142857142857142</v>
      </c>
      <c r="U8" s="22">
        <v>11</v>
      </c>
    </row>
    <row r="9" spans="1:21" x14ac:dyDescent="0.35">
      <c r="A9" s="97"/>
      <c r="B9" s="107" t="s">
        <v>1</v>
      </c>
      <c r="C9" s="98">
        <v>127</v>
      </c>
      <c r="D9" s="99">
        <v>8</v>
      </c>
      <c r="E9" s="100">
        <v>62</v>
      </c>
      <c r="F9" s="100">
        <v>9</v>
      </c>
      <c r="G9" s="100">
        <v>15</v>
      </c>
      <c r="H9" s="100">
        <v>10</v>
      </c>
      <c r="I9" s="100">
        <v>15</v>
      </c>
      <c r="J9" s="101">
        <v>8</v>
      </c>
      <c r="M9" s="16" t="s">
        <v>6</v>
      </c>
      <c r="N9" s="22">
        <v>208.42857142857142</v>
      </c>
      <c r="O9" s="22">
        <v>16.428571428571427</v>
      </c>
      <c r="P9" s="22">
        <v>84.571428571428569</v>
      </c>
      <c r="Q9" s="22">
        <v>29.571428571428573</v>
      </c>
      <c r="R9" s="22">
        <v>23.857142857142858</v>
      </c>
      <c r="S9" s="22">
        <v>19.428571428571427</v>
      </c>
      <c r="T9" s="22">
        <v>23</v>
      </c>
      <c r="U9" s="22">
        <v>11.571428571428571</v>
      </c>
    </row>
    <row r="10" spans="1:21" x14ac:dyDescent="0.35">
      <c r="A10" s="97"/>
      <c r="B10" s="107" t="s">
        <v>2</v>
      </c>
      <c r="C10" s="98">
        <v>129</v>
      </c>
      <c r="D10" s="99">
        <v>10</v>
      </c>
      <c r="E10" s="100">
        <v>61</v>
      </c>
      <c r="F10" s="100">
        <v>7</v>
      </c>
      <c r="G10" s="100">
        <v>17</v>
      </c>
      <c r="H10" s="100">
        <v>8</v>
      </c>
      <c r="I10" s="100">
        <v>17</v>
      </c>
      <c r="J10" s="101">
        <v>9</v>
      </c>
      <c r="M10" s="16" t="s">
        <v>7</v>
      </c>
      <c r="N10" s="22">
        <v>169.57142857142858</v>
      </c>
      <c r="O10" s="22">
        <v>14</v>
      </c>
      <c r="P10" s="22">
        <v>75.142857142857139</v>
      </c>
      <c r="Q10" s="22">
        <v>17.857142857142858</v>
      </c>
      <c r="R10" s="22">
        <v>17.428571428571427</v>
      </c>
      <c r="S10" s="22">
        <v>18.714285714285715</v>
      </c>
      <c r="T10" s="22">
        <v>20</v>
      </c>
      <c r="U10" s="22">
        <v>6.4285714285714288</v>
      </c>
    </row>
    <row r="11" spans="1:21" x14ac:dyDescent="0.35">
      <c r="A11" s="97"/>
      <c r="B11" s="107" t="s">
        <v>2</v>
      </c>
      <c r="C11" s="98">
        <v>127</v>
      </c>
      <c r="D11" s="99">
        <v>12</v>
      </c>
      <c r="E11" s="100">
        <v>58</v>
      </c>
      <c r="F11" s="100">
        <v>9</v>
      </c>
      <c r="G11" s="100">
        <v>13</v>
      </c>
      <c r="H11" s="100">
        <v>7</v>
      </c>
      <c r="I11" s="100">
        <v>17</v>
      </c>
      <c r="J11" s="101">
        <v>11</v>
      </c>
      <c r="M11" s="16" t="s">
        <v>8</v>
      </c>
      <c r="N11" s="22">
        <v>143.71428571428572</v>
      </c>
      <c r="O11" s="22">
        <v>12.428571428571429</v>
      </c>
      <c r="P11" s="22">
        <v>62.857142857142854</v>
      </c>
      <c r="Q11" s="22">
        <v>18.571428571428573</v>
      </c>
      <c r="R11" s="22">
        <v>12</v>
      </c>
      <c r="S11" s="22">
        <v>14</v>
      </c>
      <c r="T11" s="22">
        <v>17.142857142857142</v>
      </c>
      <c r="U11" s="22">
        <v>6.7142857142857144</v>
      </c>
    </row>
    <row r="12" spans="1:21" x14ac:dyDescent="0.35">
      <c r="A12" s="97"/>
      <c r="B12" s="107" t="s">
        <v>2</v>
      </c>
      <c r="C12" s="98">
        <v>119</v>
      </c>
      <c r="D12" s="99">
        <v>12</v>
      </c>
      <c r="E12" s="100">
        <v>54</v>
      </c>
      <c r="F12" s="100">
        <v>9</v>
      </c>
      <c r="G12" s="100">
        <v>13</v>
      </c>
      <c r="H12" s="100">
        <v>7</v>
      </c>
      <c r="I12" s="100">
        <v>15</v>
      </c>
      <c r="J12" s="101">
        <v>9</v>
      </c>
      <c r="M12" s="16" t="s">
        <v>9</v>
      </c>
      <c r="N12" s="22">
        <v>136.14285714285714</v>
      </c>
      <c r="O12" s="22">
        <v>15.714285714285714</v>
      </c>
      <c r="P12" s="22">
        <v>61</v>
      </c>
      <c r="Q12" s="22">
        <v>15.428571428571429</v>
      </c>
      <c r="R12" s="22">
        <v>10.142857142857142</v>
      </c>
      <c r="S12" s="22">
        <v>12.428571428571429</v>
      </c>
      <c r="T12" s="22">
        <v>17.714285714285715</v>
      </c>
      <c r="U12" s="22">
        <v>3.7142857142857144</v>
      </c>
    </row>
    <row r="13" spans="1:21" x14ac:dyDescent="0.35">
      <c r="A13" s="97"/>
      <c r="B13" s="107" t="s">
        <v>2</v>
      </c>
      <c r="C13" s="98">
        <v>118</v>
      </c>
      <c r="D13" s="99">
        <v>15</v>
      </c>
      <c r="E13" s="100">
        <v>59</v>
      </c>
      <c r="F13" s="100">
        <v>4</v>
      </c>
      <c r="G13" s="100">
        <v>13</v>
      </c>
      <c r="H13" s="100">
        <v>7</v>
      </c>
      <c r="I13" s="100">
        <v>13</v>
      </c>
      <c r="J13" s="101">
        <v>7</v>
      </c>
      <c r="M13" s="16" t="s">
        <v>10</v>
      </c>
      <c r="N13" s="22">
        <v>138</v>
      </c>
      <c r="O13" s="22">
        <v>17.142857142857142</v>
      </c>
      <c r="P13" s="22">
        <v>59.857142857142854</v>
      </c>
      <c r="Q13" s="22">
        <v>15.857142857142858</v>
      </c>
      <c r="R13" s="22">
        <v>13.714285714285714</v>
      </c>
      <c r="S13" s="22">
        <v>11.714285714285714</v>
      </c>
      <c r="T13" s="22">
        <v>15.142857142857142</v>
      </c>
      <c r="U13" s="22">
        <v>4.5714285714285712</v>
      </c>
    </row>
    <row r="14" spans="1:21" x14ac:dyDescent="0.35">
      <c r="A14" s="97"/>
      <c r="B14" s="107" t="s">
        <v>2</v>
      </c>
      <c r="C14" s="98">
        <v>113</v>
      </c>
      <c r="D14" s="99">
        <v>15</v>
      </c>
      <c r="E14" s="100">
        <v>57</v>
      </c>
      <c r="F14" s="100">
        <v>7</v>
      </c>
      <c r="G14" s="100">
        <v>10</v>
      </c>
      <c r="H14" s="100">
        <v>7</v>
      </c>
      <c r="I14" s="100">
        <v>10</v>
      </c>
      <c r="J14" s="101">
        <v>7</v>
      </c>
      <c r="M14" s="16" t="s">
        <v>11</v>
      </c>
      <c r="N14" s="22">
        <v>125.57142857142857</v>
      </c>
      <c r="O14" s="22">
        <v>15</v>
      </c>
      <c r="P14" s="22">
        <v>50.571428571428569</v>
      </c>
      <c r="Q14" s="22">
        <v>20</v>
      </c>
      <c r="R14" s="22">
        <v>15</v>
      </c>
      <c r="S14" s="22">
        <v>8.1428571428571423</v>
      </c>
      <c r="T14" s="22">
        <v>14.142857142857142</v>
      </c>
      <c r="U14" s="22">
        <v>2.7142857142857144</v>
      </c>
    </row>
    <row r="15" spans="1:21" x14ac:dyDescent="0.35">
      <c r="A15" s="97"/>
      <c r="B15" s="107" t="s">
        <v>2</v>
      </c>
      <c r="C15" s="98">
        <v>112</v>
      </c>
      <c r="D15" s="99">
        <v>16</v>
      </c>
      <c r="E15" s="100">
        <v>53</v>
      </c>
      <c r="F15" s="100">
        <v>7</v>
      </c>
      <c r="G15" s="100">
        <v>11</v>
      </c>
      <c r="H15" s="100">
        <v>8</v>
      </c>
      <c r="I15" s="100">
        <v>10</v>
      </c>
      <c r="J15" s="101">
        <v>7</v>
      </c>
      <c r="M15" s="16" t="s">
        <v>12</v>
      </c>
      <c r="N15" s="22">
        <v>137.42857142857142</v>
      </c>
      <c r="O15" s="22">
        <v>16.285714285714285</v>
      </c>
      <c r="P15" s="22">
        <v>57.428571428571431</v>
      </c>
      <c r="Q15" s="22">
        <v>19.428571428571427</v>
      </c>
      <c r="R15" s="22">
        <v>16.571428571428573</v>
      </c>
      <c r="S15" s="22">
        <v>11.571428571428571</v>
      </c>
      <c r="T15" s="22">
        <v>13.714285714285714</v>
      </c>
      <c r="U15" s="22">
        <v>2.4285714285714284</v>
      </c>
    </row>
    <row r="16" spans="1:21" x14ac:dyDescent="0.35">
      <c r="A16" s="97"/>
      <c r="B16" s="107" t="s">
        <v>2</v>
      </c>
      <c r="C16" s="98">
        <v>118</v>
      </c>
      <c r="D16" s="99">
        <v>14</v>
      </c>
      <c r="E16" s="100">
        <v>60</v>
      </c>
      <c r="F16" s="100">
        <v>7</v>
      </c>
      <c r="G16" s="100">
        <v>11</v>
      </c>
      <c r="H16" s="100">
        <v>7</v>
      </c>
      <c r="I16" s="100">
        <v>13</v>
      </c>
      <c r="J16" s="101">
        <v>6</v>
      </c>
      <c r="M16" s="16" t="s">
        <v>13</v>
      </c>
      <c r="N16" s="22">
        <v>156.71428571428572</v>
      </c>
      <c r="O16" s="22">
        <v>15.285714285714286</v>
      </c>
      <c r="P16" s="22">
        <v>67</v>
      </c>
      <c r="Q16" s="22">
        <v>20.285714285714285</v>
      </c>
      <c r="R16" s="22">
        <v>22.428571428571427</v>
      </c>
      <c r="S16" s="22">
        <v>13.571428571428571</v>
      </c>
      <c r="T16" s="22">
        <v>13.428571428571429</v>
      </c>
      <c r="U16" s="22">
        <v>4.7142857142857144</v>
      </c>
    </row>
    <row r="17" spans="1:21" x14ac:dyDescent="0.35">
      <c r="A17" s="97"/>
      <c r="B17" s="107" t="s">
        <v>3</v>
      </c>
      <c r="C17" s="98">
        <v>129</v>
      </c>
      <c r="D17" s="99">
        <v>16</v>
      </c>
      <c r="E17" s="100">
        <v>63</v>
      </c>
      <c r="F17" s="100">
        <v>8</v>
      </c>
      <c r="G17" s="100">
        <v>13</v>
      </c>
      <c r="H17" s="100">
        <v>12</v>
      </c>
      <c r="I17" s="100">
        <v>12</v>
      </c>
      <c r="J17" s="101">
        <v>5</v>
      </c>
      <c r="M17" s="16" t="s">
        <v>14</v>
      </c>
      <c r="N17" s="22">
        <v>160.57142857142858</v>
      </c>
      <c r="O17" s="22">
        <v>13.285714285714286</v>
      </c>
      <c r="P17" s="22">
        <v>68.857142857142861</v>
      </c>
      <c r="Q17" s="22">
        <v>17.428571428571427</v>
      </c>
      <c r="R17" s="22">
        <v>22.285714285714285</v>
      </c>
      <c r="S17" s="22">
        <v>17</v>
      </c>
      <c r="T17" s="22">
        <v>14.428571428571429</v>
      </c>
      <c r="U17" s="22">
        <v>7.2857142857142856</v>
      </c>
    </row>
    <row r="18" spans="1:21" x14ac:dyDescent="0.35">
      <c r="A18" s="97"/>
      <c r="B18" s="107" t="s">
        <v>3</v>
      </c>
      <c r="C18" s="98">
        <v>142</v>
      </c>
      <c r="D18" s="99">
        <v>19</v>
      </c>
      <c r="E18" s="100">
        <v>62</v>
      </c>
      <c r="F18" s="100">
        <v>13</v>
      </c>
      <c r="G18" s="100">
        <v>13</v>
      </c>
      <c r="H18" s="100">
        <v>13</v>
      </c>
      <c r="I18" s="100">
        <v>16</v>
      </c>
      <c r="J18" s="101">
        <v>6</v>
      </c>
      <c r="M18" s="16" t="s">
        <v>139</v>
      </c>
      <c r="N18" s="22">
        <v>153.68367346938774</v>
      </c>
      <c r="O18" s="22">
        <v>15.897959183673469</v>
      </c>
      <c r="P18" s="22">
        <v>65.734693877551024</v>
      </c>
      <c r="Q18" s="22">
        <v>17.5</v>
      </c>
      <c r="R18" s="22">
        <v>17.010204081632654</v>
      </c>
      <c r="S18" s="22">
        <v>13.908163265306122</v>
      </c>
      <c r="T18" s="22">
        <v>17.142857142857142</v>
      </c>
      <c r="U18" s="22">
        <v>6.4897959183673466</v>
      </c>
    </row>
    <row r="19" spans="1:21" x14ac:dyDescent="0.35">
      <c r="A19" s="97"/>
      <c r="B19" s="107" t="s">
        <v>3</v>
      </c>
      <c r="C19" s="98">
        <v>150</v>
      </c>
      <c r="D19" s="99">
        <v>22</v>
      </c>
      <c r="E19" s="100">
        <v>58</v>
      </c>
      <c r="F19" s="100">
        <v>14</v>
      </c>
      <c r="G19" s="100">
        <v>14</v>
      </c>
      <c r="H19" s="100">
        <v>17</v>
      </c>
      <c r="I19" s="100">
        <v>18</v>
      </c>
      <c r="J19" s="101">
        <v>7</v>
      </c>
    </row>
    <row r="20" spans="1:21" x14ac:dyDescent="0.35">
      <c r="A20" s="97"/>
      <c r="B20" s="107" t="s">
        <v>3</v>
      </c>
      <c r="C20" s="98">
        <v>155</v>
      </c>
      <c r="D20" s="99">
        <v>21</v>
      </c>
      <c r="E20" s="100">
        <v>62</v>
      </c>
      <c r="F20" s="100">
        <v>17</v>
      </c>
      <c r="G20" s="100">
        <v>14</v>
      </c>
      <c r="H20" s="100">
        <v>16</v>
      </c>
      <c r="I20" s="100">
        <v>18</v>
      </c>
      <c r="J20" s="101">
        <v>7</v>
      </c>
    </row>
    <row r="21" spans="1:21" x14ac:dyDescent="0.35">
      <c r="A21" s="97"/>
      <c r="B21" s="107" t="s">
        <v>3</v>
      </c>
      <c r="C21" s="98">
        <v>156</v>
      </c>
      <c r="D21" s="99">
        <v>24</v>
      </c>
      <c r="E21" s="100">
        <v>58</v>
      </c>
      <c r="F21" s="100">
        <v>14</v>
      </c>
      <c r="G21" s="100">
        <v>18</v>
      </c>
      <c r="H21" s="100">
        <v>18</v>
      </c>
      <c r="I21" s="100">
        <v>17</v>
      </c>
      <c r="J21" s="101">
        <v>7</v>
      </c>
    </row>
    <row r="22" spans="1:21" x14ac:dyDescent="0.35">
      <c r="A22" s="97"/>
      <c r="B22" s="107" t="s">
        <v>3</v>
      </c>
      <c r="C22" s="98">
        <v>163</v>
      </c>
      <c r="D22" s="99">
        <v>27</v>
      </c>
      <c r="E22" s="100">
        <v>59</v>
      </c>
      <c r="F22" s="100">
        <v>15</v>
      </c>
      <c r="G22" s="100">
        <v>23</v>
      </c>
      <c r="H22" s="100">
        <v>16</v>
      </c>
      <c r="I22" s="100">
        <v>16</v>
      </c>
      <c r="J22" s="101">
        <v>7</v>
      </c>
    </row>
    <row r="23" spans="1:21" x14ac:dyDescent="0.35">
      <c r="A23" s="97"/>
      <c r="B23" s="107" t="s">
        <v>3</v>
      </c>
      <c r="C23" s="98">
        <v>166</v>
      </c>
      <c r="D23" s="99">
        <v>28</v>
      </c>
      <c r="E23" s="100">
        <v>60</v>
      </c>
      <c r="F23" s="100">
        <v>16</v>
      </c>
      <c r="G23" s="100">
        <v>23</v>
      </c>
      <c r="H23" s="100">
        <v>14</v>
      </c>
      <c r="I23" s="100">
        <v>20</v>
      </c>
      <c r="J23" s="101">
        <v>5</v>
      </c>
    </row>
    <row r="24" spans="1:21" x14ac:dyDescent="0.35">
      <c r="A24" s="97"/>
      <c r="B24" s="107" t="s">
        <v>4</v>
      </c>
      <c r="C24" s="98">
        <v>175</v>
      </c>
      <c r="D24" s="99">
        <v>25</v>
      </c>
      <c r="E24" s="100">
        <v>66</v>
      </c>
      <c r="F24" s="100">
        <v>17</v>
      </c>
      <c r="G24" s="100">
        <v>26</v>
      </c>
      <c r="H24" s="100">
        <v>14</v>
      </c>
      <c r="I24" s="100">
        <v>20</v>
      </c>
      <c r="J24" s="101">
        <v>7</v>
      </c>
    </row>
    <row r="25" spans="1:21" x14ac:dyDescent="0.35">
      <c r="B25" s="107" t="s">
        <v>4</v>
      </c>
      <c r="C25" s="98">
        <v>171</v>
      </c>
      <c r="D25" s="99">
        <v>27</v>
      </c>
      <c r="E25" s="100">
        <v>67</v>
      </c>
      <c r="F25" s="100">
        <v>15</v>
      </c>
      <c r="G25" s="100">
        <v>19</v>
      </c>
      <c r="H25" s="100">
        <v>14</v>
      </c>
      <c r="I25" s="100">
        <v>20</v>
      </c>
      <c r="J25" s="101">
        <v>9</v>
      </c>
    </row>
    <row r="26" spans="1:21" x14ac:dyDescent="0.35">
      <c r="B26" s="107" t="s">
        <v>4</v>
      </c>
      <c r="C26" s="98">
        <v>174</v>
      </c>
      <c r="D26" s="99">
        <v>26</v>
      </c>
      <c r="E26" s="100">
        <v>71</v>
      </c>
      <c r="F26" s="100">
        <v>14</v>
      </c>
      <c r="G26" s="100">
        <v>16</v>
      </c>
      <c r="H26" s="100">
        <v>15</v>
      </c>
      <c r="I26" s="100">
        <v>24</v>
      </c>
      <c r="J26" s="101">
        <v>8</v>
      </c>
    </row>
    <row r="27" spans="1:21" x14ac:dyDescent="0.35">
      <c r="B27" s="107" t="s">
        <v>4</v>
      </c>
      <c r="C27" s="98">
        <v>180</v>
      </c>
      <c r="D27" s="99">
        <v>27</v>
      </c>
      <c r="E27" s="100">
        <v>75</v>
      </c>
      <c r="F27" s="100">
        <v>16</v>
      </c>
      <c r="G27" s="100">
        <v>21</v>
      </c>
      <c r="H27" s="100">
        <v>14</v>
      </c>
      <c r="I27" s="100">
        <v>22</v>
      </c>
      <c r="J27" s="101">
        <v>5</v>
      </c>
    </row>
    <row r="28" spans="1:21" x14ac:dyDescent="0.35">
      <c r="B28" s="107" t="s">
        <v>4</v>
      </c>
      <c r="C28" s="98">
        <v>178</v>
      </c>
      <c r="D28" s="99">
        <v>25</v>
      </c>
      <c r="E28" s="100">
        <v>76</v>
      </c>
      <c r="F28" s="100">
        <v>20</v>
      </c>
      <c r="G28" s="100">
        <v>17</v>
      </c>
      <c r="H28" s="100">
        <v>14</v>
      </c>
      <c r="I28" s="100">
        <v>19</v>
      </c>
      <c r="J28" s="101">
        <v>7</v>
      </c>
    </row>
    <row r="29" spans="1:21" x14ac:dyDescent="0.35">
      <c r="B29" s="107" t="s">
        <v>4</v>
      </c>
      <c r="C29" s="98">
        <v>177</v>
      </c>
      <c r="D29" s="99">
        <v>23</v>
      </c>
      <c r="E29" s="100">
        <v>76</v>
      </c>
      <c r="F29" s="100">
        <v>16</v>
      </c>
      <c r="G29" s="100">
        <v>14</v>
      </c>
      <c r="H29" s="100">
        <v>14</v>
      </c>
      <c r="I29" s="100">
        <v>22</v>
      </c>
      <c r="J29" s="101">
        <v>12</v>
      </c>
    </row>
    <row r="30" spans="1:21" x14ac:dyDescent="0.35">
      <c r="B30" s="107" t="s">
        <v>4</v>
      </c>
      <c r="C30" s="98">
        <v>162</v>
      </c>
      <c r="D30" s="99">
        <v>18</v>
      </c>
      <c r="E30" s="100">
        <v>75</v>
      </c>
      <c r="F30" s="100">
        <v>17</v>
      </c>
      <c r="G30" s="100">
        <v>14</v>
      </c>
      <c r="H30" s="100">
        <v>14</v>
      </c>
      <c r="I30" s="100">
        <v>18</v>
      </c>
      <c r="J30" s="101">
        <v>6</v>
      </c>
    </row>
    <row r="31" spans="1:21" x14ac:dyDescent="0.35">
      <c r="B31" s="107" t="s">
        <v>5</v>
      </c>
      <c r="C31" s="98">
        <v>178</v>
      </c>
      <c r="D31">
        <v>21</v>
      </c>
      <c r="E31">
        <v>76</v>
      </c>
      <c r="F31">
        <v>17</v>
      </c>
      <c r="G31">
        <v>19</v>
      </c>
      <c r="H31">
        <v>15</v>
      </c>
      <c r="I31">
        <v>19</v>
      </c>
      <c r="J31">
        <v>11</v>
      </c>
    </row>
    <row r="32" spans="1:21" x14ac:dyDescent="0.35">
      <c r="B32" s="107" t="s">
        <v>5</v>
      </c>
      <c r="C32" s="98">
        <v>187</v>
      </c>
      <c r="D32">
        <v>16</v>
      </c>
      <c r="E32">
        <v>77</v>
      </c>
      <c r="F32">
        <v>24</v>
      </c>
      <c r="G32">
        <v>21</v>
      </c>
      <c r="H32">
        <v>18</v>
      </c>
      <c r="I32">
        <v>21</v>
      </c>
      <c r="J32">
        <v>10</v>
      </c>
    </row>
    <row r="33" spans="2:10" x14ac:dyDescent="0.35">
      <c r="B33" s="107" t="s">
        <v>5</v>
      </c>
      <c r="C33" s="98">
        <v>209</v>
      </c>
      <c r="D33">
        <v>23</v>
      </c>
      <c r="E33">
        <v>79</v>
      </c>
      <c r="F33">
        <v>27</v>
      </c>
      <c r="G33">
        <v>25</v>
      </c>
      <c r="H33">
        <v>21</v>
      </c>
      <c r="I33">
        <v>24</v>
      </c>
      <c r="J33">
        <v>10</v>
      </c>
    </row>
    <row r="34" spans="2:10" x14ac:dyDescent="0.35">
      <c r="B34" s="107" t="s">
        <v>5</v>
      </c>
      <c r="C34" s="98">
        <v>213</v>
      </c>
      <c r="D34">
        <v>25</v>
      </c>
      <c r="E34">
        <v>83</v>
      </c>
      <c r="F34">
        <v>25</v>
      </c>
      <c r="G34">
        <v>26</v>
      </c>
      <c r="H34">
        <v>19</v>
      </c>
      <c r="I34">
        <v>22</v>
      </c>
      <c r="J34">
        <v>13</v>
      </c>
    </row>
    <row r="35" spans="2:10" x14ac:dyDescent="0.35">
      <c r="B35" s="107" t="s">
        <v>5</v>
      </c>
      <c r="C35" s="98">
        <v>223</v>
      </c>
      <c r="D35">
        <v>26</v>
      </c>
      <c r="E35">
        <v>93</v>
      </c>
      <c r="F35">
        <v>25</v>
      </c>
      <c r="G35">
        <v>28</v>
      </c>
      <c r="H35">
        <v>19</v>
      </c>
      <c r="I35">
        <v>23</v>
      </c>
      <c r="J35">
        <v>9</v>
      </c>
    </row>
    <row r="36" spans="2:10" x14ac:dyDescent="0.35">
      <c r="B36" s="107" t="s">
        <v>5</v>
      </c>
      <c r="C36" s="98">
        <v>208</v>
      </c>
      <c r="D36">
        <v>13</v>
      </c>
      <c r="E36">
        <v>89</v>
      </c>
      <c r="F36">
        <v>28</v>
      </c>
      <c r="G36">
        <v>26</v>
      </c>
      <c r="H36">
        <v>20</v>
      </c>
      <c r="I36">
        <v>22</v>
      </c>
      <c r="J36">
        <v>10</v>
      </c>
    </row>
    <row r="37" spans="2:10" x14ac:dyDescent="0.35">
      <c r="B37" s="107" t="s">
        <v>5</v>
      </c>
      <c r="C37" s="98">
        <v>220</v>
      </c>
      <c r="D37">
        <v>16</v>
      </c>
      <c r="E37">
        <v>91</v>
      </c>
      <c r="F37">
        <v>28</v>
      </c>
      <c r="G37">
        <v>26</v>
      </c>
      <c r="H37">
        <v>21</v>
      </c>
      <c r="I37">
        <v>24</v>
      </c>
      <c r="J37">
        <v>14</v>
      </c>
    </row>
    <row r="38" spans="2:10" x14ac:dyDescent="0.35">
      <c r="B38" s="107" t="s">
        <v>6</v>
      </c>
      <c r="C38">
        <v>227</v>
      </c>
      <c r="D38">
        <v>16</v>
      </c>
      <c r="E38">
        <v>92</v>
      </c>
      <c r="F38">
        <v>32</v>
      </c>
      <c r="G38">
        <v>28</v>
      </c>
      <c r="H38">
        <v>23</v>
      </c>
      <c r="I38">
        <v>21</v>
      </c>
      <c r="J38">
        <v>15</v>
      </c>
    </row>
    <row r="39" spans="2:10" x14ac:dyDescent="0.35">
      <c r="B39" s="107" t="s">
        <v>6</v>
      </c>
      <c r="C39">
        <v>218</v>
      </c>
      <c r="D39">
        <v>14</v>
      </c>
      <c r="E39">
        <v>87</v>
      </c>
      <c r="F39">
        <v>36</v>
      </c>
      <c r="G39">
        <v>28</v>
      </c>
      <c r="H39">
        <v>22</v>
      </c>
      <c r="I39">
        <v>21</v>
      </c>
      <c r="J39">
        <v>10</v>
      </c>
    </row>
    <row r="40" spans="2:10" x14ac:dyDescent="0.35">
      <c r="B40" s="107" t="s">
        <v>6</v>
      </c>
      <c r="C40">
        <v>212</v>
      </c>
      <c r="D40">
        <v>18</v>
      </c>
      <c r="E40">
        <v>85</v>
      </c>
      <c r="F40">
        <v>32</v>
      </c>
      <c r="G40">
        <v>23</v>
      </c>
      <c r="H40">
        <v>19</v>
      </c>
      <c r="I40">
        <v>21</v>
      </c>
      <c r="J40">
        <v>14</v>
      </c>
    </row>
    <row r="41" spans="2:10" x14ac:dyDescent="0.35">
      <c r="B41" s="107" t="s">
        <v>6</v>
      </c>
      <c r="C41">
        <v>202</v>
      </c>
      <c r="D41">
        <v>16</v>
      </c>
      <c r="E41">
        <v>83</v>
      </c>
      <c r="F41">
        <v>28</v>
      </c>
      <c r="G41">
        <v>19</v>
      </c>
      <c r="H41">
        <v>17</v>
      </c>
      <c r="I41">
        <v>25</v>
      </c>
      <c r="J41">
        <v>14</v>
      </c>
    </row>
    <row r="42" spans="2:10" x14ac:dyDescent="0.35">
      <c r="B42" s="107" t="s">
        <v>6</v>
      </c>
      <c r="C42">
        <v>209</v>
      </c>
      <c r="D42">
        <v>17</v>
      </c>
      <c r="E42">
        <v>86</v>
      </c>
      <c r="F42">
        <v>26</v>
      </c>
      <c r="G42">
        <v>24</v>
      </c>
      <c r="H42">
        <v>18</v>
      </c>
      <c r="I42">
        <v>27</v>
      </c>
      <c r="J42">
        <v>11</v>
      </c>
    </row>
    <row r="43" spans="2:10" x14ac:dyDescent="0.35">
      <c r="B43" s="107" t="s">
        <v>6</v>
      </c>
      <c r="C43">
        <v>202</v>
      </c>
      <c r="D43">
        <v>17</v>
      </c>
      <c r="E43">
        <v>81</v>
      </c>
      <c r="F43">
        <v>29</v>
      </c>
      <c r="G43">
        <v>24</v>
      </c>
      <c r="H43">
        <v>19</v>
      </c>
      <c r="I43">
        <v>23</v>
      </c>
      <c r="J43">
        <v>9</v>
      </c>
    </row>
    <row r="44" spans="2:10" x14ac:dyDescent="0.35">
      <c r="B44" s="107" t="s">
        <v>6</v>
      </c>
      <c r="C44">
        <v>189</v>
      </c>
      <c r="D44">
        <v>17</v>
      </c>
      <c r="E44">
        <v>78</v>
      </c>
      <c r="F44">
        <v>24</v>
      </c>
      <c r="G44">
        <v>21</v>
      </c>
      <c r="H44">
        <v>18</v>
      </c>
      <c r="I44">
        <v>23</v>
      </c>
      <c r="J44">
        <v>8</v>
      </c>
    </row>
    <row r="45" spans="2:10" x14ac:dyDescent="0.35">
      <c r="B45" s="107" t="s">
        <v>7</v>
      </c>
      <c r="C45">
        <v>195</v>
      </c>
      <c r="D45">
        <v>24</v>
      </c>
      <c r="E45">
        <v>75</v>
      </c>
      <c r="F45">
        <v>26</v>
      </c>
      <c r="G45">
        <v>23</v>
      </c>
      <c r="H45">
        <v>18</v>
      </c>
      <c r="I45">
        <v>21</v>
      </c>
      <c r="J45">
        <v>8</v>
      </c>
    </row>
    <row r="46" spans="2:10" x14ac:dyDescent="0.35">
      <c r="B46" s="107" t="s">
        <v>7</v>
      </c>
      <c r="C46">
        <v>191</v>
      </c>
      <c r="D46">
        <v>18</v>
      </c>
      <c r="E46">
        <v>85</v>
      </c>
      <c r="F46">
        <v>20</v>
      </c>
      <c r="G46">
        <v>19</v>
      </c>
      <c r="H46">
        <v>19</v>
      </c>
      <c r="I46">
        <v>22</v>
      </c>
      <c r="J46">
        <v>8</v>
      </c>
    </row>
    <row r="47" spans="2:10" x14ac:dyDescent="0.35">
      <c r="B47" s="107" t="s">
        <v>7</v>
      </c>
      <c r="C47">
        <v>182</v>
      </c>
      <c r="D47">
        <v>15</v>
      </c>
      <c r="E47">
        <v>83</v>
      </c>
      <c r="F47">
        <v>17</v>
      </c>
      <c r="G47">
        <v>18</v>
      </c>
      <c r="H47">
        <v>18</v>
      </c>
      <c r="I47">
        <v>23</v>
      </c>
      <c r="J47">
        <v>8</v>
      </c>
    </row>
    <row r="48" spans="2:10" x14ac:dyDescent="0.35">
      <c r="B48" s="107" t="s">
        <v>7</v>
      </c>
      <c r="C48">
        <v>169</v>
      </c>
      <c r="D48">
        <v>13</v>
      </c>
      <c r="E48">
        <v>76</v>
      </c>
      <c r="F48">
        <v>16</v>
      </c>
      <c r="G48">
        <v>16</v>
      </c>
      <c r="H48">
        <v>21</v>
      </c>
      <c r="I48">
        <v>22</v>
      </c>
      <c r="J48">
        <v>5</v>
      </c>
    </row>
    <row r="49" spans="2:10" x14ac:dyDescent="0.35">
      <c r="B49" s="107" t="s">
        <v>7</v>
      </c>
      <c r="C49">
        <v>166</v>
      </c>
      <c r="D49">
        <v>10</v>
      </c>
      <c r="E49">
        <v>74</v>
      </c>
      <c r="F49">
        <v>20</v>
      </c>
      <c r="G49">
        <v>17</v>
      </c>
      <c r="H49">
        <v>19</v>
      </c>
      <c r="I49">
        <v>20</v>
      </c>
      <c r="J49">
        <v>6</v>
      </c>
    </row>
    <row r="50" spans="2:10" x14ac:dyDescent="0.35">
      <c r="B50" s="107" t="s">
        <v>7</v>
      </c>
      <c r="C50">
        <v>147</v>
      </c>
      <c r="D50">
        <v>8</v>
      </c>
      <c r="E50">
        <v>68</v>
      </c>
      <c r="F50">
        <v>15</v>
      </c>
      <c r="G50">
        <v>18</v>
      </c>
      <c r="H50">
        <v>17</v>
      </c>
      <c r="I50">
        <v>16</v>
      </c>
      <c r="J50">
        <v>5</v>
      </c>
    </row>
    <row r="51" spans="2:10" x14ac:dyDescent="0.35">
      <c r="B51" s="107" t="s">
        <v>7</v>
      </c>
      <c r="C51">
        <v>137</v>
      </c>
      <c r="D51">
        <v>10</v>
      </c>
      <c r="E51">
        <v>65</v>
      </c>
      <c r="F51">
        <v>11</v>
      </c>
      <c r="G51">
        <v>11</v>
      </c>
      <c r="H51">
        <v>19</v>
      </c>
      <c r="I51">
        <v>16</v>
      </c>
      <c r="J51">
        <v>5</v>
      </c>
    </row>
    <row r="52" spans="2:10" x14ac:dyDescent="0.35">
      <c r="B52" s="107" t="s">
        <v>8</v>
      </c>
      <c r="C52">
        <v>153</v>
      </c>
      <c r="D52">
        <v>11</v>
      </c>
      <c r="E52">
        <v>69</v>
      </c>
      <c r="F52">
        <v>16</v>
      </c>
      <c r="G52">
        <v>15</v>
      </c>
      <c r="H52">
        <v>18</v>
      </c>
      <c r="I52">
        <v>18</v>
      </c>
      <c r="J52">
        <v>6</v>
      </c>
    </row>
    <row r="53" spans="2:10" x14ac:dyDescent="0.35">
      <c r="B53" s="107" t="s">
        <v>8</v>
      </c>
      <c r="C53">
        <v>148</v>
      </c>
      <c r="D53">
        <v>14</v>
      </c>
      <c r="E53">
        <v>66</v>
      </c>
      <c r="F53">
        <v>16</v>
      </c>
      <c r="G53">
        <v>12</v>
      </c>
      <c r="H53">
        <v>14</v>
      </c>
      <c r="I53">
        <v>16</v>
      </c>
      <c r="J53">
        <v>10</v>
      </c>
    </row>
    <row r="54" spans="2:10" x14ac:dyDescent="0.35">
      <c r="B54" s="107" t="s">
        <v>8</v>
      </c>
      <c r="C54">
        <v>146</v>
      </c>
      <c r="D54">
        <v>12</v>
      </c>
      <c r="E54">
        <v>63</v>
      </c>
      <c r="F54">
        <v>18</v>
      </c>
      <c r="G54">
        <v>15</v>
      </c>
      <c r="H54">
        <v>14</v>
      </c>
      <c r="I54">
        <v>16</v>
      </c>
      <c r="J54">
        <v>8</v>
      </c>
    </row>
    <row r="55" spans="2:10" x14ac:dyDescent="0.35">
      <c r="B55" s="107" t="s">
        <v>8</v>
      </c>
      <c r="C55">
        <v>142</v>
      </c>
      <c r="D55">
        <v>11</v>
      </c>
      <c r="E55">
        <v>61</v>
      </c>
      <c r="F55">
        <v>21</v>
      </c>
      <c r="G55">
        <v>12</v>
      </c>
      <c r="H55">
        <v>14</v>
      </c>
      <c r="I55">
        <v>16</v>
      </c>
      <c r="J55">
        <v>7</v>
      </c>
    </row>
    <row r="56" spans="2:10" x14ac:dyDescent="0.35">
      <c r="B56" s="107" t="s">
        <v>8</v>
      </c>
      <c r="C56">
        <v>133</v>
      </c>
      <c r="D56">
        <v>13</v>
      </c>
      <c r="E56">
        <v>61</v>
      </c>
      <c r="F56">
        <v>18</v>
      </c>
      <c r="G56">
        <v>10</v>
      </c>
      <c r="H56">
        <v>11</v>
      </c>
      <c r="I56">
        <v>15</v>
      </c>
      <c r="J56">
        <v>5</v>
      </c>
    </row>
    <row r="57" spans="2:10" x14ac:dyDescent="0.35">
      <c r="B57" s="107" t="s">
        <v>8</v>
      </c>
      <c r="C57">
        <v>138</v>
      </c>
      <c r="D57">
        <v>13</v>
      </c>
      <c r="E57">
        <v>61</v>
      </c>
      <c r="F57">
        <v>17</v>
      </c>
      <c r="G57">
        <v>10</v>
      </c>
      <c r="H57">
        <v>13</v>
      </c>
      <c r="I57">
        <v>19</v>
      </c>
      <c r="J57">
        <v>5</v>
      </c>
    </row>
    <row r="58" spans="2:10" x14ac:dyDescent="0.35">
      <c r="B58" s="107" t="s">
        <v>8</v>
      </c>
      <c r="C58">
        <v>146</v>
      </c>
      <c r="D58">
        <v>13</v>
      </c>
      <c r="E58">
        <v>59</v>
      </c>
      <c r="F58">
        <v>24</v>
      </c>
      <c r="G58">
        <v>10</v>
      </c>
      <c r="H58">
        <v>14</v>
      </c>
      <c r="I58">
        <v>20</v>
      </c>
      <c r="J58">
        <v>6</v>
      </c>
    </row>
    <row r="59" spans="2:10" x14ac:dyDescent="0.35">
      <c r="B59" s="107" t="s">
        <v>9</v>
      </c>
      <c r="C59">
        <v>142</v>
      </c>
      <c r="D59">
        <v>12</v>
      </c>
      <c r="E59">
        <v>60</v>
      </c>
      <c r="F59">
        <v>21</v>
      </c>
      <c r="G59">
        <v>9</v>
      </c>
      <c r="H59">
        <v>13</v>
      </c>
      <c r="I59">
        <v>22</v>
      </c>
      <c r="J59">
        <v>5</v>
      </c>
    </row>
    <row r="60" spans="2:10" x14ac:dyDescent="0.35">
      <c r="B60" s="107" t="s">
        <v>9</v>
      </c>
      <c r="C60">
        <v>136</v>
      </c>
      <c r="D60">
        <v>13</v>
      </c>
      <c r="E60">
        <v>59</v>
      </c>
      <c r="F60">
        <v>20</v>
      </c>
      <c r="G60">
        <v>11</v>
      </c>
      <c r="H60">
        <v>11</v>
      </c>
      <c r="I60">
        <v>18</v>
      </c>
      <c r="J60">
        <v>4</v>
      </c>
    </row>
    <row r="61" spans="2:10" x14ac:dyDescent="0.35">
      <c r="B61" s="107" t="s">
        <v>9</v>
      </c>
      <c r="C61">
        <v>126</v>
      </c>
      <c r="D61">
        <v>14</v>
      </c>
      <c r="E61">
        <v>58</v>
      </c>
      <c r="F61">
        <v>15</v>
      </c>
      <c r="G61">
        <v>9</v>
      </c>
      <c r="H61">
        <v>10</v>
      </c>
      <c r="I61">
        <v>17</v>
      </c>
      <c r="J61">
        <v>3</v>
      </c>
    </row>
    <row r="62" spans="2:10" x14ac:dyDescent="0.35">
      <c r="B62" s="107" t="s">
        <v>9</v>
      </c>
      <c r="C62">
        <v>133</v>
      </c>
      <c r="D62">
        <v>14</v>
      </c>
      <c r="E62">
        <v>60</v>
      </c>
      <c r="F62">
        <v>13</v>
      </c>
      <c r="G62">
        <v>8</v>
      </c>
      <c r="H62">
        <v>14</v>
      </c>
      <c r="I62">
        <v>20</v>
      </c>
      <c r="J62">
        <v>4</v>
      </c>
    </row>
    <row r="63" spans="2:10" x14ac:dyDescent="0.35">
      <c r="B63" s="107" t="s">
        <v>9</v>
      </c>
      <c r="C63">
        <v>131</v>
      </c>
      <c r="D63">
        <v>18</v>
      </c>
      <c r="E63">
        <v>58</v>
      </c>
      <c r="F63">
        <v>13</v>
      </c>
      <c r="G63">
        <v>9</v>
      </c>
      <c r="H63">
        <v>12</v>
      </c>
      <c r="I63">
        <v>17</v>
      </c>
      <c r="J63">
        <v>4</v>
      </c>
    </row>
    <row r="64" spans="2:10" x14ac:dyDescent="0.35">
      <c r="B64" s="107" t="s">
        <v>9</v>
      </c>
      <c r="C64">
        <v>140</v>
      </c>
      <c r="D64">
        <v>19</v>
      </c>
      <c r="E64">
        <v>64</v>
      </c>
      <c r="F64">
        <v>14</v>
      </c>
      <c r="G64">
        <v>12</v>
      </c>
      <c r="H64">
        <v>14</v>
      </c>
      <c r="I64">
        <v>14</v>
      </c>
      <c r="J64">
        <v>3</v>
      </c>
    </row>
    <row r="65" spans="2:10" x14ac:dyDescent="0.35">
      <c r="B65" s="107" t="s">
        <v>9</v>
      </c>
      <c r="C65">
        <v>145</v>
      </c>
      <c r="D65">
        <v>20</v>
      </c>
      <c r="E65">
        <v>68</v>
      </c>
      <c r="F65">
        <v>12</v>
      </c>
      <c r="G65">
        <v>13</v>
      </c>
      <c r="H65">
        <v>13</v>
      </c>
      <c r="I65">
        <v>16</v>
      </c>
      <c r="J65">
        <v>3</v>
      </c>
    </row>
    <row r="66" spans="2:10" x14ac:dyDescent="0.35">
      <c r="B66" s="107" t="s">
        <v>10</v>
      </c>
      <c r="C66" s="98">
        <f>'[1]MV beds COVID'!DV$16</f>
        <v>142</v>
      </c>
      <c r="D66" s="99">
        <f>'[1]MV beds COVID'!DV$18</f>
        <v>22</v>
      </c>
      <c r="E66" s="100">
        <f>'[1]MV beds COVID'!DV$19</f>
        <v>65</v>
      </c>
      <c r="F66" s="100">
        <f>'[1]MV beds COVID'!DV$20</f>
        <v>12</v>
      </c>
      <c r="G66" s="100">
        <f>'[1]MV beds COVID'!DV$21</f>
        <v>12</v>
      </c>
      <c r="H66" s="100">
        <f>'[1]MV beds COVID'!DV$22</f>
        <v>11</v>
      </c>
      <c r="I66" s="100">
        <f>'[1]MV beds COVID'!DV$23</f>
        <v>16</v>
      </c>
      <c r="J66" s="101">
        <f>'[1]MV beds COVID'!DV$24</f>
        <v>4</v>
      </c>
    </row>
    <row r="67" spans="2:10" x14ac:dyDescent="0.35">
      <c r="B67" s="107" t="s">
        <v>10</v>
      </c>
      <c r="C67" s="98">
        <f>'[1]MV beds COVID'!DW$16</f>
        <v>136</v>
      </c>
      <c r="D67" s="99">
        <f>'[1]MV beds COVID'!DW$18</f>
        <v>20</v>
      </c>
      <c r="E67" s="100">
        <f>'[1]MV beds COVID'!DW$19</f>
        <v>62</v>
      </c>
      <c r="F67" s="100">
        <f>'[1]MV beds COVID'!DW$20</f>
        <v>12</v>
      </c>
      <c r="G67" s="100">
        <f>'[1]MV beds COVID'!DW$21</f>
        <v>14</v>
      </c>
      <c r="H67" s="100">
        <f>'[1]MV beds COVID'!DW$22</f>
        <v>10</v>
      </c>
      <c r="I67" s="100">
        <f>'[1]MV beds COVID'!DW$23</f>
        <v>13</v>
      </c>
      <c r="J67" s="101">
        <f>'[1]MV beds COVID'!DW$24</f>
        <v>5</v>
      </c>
    </row>
    <row r="68" spans="2:10" x14ac:dyDescent="0.35">
      <c r="B68" s="107" t="s">
        <v>10</v>
      </c>
      <c r="C68" s="98">
        <f>'[1]MV beds COVID'!DX$16</f>
        <v>136</v>
      </c>
      <c r="D68" s="99">
        <f>'[1]MV beds COVID'!DX$18</f>
        <v>20</v>
      </c>
      <c r="E68" s="100">
        <f>'[1]MV beds COVID'!DX$19</f>
        <v>57</v>
      </c>
      <c r="F68" s="100">
        <f>'[1]MV beds COVID'!DX$20</f>
        <v>13</v>
      </c>
      <c r="G68" s="100">
        <f>'[1]MV beds COVID'!DX$21</f>
        <v>15</v>
      </c>
      <c r="H68" s="100">
        <f>'[1]MV beds COVID'!DX$22</f>
        <v>10</v>
      </c>
      <c r="I68" s="100">
        <f>'[1]MV beds COVID'!DX$23</f>
        <v>16</v>
      </c>
      <c r="J68" s="101">
        <f>'[1]MV beds COVID'!DX$24</f>
        <v>5</v>
      </c>
    </row>
    <row r="69" spans="2:10" x14ac:dyDescent="0.35">
      <c r="B69" s="107" t="s">
        <v>10</v>
      </c>
      <c r="C69" s="98">
        <f>'[1]MV beds COVID'!DY$16</f>
        <v>142</v>
      </c>
      <c r="D69" s="99">
        <f>'[1]MV beds COVID'!DY$18</f>
        <v>18</v>
      </c>
      <c r="E69" s="100">
        <f>'[1]MV beds COVID'!DY$19</f>
        <v>64</v>
      </c>
      <c r="F69" s="100">
        <f>'[1]MV beds COVID'!DY$20</f>
        <v>15</v>
      </c>
      <c r="G69" s="100">
        <f>'[1]MV beds COVID'!DY$21</f>
        <v>14</v>
      </c>
      <c r="H69" s="100">
        <f>'[1]MV beds COVID'!DY$22</f>
        <v>11</v>
      </c>
      <c r="I69" s="100">
        <f>'[1]MV beds COVID'!DY$23</f>
        <v>16</v>
      </c>
      <c r="J69" s="101">
        <f>'[1]MV beds COVID'!DY$24</f>
        <v>4</v>
      </c>
    </row>
    <row r="70" spans="2:10" x14ac:dyDescent="0.35">
      <c r="B70" s="107" t="s">
        <v>10</v>
      </c>
      <c r="C70" s="98">
        <f>'[1]MV beds COVID'!DZ$16</f>
        <v>139</v>
      </c>
      <c r="D70" s="99">
        <f>'[1]MV beds COVID'!DZ$18</f>
        <v>16</v>
      </c>
      <c r="E70" s="100">
        <f>'[1]MV beds COVID'!DZ$19</f>
        <v>60</v>
      </c>
      <c r="F70" s="100">
        <f>'[1]MV beds COVID'!DZ$20</f>
        <v>17</v>
      </c>
      <c r="G70" s="100">
        <f>'[1]MV beds COVID'!DZ$21</f>
        <v>13</v>
      </c>
      <c r="H70" s="100">
        <f>'[1]MV beds COVID'!DZ$22</f>
        <v>14</v>
      </c>
      <c r="I70" s="100">
        <f>'[1]MV beds COVID'!DZ$23</f>
        <v>14</v>
      </c>
      <c r="J70" s="101">
        <f>'[1]MV beds COVID'!DZ$24</f>
        <v>5</v>
      </c>
    </row>
    <row r="71" spans="2:10" x14ac:dyDescent="0.35">
      <c r="B71" s="107" t="s">
        <v>10</v>
      </c>
      <c r="C71" s="98">
        <f>'[1]MV beds COVID'!EA$16</f>
        <v>137</v>
      </c>
      <c r="D71" s="99">
        <f>'[1]MV beds COVID'!EA$18</f>
        <v>13</v>
      </c>
      <c r="E71" s="100">
        <f>'[1]MV beds COVID'!EA$19</f>
        <v>54</v>
      </c>
      <c r="F71" s="100">
        <f>'[1]MV beds COVID'!EA$20</f>
        <v>20</v>
      </c>
      <c r="G71" s="100">
        <f>'[1]MV beds COVID'!EA$21</f>
        <v>15</v>
      </c>
      <c r="H71" s="100">
        <f>'[1]MV beds COVID'!EA$22</f>
        <v>13</v>
      </c>
      <c r="I71" s="100">
        <f>'[1]MV beds COVID'!EA$23</f>
        <v>17</v>
      </c>
      <c r="J71" s="101">
        <f>'[1]MV beds COVID'!EA$24</f>
        <v>5</v>
      </c>
    </row>
    <row r="72" spans="2:10" x14ac:dyDescent="0.35">
      <c r="B72" s="107" t="s">
        <v>10</v>
      </c>
      <c r="C72" s="98">
        <f>'[1]MV beds COVID'!EB$16</f>
        <v>134</v>
      </c>
      <c r="D72" s="99">
        <f>'[1]MV beds COVID'!EB$18</f>
        <v>11</v>
      </c>
      <c r="E72" s="100">
        <f>'[1]MV beds COVID'!EB$19</f>
        <v>57</v>
      </c>
      <c r="F72" s="100">
        <f>'[1]MV beds COVID'!EB$20</f>
        <v>22</v>
      </c>
      <c r="G72" s="100">
        <f>'[1]MV beds COVID'!EB$21</f>
        <v>13</v>
      </c>
      <c r="H72" s="100">
        <f>'[1]MV beds COVID'!EB$22</f>
        <v>13</v>
      </c>
      <c r="I72" s="100">
        <f>'[1]MV beds COVID'!EB$23</f>
        <v>14</v>
      </c>
      <c r="J72" s="101">
        <f>'[1]MV beds COVID'!EB$24</f>
        <v>4</v>
      </c>
    </row>
    <row r="73" spans="2:10" x14ac:dyDescent="0.35">
      <c r="B73" s="107" t="s">
        <v>11</v>
      </c>
      <c r="C73" s="98">
        <f>'[2]MV beds COVID'!EC$16</f>
        <v>128</v>
      </c>
      <c r="D73" s="99">
        <f>'[2]MV beds COVID'!EC$18</f>
        <v>12</v>
      </c>
      <c r="E73" s="100">
        <f>'[2]MV beds COVID'!EC$19</f>
        <v>50</v>
      </c>
      <c r="F73" s="100">
        <f>'[2]MV beds COVID'!EC$20</f>
        <v>25</v>
      </c>
      <c r="G73" s="100">
        <f>'[2]MV beds COVID'!EC$21</f>
        <v>14</v>
      </c>
      <c r="H73" s="100">
        <f>'[2]MV beds COVID'!EC$22</f>
        <v>9</v>
      </c>
      <c r="I73" s="100">
        <f>'[2]MV beds COVID'!EC$23</f>
        <v>12</v>
      </c>
      <c r="J73" s="101">
        <f>'[2]MV beds COVID'!EC$24</f>
        <v>6</v>
      </c>
    </row>
    <row r="74" spans="2:10" x14ac:dyDescent="0.35">
      <c r="B74" s="107" t="s">
        <v>11</v>
      </c>
      <c r="C74" s="98">
        <f>'[2]MV beds COVID'!ED$16</f>
        <v>132</v>
      </c>
      <c r="D74" s="99">
        <f>'[2]MV beds COVID'!ED$18</f>
        <v>17</v>
      </c>
      <c r="E74" s="100">
        <f>'[2]MV beds COVID'!ED$19</f>
        <v>49</v>
      </c>
      <c r="F74" s="100">
        <f>'[2]MV beds COVID'!ED$20</f>
        <v>23</v>
      </c>
      <c r="G74" s="100">
        <f>'[2]MV beds COVID'!ED$21</f>
        <v>14</v>
      </c>
      <c r="H74" s="100">
        <f>'[2]MV beds COVID'!ED$22</f>
        <v>7</v>
      </c>
      <c r="I74" s="100">
        <f>'[2]MV beds COVID'!ED$23</f>
        <v>17</v>
      </c>
      <c r="J74" s="101">
        <f>'[2]MV beds COVID'!ED$24</f>
        <v>5</v>
      </c>
    </row>
    <row r="75" spans="2:10" x14ac:dyDescent="0.35">
      <c r="B75" s="107" t="s">
        <v>11</v>
      </c>
      <c r="C75" s="98">
        <f>'[2]MV beds COVID'!EE$16</f>
        <v>117</v>
      </c>
      <c r="D75" s="99">
        <f>'[2]MV beds COVID'!EE$18</f>
        <v>13</v>
      </c>
      <c r="E75" s="100">
        <f>'[2]MV beds COVID'!EE$19</f>
        <v>48</v>
      </c>
      <c r="F75" s="100">
        <f>'[2]MV beds COVID'!EE$20</f>
        <v>19</v>
      </c>
      <c r="G75" s="100">
        <f>'[2]MV beds COVID'!EE$21</f>
        <v>10</v>
      </c>
      <c r="H75" s="100">
        <f>'[2]MV beds COVID'!EE$22</f>
        <v>9</v>
      </c>
      <c r="I75" s="100">
        <f>'[2]MV beds COVID'!EE$23</f>
        <v>16</v>
      </c>
      <c r="J75" s="101">
        <f>'[2]MV beds COVID'!EE$24</f>
        <v>2</v>
      </c>
    </row>
    <row r="76" spans="2:10" x14ac:dyDescent="0.35">
      <c r="B76" s="107" t="s">
        <v>11</v>
      </c>
      <c r="C76" s="98">
        <f>'[2]MV beds COVID'!EF$16</f>
        <v>118</v>
      </c>
      <c r="D76" s="99">
        <f>'[2]MV beds COVID'!EF$18</f>
        <v>15</v>
      </c>
      <c r="E76" s="100">
        <f>'[2]MV beds COVID'!EF$19</f>
        <v>50</v>
      </c>
      <c r="F76" s="100">
        <f>'[2]MV beds COVID'!EF$20</f>
        <v>17</v>
      </c>
      <c r="G76" s="100">
        <f>'[2]MV beds COVID'!EF$21</f>
        <v>13</v>
      </c>
      <c r="H76" s="100">
        <f>'[2]MV beds COVID'!EF$22</f>
        <v>9</v>
      </c>
      <c r="I76" s="100">
        <f>'[2]MV beds COVID'!EF$23</f>
        <v>13</v>
      </c>
      <c r="J76" s="101">
        <f>'[2]MV beds COVID'!EF$24</f>
        <v>1</v>
      </c>
    </row>
    <row r="77" spans="2:10" x14ac:dyDescent="0.35">
      <c r="B77" s="107" t="s">
        <v>11</v>
      </c>
      <c r="C77" s="98">
        <f>'[2]MV beds COVID'!EG$16</f>
        <v>133</v>
      </c>
      <c r="D77" s="99">
        <f>'[2]MV beds COVID'!EG$18</f>
        <v>16</v>
      </c>
      <c r="E77" s="100">
        <f>'[2]MV beds COVID'!EG$19</f>
        <v>53</v>
      </c>
      <c r="F77" s="100">
        <f>'[2]MV beds COVID'!EG$20</f>
        <v>23</v>
      </c>
      <c r="G77" s="100">
        <f>'[2]MV beds COVID'!EG$21</f>
        <v>16</v>
      </c>
      <c r="H77" s="100">
        <f>'[2]MV beds COVID'!EG$22</f>
        <v>9</v>
      </c>
      <c r="I77" s="100">
        <f>'[2]MV beds COVID'!EG$23</f>
        <v>15</v>
      </c>
      <c r="J77" s="101">
        <f>'[2]MV beds COVID'!EG$24</f>
        <v>1</v>
      </c>
    </row>
    <row r="78" spans="2:10" x14ac:dyDescent="0.35">
      <c r="B78" s="107" t="s">
        <v>11</v>
      </c>
      <c r="C78" s="98">
        <f>'[2]MV beds COVID'!EH$16</f>
        <v>128</v>
      </c>
      <c r="D78" s="99">
        <f>'[2]MV beds COVID'!EH$18</f>
        <v>15</v>
      </c>
      <c r="E78" s="100">
        <f>'[2]MV beds COVID'!EH$19</f>
        <v>54</v>
      </c>
      <c r="F78" s="100">
        <f>'[2]MV beds COVID'!EH$20</f>
        <v>16</v>
      </c>
      <c r="G78" s="100">
        <f>'[2]MV beds COVID'!EH$21</f>
        <v>20</v>
      </c>
      <c r="H78" s="100">
        <f>'[2]MV beds COVID'!EH$22</f>
        <v>7</v>
      </c>
      <c r="I78" s="100">
        <f>'[2]MV beds COVID'!EH$23</f>
        <v>14</v>
      </c>
      <c r="J78" s="101">
        <f>'[2]MV beds COVID'!EH$24</f>
        <v>2</v>
      </c>
    </row>
    <row r="79" spans="2:10" x14ac:dyDescent="0.35">
      <c r="B79" s="107" t="s">
        <v>11</v>
      </c>
      <c r="C79" s="98">
        <f>'[2]MV beds COVID'!EI$16</f>
        <v>123</v>
      </c>
      <c r="D79" s="99">
        <f>'[2]MV beds COVID'!EI$18</f>
        <v>17</v>
      </c>
      <c r="E79" s="100">
        <f>'[2]MV beds COVID'!EI$19</f>
        <v>50</v>
      </c>
      <c r="F79" s="100">
        <f>'[2]MV beds COVID'!EI$20</f>
        <v>17</v>
      </c>
      <c r="G79" s="100">
        <f>'[2]MV beds COVID'!EI$21</f>
        <v>18</v>
      </c>
      <c r="H79" s="100">
        <f>'[2]MV beds COVID'!EI$22</f>
        <v>7</v>
      </c>
      <c r="I79" s="100">
        <f>'[2]MV beds COVID'!EI$23</f>
        <v>12</v>
      </c>
      <c r="J79" s="101">
        <f>'[2]MV beds COVID'!EI$24</f>
        <v>2</v>
      </c>
    </row>
    <row r="80" spans="2:10" x14ac:dyDescent="0.35">
      <c r="B80" s="107" t="s">
        <v>12</v>
      </c>
      <c r="C80">
        <v>129</v>
      </c>
      <c r="D80">
        <v>16</v>
      </c>
      <c r="E80">
        <v>52</v>
      </c>
      <c r="F80">
        <v>22</v>
      </c>
      <c r="G80">
        <v>17</v>
      </c>
      <c r="H80">
        <v>9</v>
      </c>
      <c r="I80">
        <v>12</v>
      </c>
      <c r="J80">
        <v>1</v>
      </c>
    </row>
    <row r="81" spans="2:19" x14ac:dyDescent="0.35">
      <c r="B81" s="107" t="s">
        <v>12</v>
      </c>
      <c r="C81">
        <v>140</v>
      </c>
      <c r="D81">
        <v>16</v>
      </c>
      <c r="E81">
        <v>59</v>
      </c>
      <c r="F81">
        <v>21</v>
      </c>
      <c r="G81">
        <v>18</v>
      </c>
      <c r="H81">
        <v>10</v>
      </c>
      <c r="I81">
        <v>14</v>
      </c>
      <c r="J81">
        <v>2</v>
      </c>
    </row>
    <row r="82" spans="2:19" x14ac:dyDescent="0.35">
      <c r="B82" s="107" t="s">
        <v>12</v>
      </c>
      <c r="C82">
        <v>137</v>
      </c>
      <c r="D82">
        <v>13</v>
      </c>
      <c r="E82">
        <v>55</v>
      </c>
      <c r="F82">
        <v>19</v>
      </c>
      <c r="G82">
        <v>18</v>
      </c>
      <c r="H82">
        <v>12</v>
      </c>
      <c r="I82">
        <v>14</v>
      </c>
      <c r="J82">
        <v>6</v>
      </c>
    </row>
    <row r="83" spans="2:19" x14ac:dyDescent="0.35">
      <c r="B83" s="107" t="s">
        <v>12</v>
      </c>
      <c r="C83">
        <v>139</v>
      </c>
      <c r="D83">
        <v>17</v>
      </c>
      <c r="E83">
        <v>52</v>
      </c>
      <c r="F83">
        <v>21</v>
      </c>
      <c r="G83">
        <v>19</v>
      </c>
      <c r="H83">
        <v>14</v>
      </c>
      <c r="I83">
        <v>13</v>
      </c>
      <c r="J83">
        <v>3</v>
      </c>
    </row>
    <row r="84" spans="2:19" x14ac:dyDescent="0.35">
      <c r="B84" s="107" t="s">
        <v>12</v>
      </c>
      <c r="C84">
        <v>134</v>
      </c>
      <c r="D84">
        <v>18</v>
      </c>
      <c r="E84">
        <v>56</v>
      </c>
      <c r="F84">
        <v>19</v>
      </c>
      <c r="G84">
        <v>18</v>
      </c>
      <c r="H84">
        <v>11</v>
      </c>
      <c r="I84">
        <v>11</v>
      </c>
      <c r="J84">
        <v>1</v>
      </c>
    </row>
    <row r="85" spans="2:19" x14ac:dyDescent="0.35">
      <c r="B85" s="107" t="s">
        <v>12</v>
      </c>
      <c r="C85">
        <v>137</v>
      </c>
      <c r="D85">
        <v>16</v>
      </c>
      <c r="E85">
        <v>65</v>
      </c>
      <c r="F85">
        <v>16</v>
      </c>
      <c r="G85">
        <v>13</v>
      </c>
      <c r="H85">
        <v>11</v>
      </c>
      <c r="I85">
        <v>14</v>
      </c>
      <c r="J85">
        <v>2</v>
      </c>
    </row>
    <row r="86" spans="2:19" x14ac:dyDescent="0.35">
      <c r="B86" s="107" t="s">
        <v>12</v>
      </c>
      <c r="C86">
        <v>146</v>
      </c>
      <c r="D86">
        <v>18</v>
      </c>
      <c r="E86">
        <v>63</v>
      </c>
      <c r="F86">
        <v>18</v>
      </c>
      <c r="G86">
        <v>13</v>
      </c>
      <c r="H86">
        <v>14</v>
      </c>
      <c r="I86">
        <v>18</v>
      </c>
      <c r="J86">
        <v>2</v>
      </c>
    </row>
    <row r="87" spans="2:19" x14ac:dyDescent="0.35">
      <c r="B87" s="107" t="s">
        <v>13</v>
      </c>
      <c r="C87">
        <v>149</v>
      </c>
      <c r="D87">
        <v>16</v>
      </c>
      <c r="E87">
        <v>66</v>
      </c>
      <c r="F87">
        <v>19</v>
      </c>
      <c r="G87">
        <v>20</v>
      </c>
      <c r="H87">
        <v>10</v>
      </c>
      <c r="I87">
        <v>16</v>
      </c>
      <c r="J87">
        <v>2</v>
      </c>
    </row>
    <row r="88" spans="2:19" x14ac:dyDescent="0.35">
      <c r="B88" s="107" t="s">
        <v>13</v>
      </c>
      <c r="C88">
        <v>154</v>
      </c>
      <c r="D88">
        <v>15</v>
      </c>
      <c r="E88">
        <v>64</v>
      </c>
      <c r="F88">
        <v>21</v>
      </c>
      <c r="G88">
        <v>22</v>
      </c>
      <c r="H88">
        <v>15</v>
      </c>
      <c r="I88">
        <v>13</v>
      </c>
      <c r="J88">
        <v>4</v>
      </c>
    </row>
    <row r="89" spans="2:19" x14ac:dyDescent="0.35">
      <c r="B89" s="107" t="s">
        <v>13</v>
      </c>
      <c r="C89">
        <v>164</v>
      </c>
      <c r="D89">
        <v>15</v>
      </c>
      <c r="E89">
        <v>70</v>
      </c>
      <c r="F89">
        <v>25</v>
      </c>
      <c r="G89">
        <v>26</v>
      </c>
      <c r="H89">
        <v>15</v>
      </c>
      <c r="I89">
        <v>9</v>
      </c>
      <c r="J89">
        <v>4</v>
      </c>
    </row>
    <row r="90" spans="2:19" x14ac:dyDescent="0.35">
      <c r="B90" s="107" t="s">
        <v>13</v>
      </c>
      <c r="C90">
        <v>155</v>
      </c>
      <c r="D90">
        <v>17</v>
      </c>
      <c r="E90">
        <v>65</v>
      </c>
      <c r="F90">
        <v>23</v>
      </c>
      <c r="G90">
        <v>25</v>
      </c>
      <c r="H90">
        <v>12</v>
      </c>
      <c r="I90">
        <v>10</v>
      </c>
      <c r="J90">
        <v>3</v>
      </c>
    </row>
    <row r="91" spans="2:19" x14ac:dyDescent="0.35">
      <c r="B91" s="107" t="s">
        <v>13</v>
      </c>
      <c r="C91">
        <v>156</v>
      </c>
      <c r="D91">
        <v>15</v>
      </c>
      <c r="E91">
        <v>66</v>
      </c>
      <c r="F91">
        <v>20</v>
      </c>
      <c r="G91">
        <v>22</v>
      </c>
      <c r="H91">
        <v>12</v>
      </c>
      <c r="I91">
        <v>15</v>
      </c>
      <c r="J91">
        <v>6</v>
      </c>
    </row>
    <row r="92" spans="2:19" x14ac:dyDescent="0.35">
      <c r="B92" s="107" t="s">
        <v>13</v>
      </c>
      <c r="C92">
        <v>156</v>
      </c>
      <c r="D92">
        <v>16</v>
      </c>
      <c r="E92">
        <v>67</v>
      </c>
      <c r="F92">
        <v>18</v>
      </c>
      <c r="G92">
        <v>20</v>
      </c>
      <c r="H92">
        <v>15</v>
      </c>
      <c r="I92">
        <v>14</v>
      </c>
      <c r="J92">
        <v>6</v>
      </c>
    </row>
    <row r="93" spans="2:19" x14ac:dyDescent="0.35">
      <c r="B93" s="107" t="s">
        <v>13</v>
      </c>
      <c r="C93">
        <v>163</v>
      </c>
      <c r="D93">
        <v>13</v>
      </c>
      <c r="E93">
        <v>71</v>
      </c>
      <c r="F93">
        <v>16</v>
      </c>
      <c r="G93">
        <v>22</v>
      </c>
      <c r="H93">
        <v>16</v>
      </c>
      <c r="I93">
        <v>17</v>
      </c>
      <c r="J93">
        <v>8</v>
      </c>
      <c r="M93" s="79"/>
      <c r="N93" s="79"/>
      <c r="O93" s="79"/>
      <c r="P93" s="79"/>
      <c r="Q93" s="79"/>
      <c r="R93" s="79"/>
      <c r="S93" s="79"/>
    </row>
    <row r="94" spans="2:19" x14ac:dyDescent="0.35">
      <c r="B94" s="107" t="s">
        <v>14</v>
      </c>
      <c r="C94">
        <v>168</v>
      </c>
      <c r="D94" s="79">
        <v>12</v>
      </c>
      <c r="E94" s="79">
        <v>69</v>
      </c>
      <c r="F94" s="79">
        <v>23</v>
      </c>
      <c r="G94" s="79">
        <v>24</v>
      </c>
      <c r="H94" s="79">
        <v>15</v>
      </c>
      <c r="I94" s="79">
        <v>17</v>
      </c>
      <c r="J94">
        <v>8</v>
      </c>
      <c r="Q94" s="79"/>
      <c r="R94" s="79"/>
      <c r="S94" s="79"/>
    </row>
    <row r="95" spans="2:19" x14ac:dyDescent="0.35">
      <c r="B95" s="107" t="s">
        <v>14</v>
      </c>
      <c r="C95">
        <v>169</v>
      </c>
      <c r="D95" s="79">
        <v>14</v>
      </c>
      <c r="E95" s="79">
        <v>67</v>
      </c>
      <c r="F95" s="79">
        <v>21</v>
      </c>
      <c r="G95" s="79">
        <v>25</v>
      </c>
      <c r="H95" s="79">
        <v>18</v>
      </c>
      <c r="I95" s="79">
        <v>17</v>
      </c>
      <c r="J95" s="79">
        <v>7</v>
      </c>
      <c r="K95" s="79"/>
      <c r="N95" s="79"/>
      <c r="O95" s="79"/>
      <c r="P95" s="79"/>
      <c r="Q95" s="79"/>
      <c r="R95" s="79"/>
      <c r="S95" s="79"/>
    </row>
    <row r="96" spans="2:19" x14ac:dyDescent="0.35">
      <c r="B96" s="107" t="s">
        <v>14</v>
      </c>
      <c r="C96">
        <v>175</v>
      </c>
      <c r="D96" s="79">
        <v>13</v>
      </c>
      <c r="E96" s="79">
        <v>76</v>
      </c>
      <c r="F96" s="79">
        <v>21</v>
      </c>
      <c r="G96" s="79">
        <v>24</v>
      </c>
      <c r="H96" s="79">
        <v>18</v>
      </c>
      <c r="I96" s="79">
        <v>17</v>
      </c>
      <c r="J96" s="79">
        <v>6</v>
      </c>
      <c r="M96" s="79"/>
      <c r="N96" s="79"/>
      <c r="O96" s="79"/>
      <c r="P96" s="79"/>
      <c r="Q96" s="79"/>
      <c r="R96" s="79"/>
      <c r="S96" s="79"/>
    </row>
    <row r="97" spans="2:19" x14ac:dyDescent="0.35">
      <c r="B97" s="107" t="s">
        <v>14</v>
      </c>
      <c r="C97">
        <v>166</v>
      </c>
      <c r="D97" s="79">
        <v>16</v>
      </c>
      <c r="E97" s="79">
        <v>79</v>
      </c>
      <c r="F97" s="79">
        <v>18</v>
      </c>
      <c r="G97" s="79">
        <v>21</v>
      </c>
      <c r="H97" s="79">
        <v>15</v>
      </c>
      <c r="I97" s="79">
        <v>11</v>
      </c>
      <c r="J97" s="79">
        <v>6</v>
      </c>
      <c r="M97" s="79"/>
      <c r="N97" s="79"/>
      <c r="O97" s="79"/>
      <c r="P97" s="79"/>
      <c r="Q97" s="79"/>
      <c r="R97" s="79"/>
      <c r="S97" s="79"/>
    </row>
    <row r="98" spans="2:19" x14ac:dyDescent="0.35">
      <c r="B98" s="107" t="s">
        <v>14</v>
      </c>
      <c r="C98">
        <v>158</v>
      </c>
      <c r="D98" s="79">
        <v>13</v>
      </c>
      <c r="E98" s="79">
        <v>74</v>
      </c>
      <c r="F98" s="79">
        <v>10</v>
      </c>
      <c r="G98" s="79">
        <v>25</v>
      </c>
      <c r="H98" s="79">
        <v>18</v>
      </c>
      <c r="I98" s="79">
        <v>12</v>
      </c>
      <c r="J98" s="79">
        <v>6</v>
      </c>
      <c r="M98" s="79"/>
      <c r="N98" s="79"/>
      <c r="O98" s="79"/>
      <c r="P98" s="79"/>
      <c r="Q98" s="79"/>
      <c r="R98" s="79"/>
      <c r="S98" s="79"/>
    </row>
    <row r="99" spans="2:19" x14ac:dyDescent="0.35">
      <c r="B99" s="107" t="s">
        <v>14</v>
      </c>
      <c r="C99">
        <v>141</v>
      </c>
      <c r="D99" s="79">
        <v>13</v>
      </c>
      <c r="E99" s="79">
        <v>54</v>
      </c>
      <c r="F99" s="79">
        <v>13</v>
      </c>
      <c r="G99" s="79">
        <v>21</v>
      </c>
      <c r="H99" s="79">
        <v>18</v>
      </c>
      <c r="I99" s="79">
        <v>14</v>
      </c>
      <c r="J99" s="79">
        <v>8</v>
      </c>
      <c r="M99" s="79"/>
      <c r="N99" s="79"/>
      <c r="O99" s="79"/>
      <c r="P99" s="79"/>
      <c r="Q99" s="79"/>
      <c r="R99" s="79"/>
      <c r="S99" s="79"/>
    </row>
    <row r="100" spans="2:19" x14ac:dyDescent="0.35">
      <c r="B100" s="107" t="s">
        <v>14</v>
      </c>
      <c r="C100">
        <v>147</v>
      </c>
      <c r="D100" s="79">
        <v>12</v>
      </c>
      <c r="E100" s="79">
        <v>63</v>
      </c>
      <c r="F100" s="79">
        <v>16</v>
      </c>
      <c r="G100" s="79">
        <v>16</v>
      </c>
      <c r="H100" s="79">
        <v>17</v>
      </c>
      <c r="I100" s="79">
        <v>13</v>
      </c>
      <c r="J100" s="79">
        <v>10</v>
      </c>
    </row>
  </sheetData>
  <phoneticPr fontId="20"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4CE299B-CC0E-4E6B-AA2D-DA9ECA2A3734}">
  <dimension ref="A1:U100"/>
  <sheetViews>
    <sheetView zoomScale="85" zoomScaleNormal="85" workbookViewId="0">
      <selection activeCell="N32" sqref="N32"/>
    </sheetView>
  </sheetViews>
  <sheetFormatPr defaultRowHeight="14.5" x14ac:dyDescent="0.35"/>
  <cols>
    <col min="1" max="1" width="11.81640625" bestFit="1" customWidth="1"/>
    <col min="2" max="2" width="11.81640625" customWidth="1"/>
    <col min="3" max="3" width="11" bestFit="1" customWidth="1"/>
    <col min="4" max="4" width="16.81640625" bestFit="1" customWidth="1"/>
    <col min="5" max="5" width="8.54296875" bestFit="1" customWidth="1"/>
    <col min="6" max="6" width="10.1796875" bestFit="1" customWidth="1"/>
    <col min="7" max="7" width="27" bestFit="1" customWidth="1"/>
    <col min="8" max="8" width="12.54296875" bestFit="1" customWidth="1"/>
    <col min="9" max="9" width="11.81640625" bestFit="1" customWidth="1"/>
    <col min="10" max="10" width="12.7265625" bestFit="1" customWidth="1"/>
    <col min="13" max="13" width="13.1796875" bestFit="1" customWidth="1"/>
    <col min="14" max="14" width="19.26953125" bestFit="1" customWidth="1"/>
    <col min="15" max="15" width="23.54296875" bestFit="1" customWidth="1"/>
    <col min="16" max="16" width="16.81640625" bestFit="1" customWidth="1"/>
    <col min="17" max="17" width="18.7265625" bestFit="1" customWidth="1"/>
    <col min="18" max="18" width="32.1796875" bestFit="1" customWidth="1"/>
    <col min="19" max="19" width="20.7265625" bestFit="1" customWidth="1"/>
    <col min="20" max="20" width="19.54296875" bestFit="1" customWidth="1"/>
    <col min="21" max="21" width="20.54296875" bestFit="1" customWidth="1"/>
  </cols>
  <sheetData>
    <row r="1" spans="1:21" x14ac:dyDescent="0.35">
      <c r="A1" t="s">
        <v>403</v>
      </c>
    </row>
    <row r="2" spans="1:21" x14ac:dyDescent="0.35">
      <c r="A2" s="102" t="s">
        <v>391</v>
      </c>
      <c r="B2" s="102" t="s">
        <v>392</v>
      </c>
      <c r="C2" s="103" t="s">
        <v>393</v>
      </c>
      <c r="D2" s="104" t="s">
        <v>24</v>
      </c>
      <c r="E2" s="105" t="s">
        <v>21</v>
      </c>
      <c r="F2" s="105" t="s">
        <v>22</v>
      </c>
      <c r="G2" s="105" t="s">
        <v>138</v>
      </c>
      <c r="H2" s="105" t="s">
        <v>26</v>
      </c>
      <c r="I2" s="105" t="s">
        <v>27</v>
      </c>
      <c r="J2" s="106" t="s">
        <v>28</v>
      </c>
    </row>
    <row r="3" spans="1:21" x14ac:dyDescent="0.35">
      <c r="A3" s="97"/>
      <c r="B3" s="107" t="s">
        <v>1</v>
      </c>
      <c r="C3" s="98">
        <v>639</v>
      </c>
      <c r="D3" s="99">
        <v>84</v>
      </c>
      <c r="E3" s="100">
        <v>85</v>
      </c>
      <c r="F3" s="100">
        <v>117</v>
      </c>
      <c r="G3" s="100">
        <v>92</v>
      </c>
      <c r="H3" s="100">
        <v>108</v>
      </c>
      <c r="I3" s="100">
        <v>80</v>
      </c>
      <c r="J3" s="101">
        <v>73</v>
      </c>
      <c r="M3" s="15" t="s">
        <v>134</v>
      </c>
      <c r="N3" t="s">
        <v>394</v>
      </c>
      <c r="O3" t="s">
        <v>395</v>
      </c>
      <c r="P3" t="s">
        <v>396</v>
      </c>
      <c r="Q3" t="s">
        <v>397</v>
      </c>
      <c r="R3" t="s">
        <v>398</v>
      </c>
      <c r="S3" t="s">
        <v>399</v>
      </c>
      <c r="T3" t="s">
        <v>400</v>
      </c>
      <c r="U3" t="s">
        <v>401</v>
      </c>
    </row>
    <row r="4" spans="1:21" x14ac:dyDescent="0.35">
      <c r="A4" s="97"/>
      <c r="B4" s="107" t="s">
        <v>1</v>
      </c>
      <c r="C4" s="98">
        <v>661</v>
      </c>
      <c r="D4" s="99">
        <v>67</v>
      </c>
      <c r="E4" s="100">
        <v>80</v>
      </c>
      <c r="F4" s="100">
        <v>152</v>
      </c>
      <c r="G4" s="100">
        <v>114</v>
      </c>
      <c r="H4" s="100">
        <v>86</v>
      </c>
      <c r="I4" s="100">
        <v>103</v>
      </c>
      <c r="J4" s="101">
        <v>59</v>
      </c>
      <c r="M4" s="16" t="s">
        <v>1</v>
      </c>
      <c r="N4" s="22">
        <v>575.42857142857144</v>
      </c>
      <c r="O4" s="22">
        <v>64.142857142857139</v>
      </c>
      <c r="P4" s="22">
        <v>76.571428571428569</v>
      </c>
      <c r="Q4" s="22">
        <v>112.85714285714286</v>
      </c>
      <c r="R4" s="22">
        <v>93.428571428571431</v>
      </c>
      <c r="S4" s="22">
        <v>74.714285714285708</v>
      </c>
      <c r="T4" s="22">
        <v>91.285714285714292</v>
      </c>
      <c r="U4" s="22">
        <v>62.428571428571431</v>
      </c>
    </row>
    <row r="5" spans="1:21" x14ac:dyDescent="0.35">
      <c r="A5" s="97"/>
      <c r="B5" s="107" t="s">
        <v>1</v>
      </c>
      <c r="C5" s="98">
        <v>590</v>
      </c>
      <c r="D5" s="99">
        <v>54</v>
      </c>
      <c r="E5" s="100">
        <v>82</v>
      </c>
      <c r="F5" s="100">
        <v>129</v>
      </c>
      <c r="G5" s="100">
        <v>101</v>
      </c>
      <c r="H5" s="100">
        <v>80</v>
      </c>
      <c r="I5" s="100">
        <v>85</v>
      </c>
      <c r="J5" s="101">
        <v>59</v>
      </c>
      <c r="M5" s="16" t="s">
        <v>2</v>
      </c>
      <c r="N5" s="22">
        <v>715.57142857142856</v>
      </c>
      <c r="O5" s="22">
        <v>82.428571428571431</v>
      </c>
      <c r="P5" s="22">
        <v>101</v>
      </c>
      <c r="Q5" s="22">
        <v>131.85714285714286</v>
      </c>
      <c r="R5" s="22">
        <v>106</v>
      </c>
      <c r="S5" s="22">
        <v>86.285714285714292</v>
      </c>
      <c r="T5" s="22">
        <v>111.71428571428571</v>
      </c>
      <c r="U5" s="22">
        <v>96.285714285714292</v>
      </c>
    </row>
    <row r="6" spans="1:21" x14ac:dyDescent="0.35">
      <c r="A6" s="97"/>
      <c r="B6" s="107" t="s">
        <v>1</v>
      </c>
      <c r="C6" s="98">
        <v>583</v>
      </c>
      <c r="D6" s="99">
        <v>64</v>
      </c>
      <c r="E6" s="100">
        <v>75</v>
      </c>
      <c r="F6" s="100">
        <v>122</v>
      </c>
      <c r="G6" s="100">
        <v>93</v>
      </c>
      <c r="H6" s="100">
        <v>67</v>
      </c>
      <c r="I6" s="100">
        <v>104</v>
      </c>
      <c r="J6" s="101">
        <v>58</v>
      </c>
      <c r="M6" s="16" t="s">
        <v>3</v>
      </c>
      <c r="N6" s="22">
        <v>975.28571428571433</v>
      </c>
      <c r="O6" s="22">
        <v>104.42857142857143</v>
      </c>
      <c r="P6" s="22">
        <v>117.57142857142857</v>
      </c>
      <c r="Q6" s="22">
        <v>179</v>
      </c>
      <c r="R6" s="22">
        <v>165</v>
      </c>
      <c r="S6" s="22">
        <v>110.71428571428571</v>
      </c>
      <c r="T6" s="22">
        <v>164</v>
      </c>
      <c r="U6" s="22">
        <v>134.57142857142858</v>
      </c>
    </row>
    <row r="7" spans="1:21" x14ac:dyDescent="0.35">
      <c r="A7" s="97"/>
      <c r="B7" s="107" t="s">
        <v>1</v>
      </c>
      <c r="C7" s="98">
        <v>468</v>
      </c>
      <c r="D7" s="99">
        <v>47</v>
      </c>
      <c r="E7" s="100">
        <v>77</v>
      </c>
      <c r="F7" s="100">
        <v>95</v>
      </c>
      <c r="G7" s="100">
        <v>62</v>
      </c>
      <c r="H7" s="100">
        <v>54</v>
      </c>
      <c r="I7" s="100">
        <v>78</v>
      </c>
      <c r="J7" s="101">
        <v>55</v>
      </c>
      <c r="M7" s="16" t="s">
        <v>4</v>
      </c>
      <c r="N7" s="22">
        <v>1103.4285714285713</v>
      </c>
      <c r="O7" s="22">
        <v>126.85714285714286</v>
      </c>
      <c r="P7" s="22">
        <v>138.42857142857142</v>
      </c>
      <c r="Q7" s="22">
        <v>207.28571428571428</v>
      </c>
      <c r="R7" s="22">
        <v>163.42857142857142</v>
      </c>
      <c r="S7" s="22">
        <v>130.71428571428572</v>
      </c>
      <c r="T7" s="22">
        <v>198.42857142857142</v>
      </c>
      <c r="U7" s="22">
        <v>138.28571428571428</v>
      </c>
    </row>
    <row r="8" spans="1:21" x14ac:dyDescent="0.35">
      <c r="A8" s="97"/>
      <c r="B8" s="107" t="s">
        <v>1</v>
      </c>
      <c r="C8" s="98">
        <v>498</v>
      </c>
      <c r="D8" s="99">
        <v>69</v>
      </c>
      <c r="E8" s="100">
        <v>69</v>
      </c>
      <c r="F8" s="100">
        <v>76</v>
      </c>
      <c r="G8" s="100">
        <v>81</v>
      </c>
      <c r="H8" s="100">
        <v>63</v>
      </c>
      <c r="I8" s="100">
        <v>93</v>
      </c>
      <c r="J8" s="101">
        <v>47</v>
      </c>
      <c r="M8" s="16" t="s">
        <v>5</v>
      </c>
      <c r="N8" s="22">
        <v>1005.5714285714286</v>
      </c>
      <c r="O8" s="22">
        <v>108.28571428571429</v>
      </c>
      <c r="P8" s="22">
        <v>126</v>
      </c>
      <c r="Q8" s="22">
        <v>192.28571428571428</v>
      </c>
      <c r="R8" s="22">
        <v>165.71428571428572</v>
      </c>
      <c r="S8" s="22">
        <v>133.57142857142858</v>
      </c>
      <c r="T8" s="22">
        <v>161.28571428571428</v>
      </c>
      <c r="U8" s="22">
        <v>118.42857142857143</v>
      </c>
    </row>
    <row r="9" spans="1:21" x14ac:dyDescent="0.35">
      <c r="A9" s="97"/>
      <c r="B9" s="107" t="s">
        <v>1</v>
      </c>
      <c r="C9" s="98">
        <v>589</v>
      </c>
      <c r="D9" s="99">
        <v>64</v>
      </c>
      <c r="E9" s="100">
        <v>68</v>
      </c>
      <c r="F9" s="100">
        <v>99</v>
      </c>
      <c r="G9" s="100">
        <v>111</v>
      </c>
      <c r="H9" s="100">
        <v>65</v>
      </c>
      <c r="I9" s="100">
        <v>96</v>
      </c>
      <c r="J9" s="101">
        <v>86</v>
      </c>
      <c r="M9" s="16" t="s">
        <v>6</v>
      </c>
      <c r="N9" s="22">
        <v>834</v>
      </c>
      <c r="O9" s="22">
        <v>91.571428571428569</v>
      </c>
      <c r="P9" s="22">
        <v>97.857142857142861</v>
      </c>
      <c r="Q9" s="22">
        <v>158.71428571428572</v>
      </c>
      <c r="R9" s="22">
        <v>156.85714285714286</v>
      </c>
      <c r="S9" s="22">
        <v>115.42857142857143</v>
      </c>
      <c r="T9" s="22">
        <v>127.71428571428571</v>
      </c>
      <c r="U9" s="22">
        <v>85.857142857142861</v>
      </c>
    </row>
    <row r="10" spans="1:21" x14ac:dyDescent="0.35">
      <c r="A10" s="97"/>
      <c r="B10" s="107" t="s">
        <v>2</v>
      </c>
      <c r="C10" s="98">
        <v>724</v>
      </c>
      <c r="D10" s="99">
        <v>82</v>
      </c>
      <c r="E10" s="100">
        <v>122</v>
      </c>
      <c r="F10" s="100">
        <v>138</v>
      </c>
      <c r="G10" s="100">
        <v>102</v>
      </c>
      <c r="H10" s="100">
        <v>91</v>
      </c>
      <c r="I10" s="100">
        <v>88</v>
      </c>
      <c r="J10" s="101">
        <v>101</v>
      </c>
      <c r="M10" s="16" t="s">
        <v>7</v>
      </c>
      <c r="N10" s="22">
        <v>606.85714285714289</v>
      </c>
      <c r="O10" s="22">
        <v>69.285714285714292</v>
      </c>
      <c r="P10" s="22">
        <v>67.571428571428569</v>
      </c>
      <c r="Q10" s="22">
        <v>125.57142857142857</v>
      </c>
      <c r="R10" s="22">
        <v>113.28571428571429</v>
      </c>
      <c r="S10" s="22">
        <v>90.428571428571431</v>
      </c>
      <c r="T10" s="22">
        <v>84.142857142857139</v>
      </c>
      <c r="U10" s="22">
        <v>56.571428571428569</v>
      </c>
    </row>
    <row r="11" spans="1:21" x14ac:dyDescent="0.35">
      <c r="A11" s="97"/>
      <c r="B11" s="107" t="s">
        <v>2</v>
      </c>
      <c r="C11" s="98">
        <v>779</v>
      </c>
      <c r="D11" s="99">
        <v>76</v>
      </c>
      <c r="E11" s="100">
        <v>105</v>
      </c>
      <c r="F11" s="100">
        <v>136</v>
      </c>
      <c r="G11" s="100">
        <v>125</v>
      </c>
      <c r="H11" s="100">
        <v>82</v>
      </c>
      <c r="I11" s="100">
        <v>113</v>
      </c>
      <c r="J11" s="101">
        <v>142</v>
      </c>
      <c r="M11" s="16" t="s">
        <v>8</v>
      </c>
      <c r="N11" s="22">
        <v>558.14285714285711</v>
      </c>
      <c r="O11" s="22">
        <v>64.571428571428569</v>
      </c>
      <c r="P11" s="22">
        <v>55.285714285714285</v>
      </c>
      <c r="Q11" s="22">
        <v>117.85714285714286</v>
      </c>
      <c r="R11" s="22">
        <v>101.42857142857143</v>
      </c>
      <c r="S11" s="22">
        <v>77.571428571428569</v>
      </c>
      <c r="T11" s="22">
        <v>85.857142857142861</v>
      </c>
      <c r="U11" s="22">
        <v>55.571428571428569</v>
      </c>
    </row>
    <row r="12" spans="1:21" x14ac:dyDescent="0.35">
      <c r="A12" s="97"/>
      <c r="B12" s="107" t="s">
        <v>2</v>
      </c>
      <c r="C12" s="98">
        <v>748</v>
      </c>
      <c r="D12" s="99">
        <v>74</v>
      </c>
      <c r="E12" s="100">
        <v>122</v>
      </c>
      <c r="F12" s="100">
        <v>137</v>
      </c>
      <c r="G12" s="100">
        <v>114</v>
      </c>
      <c r="H12" s="100">
        <v>87</v>
      </c>
      <c r="I12" s="100">
        <v>128</v>
      </c>
      <c r="J12" s="101">
        <v>86</v>
      </c>
      <c r="M12" s="16" t="s">
        <v>9</v>
      </c>
      <c r="N12" s="22">
        <v>642.42857142857144</v>
      </c>
      <c r="O12" s="22">
        <v>78.571428571428569</v>
      </c>
      <c r="P12" s="22">
        <v>70.142857142857139</v>
      </c>
      <c r="Q12" s="22">
        <v>125.14285714285714</v>
      </c>
      <c r="R12" s="22">
        <v>124.57142857142857</v>
      </c>
      <c r="S12" s="22">
        <v>69.285714285714292</v>
      </c>
      <c r="T12" s="22">
        <v>106.42857142857143</v>
      </c>
      <c r="U12" s="22">
        <v>68.285714285714292</v>
      </c>
    </row>
    <row r="13" spans="1:21" x14ac:dyDescent="0.35">
      <c r="A13" s="97"/>
      <c r="B13" s="107" t="s">
        <v>2</v>
      </c>
      <c r="C13" s="98">
        <v>697</v>
      </c>
      <c r="D13" s="99">
        <v>82</v>
      </c>
      <c r="E13" s="100">
        <v>92</v>
      </c>
      <c r="F13" s="100">
        <v>135</v>
      </c>
      <c r="G13" s="100">
        <v>94</v>
      </c>
      <c r="H13" s="100">
        <v>82</v>
      </c>
      <c r="I13" s="100">
        <v>108</v>
      </c>
      <c r="J13" s="101">
        <v>104</v>
      </c>
      <c r="M13" s="16" t="s">
        <v>10</v>
      </c>
      <c r="N13" s="22">
        <v>710.57142857142856</v>
      </c>
      <c r="O13" s="22">
        <v>105.57142857142857</v>
      </c>
      <c r="P13" s="22">
        <v>85.142857142857139</v>
      </c>
      <c r="Q13" s="22">
        <v>126.14285714285714</v>
      </c>
      <c r="R13" s="22">
        <v>125.28571428571429</v>
      </c>
      <c r="S13" s="22">
        <v>74.714285714285708</v>
      </c>
      <c r="T13" s="22">
        <v>108.28571428571429</v>
      </c>
      <c r="U13" s="22">
        <v>85.428571428571431</v>
      </c>
    </row>
    <row r="14" spans="1:21" x14ac:dyDescent="0.35">
      <c r="A14" s="97"/>
      <c r="B14" s="107" t="s">
        <v>2</v>
      </c>
      <c r="C14" s="98">
        <v>607</v>
      </c>
      <c r="D14" s="99">
        <v>91</v>
      </c>
      <c r="E14" s="100">
        <v>83</v>
      </c>
      <c r="F14" s="100">
        <v>115</v>
      </c>
      <c r="G14" s="100">
        <v>94</v>
      </c>
      <c r="H14" s="100">
        <v>67</v>
      </c>
      <c r="I14" s="100">
        <v>102</v>
      </c>
      <c r="J14" s="101">
        <v>55</v>
      </c>
      <c r="M14" s="16" t="s">
        <v>11</v>
      </c>
      <c r="N14" s="22">
        <v>782.85714285714289</v>
      </c>
      <c r="O14" s="22">
        <v>107.14285714285714</v>
      </c>
      <c r="P14" s="22">
        <v>88.857142857142861</v>
      </c>
      <c r="Q14" s="22">
        <v>146.14285714285714</v>
      </c>
      <c r="R14" s="22">
        <v>134</v>
      </c>
      <c r="S14" s="22">
        <v>88.857142857142861</v>
      </c>
      <c r="T14" s="22">
        <v>135.42857142857142</v>
      </c>
      <c r="U14" s="22">
        <v>82.428571428571431</v>
      </c>
    </row>
    <row r="15" spans="1:21" x14ac:dyDescent="0.35">
      <c r="A15" s="97"/>
      <c r="B15" s="107" t="s">
        <v>2</v>
      </c>
      <c r="C15" s="98">
        <v>582</v>
      </c>
      <c r="D15" s="99">
        <v>72</v>
      </c>
      <c r="E15" s="100">
        <v>71</v>
      </c>
      <c r="F15" s="100">
        <v>96</v>
      </c>
      <c r="G15" s="100">
        <v>62</v>
      </c>
      <c r="H15" s="100">
        <v>83</v>
      </c>
      <c r="I15" s="100">
        <v>106</v>
      </c>
      <c r="J15" s="101">
        <v>92</v>
      </c>
      <c r="M15" s="16" t="s">
        <v>12</v>
      </c>
      <c r="N15" s="22">
        <v>892</v>
      </c>
      <c r="O15" s="22">
        <v>113.57142857142857</v>
      </c>
      <c r="P15" s="22">
        <v>112.42857142857143</v>
      </c>
      <c r="Q15" s="22">
        <v>165.14285714285714</v>
      </c>
      <c r="R15" s="22">
        <v>159.42857142857142</v>
      </c>
      <c r="S15" s="22">
        <v>102.14285714285714</v>
      </c>
      <c r="T15" s="22">
        <v>150.42857142857142</v>
      </c>
      <c r="U15" s="22">
        <v>88.857142857142861</v>
      </c>
    </row>
    <row r="16" spans="1:21" x14ac:dyDescent="0.35">
      <c r="A16" s="97"/>
      <c r="B16" s="107" t="s">
        <v>2</v>
      </c>
      <c r="C16" s="98">
        <v>872</v>
      </c>
      <c r="D16" s="99">
        <v>100</v>
      </c>
      <c r="E16" s="100">
        <v>112</v>
      </c>
      <c r="F16" s="100">
        <v>166</v>
      </c>
      <c r="G16" s="100">
        <v>151</v>
      </c>
      <c r="H16" s="100">
        <v>112</v>
      </c>
      <c r="I16" s="100">
        <v>137</v>
      </c>
      <c r="J16" s="101">
        <v>94</v>
      </c>
      <c r="M16" s="16" t="s">
        <v>13</v>
      </c>
      <c r="N16" s="22">
        <v>851.57142857142856</v>
      </c>
      <c r="O16" s="22">
        <v>90.142857142857139</v>
      </c>
      <c r="P16" s="22">
        <v>116</v>
      </c>
      <c r="Q16" s="22">
        <v>166.42857142857142</v>
      </c>
      <c r="R16" s="22">
        <v>168.57142857142858</v>
      </c>
      <c r="S16" s="22">
        <v>101.14285714285714</v>
      </c>
      <c r="T16" s="22">
        <v>133.14285714285714</v>
      </c>
      <c r="U16" s="22">
        <v>76.142857142857139</v>
      </c>
    </row>
    <row r="17" spans="1:21" x14ac:dyDescent="0.35">
      <c r="A17" s="97"/>
      <c r="B17" s="107" t="s">
        <v>3</v>
      </c>
      <c r="C17" s="98">
        <v>965</v>
      </c>
      <c r="D17" s="99">
        <v>98</v>
      </c>
      <c r="E17" s="100">
        <v>124</v>
      </c>
      <c r="F17" s="100">
        <v>179</v>
      </c>
      <c r="G17" s="100">
        <v>182</v>
      </c>
      <c r="H17" s="100">
        <v>130</v>
      </c>
      <c r="I17" s="100">
        <v>129</v>
      </c>
      <c r="J17" s="101">
        <v>123</v>
      </c>
      <c r="M17" s="16" t="s">
        <v>14</v>
      </c>
      <c r="N17" s="22">
        <v>883.14285714285711</v>
      </c>
      <c r="O17" s="22">
        <v>93.857142857142861</v>
      </c>
      <c r="P17" s="22">
        <v>115.57142857142857</v>
      </c>
      <c r="Q17" s="22">
        <v>167.42857142857142</v>
      </c>
      <c r="R17" s="22">
        <v>168.85714285714286</v>
      </c>
      <c r="S17" s="22">
        <v>116.85714285714286</v>
      </c>
      <c r="T17" s="22">
        <v>140.85714285714286</v>
      </c>
      <c r="U17" s="22">
        <v>79.714285714285708</v>
      </c>
    </row>
    <row r="18" spans="1:21" x14ac:dyDescent="0.35">
      <c r="A18" s="97"/>
      <c r="B18" s="107" t="s">
        <v>3</v>
      </c>
      <c r="C18" s="98">
        <v>1026</v>
      </c>
      <c r="D18" s="99">
        <v>123</v>
      </c>
      <c r="E18" s="100">
        <v>121</v>
      </c>
      <c r="F18" s="100">
        <v>187</v>
      </c>
      <c r="G18" s="100">
        <v>159</v>
      </c>
      <c r="H18" s="100">
        <v>128</v>
      </c>
      <c r="I18" s="100">
        <v>158</v>
      </c>
      <c r="J18" s="101">
        <v>150</v>
      </c>
      <c r="M18" s="16" t="s">
        <v>139</v>
      </c>
      <c r="N18" s="22">
        <v>795.48979591836735</v>
      </c>
      <c r="O18" s="22">
        <v>92.887755102040813</v>
      </c>
      <c r="P18" s="22">
        <v>97.744897959183675</v>
      </c>
      <c r="Q18" s="22">
        <v>151.5612244897959</v>
      </c>
      <c r="R18" s="22">
        <v>138.98979591836735</v>
      </c>
      <c r="S18" s="22">
        <v>98.030612244897952</v>
      </c>
      <c r="T18" s="22">
        <v>128.5</v>
      </c>
      <c r="U18" s="22">
        <v>87.775510204081627</v>
      </c>
    </row>
    <row r="19" spans="1:21" x14ac:dyDescent="0.35">
      <c r="A19" s="97"/>
      <c r="B19" s="107" t="s">
        <v>3</v>
      </c>
      <c r="C19" s="98">
        <v>963</v>
      </c>
      <c r="D19" s="99">
        <v>93</v>
      </c>
      <c r="E19" s="100">
        <v>120</v>
      </c>
      <c r="F19" s="100">
        <v>207</v>
      </c>
      <c r="G19" s="100">
        <v>174</v>
      </c>
      <c r="H19" s="100">
        <v>115</v>
      </c>
      <c r="I19" s="100">
        <v>151</v>
      </c>
      <c r="J19" s="101">
        <v>103</v>
      </c>
    </row>
    <row r="20" spans="1:21" x14ac:dyDescent="0.35">
      <c r="A20" s="97"/>
      <c r="B20" s="107" t="s">
        <v>3</v>
      </c>
      <c r="C20" s="98">
        <v>1064</v>
      </c>
      <c r="D20" s="99">
        <v>107</v>
      </c>
      <c r="E20" s="100">
        <v>134</v>
      </c>
      <c r="F20" s="100">
        <v>197</v>
      </c>
      <c r="G20" s="100">
        <v>176</v>
      </c>
      <c r="H20" s="100">
        <v>132</v>
      </c>
      <c r="I20" s="100">
        <v>180</v>
      </c>
      <c r="J20" s="101">
        <v>138</v>
      </c>
    </row>
    <row r="21" spans="1:21" x14ac:dyDescent="0.35">
      <c r="A21" s="97"/>
      <c r="B21" s="107" t="s">
        <v>3</v>
      </c>
      <c r="C21" s="98">
        <v>834</v>
      </c>
      <c r="D21" s="99">
        <v>121</v>
      </c>
      <c r="E21" s="100">
        <v>84</v>
      </c>
      <c r="F21" s="100">
        <v>160</v>
      </c>
      <c r="G21" s="100">
        <v>140</v>
      </c>
      <c r="H21" s="100">
        <v>85</v>
      </c>
      <c r="I21" s="100">
        <v>135</v>
      </c>
      <c r="J21" s="101">
        <v>109</v>
      </c>
    </row>
    <row r="22" spans="1:21" x14ac:dyDescent="0.35">
      <c r="A22" s="97"/>
      <c r="B22" s="107" t="s">
        <v>3</v>
      </c>
      <c r="C22" s="98">
        <v>799</v>
      </c>
      <c r="D22" s="99">
        <v>80</v>
      </c>
      <c r="E22" s="100">
        <v>114</v>
      </c>
      <c r="F22" s="100">
        <v>141</v>
      </c>
      <c r="G22" s="100">
        <v>133</v>
      </c>
      <c r="H22" s="100">
        <v>68</v>
      </c>
      <c r="I22" s="100">
        <v>132</v>
      </c>
      <c r="J22" s="101">
        <v>131</v>
      </c>
    </row>
    <row r="23" spans="1:21" x14ac:dyDescent="0.35">
      <c r="A23" s="97"/>
      <c r="B23" s="107" t="s">
        <v>3</v>
      </c>
      <c r="C23" s="98">
        <v>1176</v>
      </c>
      <c r="D23" s="99">
        <v>109</v>
      </c>
      <c r="E23" s="100">
        <v>126</v>
      </c>
      <c r="F23" s="100">
        <v>182</v>
      </c>
      <c r="G23" s="100">
        <v>191</v>
      </c>
      <c r="H23" s="100">
        <v>117</v>
      </c>
      <c r="I23" s="100">
        <v>263</v>
      </c>
      <c r="J23" s="101">
        <v>188</v>
      </c>
    </row>
    <row r="24" spans="1:21" x14ac:dyDescent="0.35">
      <c r="A24" s="97"/>
      <c r="B24" s="107" t="s">
        <v>4</v>
      </c>
      <c r="C24" s="98">
        <v>1296</v>
      </c>
      <c r="D24" s="99">
        <v>166</v>
      </c>
      <c r="E24" s="100">
        <v>104</v>
      </c>
      <c r="F24" s="79">
        <v>251</v>
      </c>
      <c r="G24" s="100">
        <v>181</v>
      </c>
      <c r="H24" s="100">
        <v>171</v>
      </c>
      <c r="I24" s="100">
        <v>211</v>
      </c>
      <c r="J24" s="101">
        <v>212</v>
      </c>
    </row>
    <row r="25" spans="1:21" x14ac:dyDescent="0.35">
      <c r="B25" s="107" t="s">
        <v>4</v>
      </c>
      <c r="C25" s="98">
        <v>1376</v>
      </c>
      <c r="D25" s="99">
        <v>151</v>
      </c>
      <c r="E25" s="100">
        <v>181</v>
      </c>
      <c r="F25" s="100">
        <v>263</v>
      </c>
      <c r="G25" s="100">
        <v>218</v>
      </c>
      <c r="H25" s="100">
        <v>143</v>
      </c>
      <c r="I25" s="100">
        <v>244</v>
      </c>
      <c r="J25" s="101">
        <v>176</v>
      </c>
    </row>
    <row r="26" spans="1:21" x14ac:dyDescent="0.35">
      <c r="B26" s="107" t="s">
        <v>4</v>
      </c>
      <c r="C26" s="98">
        <v>1293</v>
      </c>
      <c r="D26" s="99">
        <v>136</v>
      </c>
      <c r="E26" s="100">
        <v>165</v>
      </c>
      <c r="F26" s="100">
        <v>255</v>
      </c>
      <c r="G26" s="100">
        <v>192</v>
      </c>
      <c r="H26" s="100">
        <v>167</v>
      </c>
      <c r="I26" s="100">
        <v>227</v>
      </c>
      <c r="J26" s="101">
        <v>151</v>
      </c>
    </row>
    <row r="27" spans="1:21" x14ac:dyDescent="0.35">
      <c r="B27" s="107" t="s">
        <v>4</v>
      </c>
      <c r="C27" s="98">
        <v>1236</v>
      </c>
      <c r="D27" s="99">
        <v>130</v>
      </c>
      <c r="E27" s="100">
        <v>174</v>
      </c>
      <c r="F27" s="100">
        <v>207</v>
      </c>
      <c r="G27" s="100">
        <v>193</v>
      </c>
      <c r="H27" s="100">
        <v>176</v>
      </c>
      <c r="I27" s="100">
        <v>212</v>
      </c>
      <c r="J27" s="101">
        <v>144</v>
      </c>
    </row>
    <row r="28" spans="1:21" x14ac:dyDescent="0.35">
      <c r="B28" s="107" t="s">
        <v>4</v>
      </c>
      <c r="C28" s="98">
        <v>899</v>
      </c>
      <c r="D28" s="99">
        <v>106</v>
      </c>
      <c r="E28" s="100">
        <v>125</v>
      </c>
      <c r="F28" s="100">
        <v>184</v>
      </c>
      <c r="G28" s="100">
        <v>131</v>
      </c>
      <c r="H28" s="100">
        <v>85</v>
      </c>
      <c r="I28" s="100">
        <v>167</v>
      </c>
      <c r="J28" s="101">
        <v>101</v>
      </c>
    </row>
    <row r="29" spans="1:21" x14ac:dyDescent="0.35">
      <c r="B29" s="107" t="s">
        <v>4</v>
      </c>
      <c r="C29" s="98">
        <v>780</v>
      </c>
      <c r="D29" s="99">
        <v>127</v>
      </c>
      <c r="E29" s="100">
        <v>107</v>
      </c>
      <c r="F29" s="100">
        <v>137</v>
      </c>
      <c r="G29" s="100">
        <v>105</v>
      </c>
      <c r="H29" s="100">
        <v>72</v>
      </c>
      <c r="I29" s="100">
        <v>149</v>
      </c>
      <c r="J29" s="101">
        <v>83</v>
      </c>
    </row>
    <row r="30" spans="1:21" x14ac:dyDescent="0.35">
      <c r="B30" s="107" t="s">
        <v>4</v>
      </c>
      <c r="C30" s="98">
        <v>844</v>
      </c>
      <c r="D30" s="99">
        <v>72</v>
      </c>
      <c r="E30" s="100">
        <v>113</v>
      </c>
      <c r="F30" s="100">
        <v>154</v>
      </c>
      <c r="G30" s="100">
        <v>124</v>
      </c>
      <c r="H30" s="100">
        <v>101</v>
      </c>
      <c r="I30" s="100">
        <v>179</v>
      </c>
      <c r="J30" s="101">
        <v>101</v>
      </c>
    </row>
    <row r="31" spans="1:21" x14ac:dyDescent="0.35">
      <c r="B31" s="107" t="s">
        <v>5</v>
      </c>
      <c r="C31" s="98">
        <v>988</v>
      </c>
      <c r="D31">
        <v>111</v>
      </c>
      <c r="E31">
        <v>107</v>
      </c>
      <c r="F31">
        <v>171</v>
      </c>
      <c r="G31">
        <v>161</v>
      </c>
      <c r="H31">
        <v>136</v>
      </c>
      <c r="I31">
        <v>195</v>
      </c>
      <c r="J31">
        <v>107</v>
      </c>
    </row>
    <row r="32" spans="1:21" x14ac:dyDescent="0.35">
      <c r="B32" s="107" t="s">
        <v>5</v>
      </c>
      <c r="C32" s="98">
        <v>1134</v>
      </c>
      <c r="D32">
        <v>113</v>
      </c>
      <c r="E32">
        <v>150</v>
      </c>
      <c r="F32">
        <v>179</v>
      </c>
      <c r="G32">
        <v>196</v>
      </c>
      <c r="H32">
        <v>160</v>
      </c>
      <c r="I32">
        <v>199</v>
      </c>
      <c r="J32">
        <v>137</v>
      </c>
    </row>
    <row r="33" spans="2:10" x14ac:dyDescent="0.35">
      <c r="B33" s="107" t="s">
        <v>5</v>
      </c>
      <c r="C33" s="98">
        <v>1245</v>
      </c>
      <c r="D33">
        <v>123</v>
      </c>
      <c r="E33">
        <v>156</v>
      </c>
      <c r="F33">
        <v>238</v>
      </c>
      <c r="G33">
        <v>197</v>
      </c>
      <c r="H33">
        <v>159</v>
      </c>
      <c r="I33">
        <v>208</v>
      </c>
      <c r="J33">
        <v>164</v>
      </c>
    </row>
    <row r="34" spans="2:10" x14ac:dyDescent="0.35">
      <c r="B34" s="107" t="s">
        <v>5</v>
      </c>
      <c r="C34" s="98">
        <v>1225</v>
      </c>
      <c r="D34">
        <v>141</v>
      </c>
      <c r="E34">
        <v>145</v>
      </c>
      <c r="F34">
        <v>250</v>
      </c>
      <c r="G34">
        <v>206</v>
      </c>
      <c r="H34">
        <v>176</v>
      </c>
      <c r="I34">
        <v>177</v>
      </c>
      <c r="J34">
        <v>130</v>
      </c>
    </row>
    <row r="35" spans="2:10" x14ac:dyDescent="0.35">
      <c r="B35" s="107" t="s">
        <v>5</v>
      </c>
      <c r="C35" s="98">
        <v>940</v>
      </c>
      <c r="D35">
        <v>74</v>
      </c>
      <c r="E35">
        <v>139</v>
      </c>
      <c r="F35">
        <v>191</v>
      </c>
      <c r="G35">
        <v>164</v>
      </c>
      <c r="H35">
        <v>115</v>
      </c>
      <c r="I35">
        <v>129</v>
      </c>
      <c r="J35">
        <v>128</v>
      </c>
    </row>
    <row r="36" spans="2:10" x14ac:dyDescent="0.35">
      <c r="B36" s="107" t="s">
        <v>5</v>
      </c>
      <c r="C36" s="98">
        <v>723</v>
      </c>
      <c r="D36">
        <v>84</v>
      </c>
      <c r="E36">
        <v>97</v>
      </c>
      <c r="F36">
        <v>160</v>
      </c>
      <c r="G36">
        <v>122</v>
      </c>
      <c r="H36">
        <v>101</v>
      </c>
      <c r="I36">
        <v>91</v>
      </c>
      <c r="J36">
        <v>68</v>
      </c>
    </row>
    <row r="37" spans="2:10" x14ac:dyDescent="0.35">
      <c r="B37" s="107" t="s">
        <v>5</v>
      </c>
      <c r="C37" s="98">
        <v>784</v>
      </c>
      <c r="D37">
        <v>112</v>
      </c>
      <c r="E37">
        <v>88</v>
      </c>
      <c r="F37">
        <v>157</v>
      </c>
      <c r="G37">
        <v>114</v>
      </c>
      <c r="H37">
        <v>88</v>
      </c>
      <c r="I37">
        <v>130</v>
      </c>
      <c r="J37">
        <v>95</v>
      </c>
    </row>
    <row r="38" spans="2:10" x14ac:dyDescent="0.35">
      <c r="B38" s="107" t="s">
        <v>6</v>
      </c>
      <c r="C38">
        <v>916</v>
      </c>
      <c r="D38">
        <v>102</v>
      </c>
      <c r="E38">
        <v>97</v>
      </c>
      <c r="F38">
        <v>173</v>
      </c>
      <c r="G38">
        <v>192</v>
      </c>
      <c r="H38">
        <v>138</v>
      </c>
      <c r="I38">
        <v>131</v>
      </c>
      <c r="J38">
        <v>83</v>
      </c>
    </row>
    <row r="39" spans="2:10" x14ac:dyDescent="0.35">
      <c r="B39" s="107" t="s">
        <v>6</v>
      </c>
      <c r="C39">
        <v>992</v>
      </c>
      <c r="D39">
        <v>106</v>
      </c>
      <c r="E39">
        <v>123</v>
      </c>
      <c r="F39">
        <v>183</v>
      </c>
      <c r="G39">
        <v>176</v>
      </c>
      <c r="H39">
        <v>126</v>
      </c>
      <c r="I39">
        <v>170</v>
      </c>
      <c r="J39">
        <v>108</v>
      </c>
    </row>
    <row r="40" spans="2:10" x14ac:dyDescent="0.35">
      <c r="B40" s="107" t="s">
        <v>6</v>
      </c>
      <c r="C40">
        <v>922</v>
      </c>
      <c r="D40">
        <v>108</v>
      </c>
      <c r="E40">
        <v>106</v>
      </c>
      <c r="F40">
        <v>186</v>
      </c>
      <c r="G40">
        <v>159</v>
      </c>
      <c r="H40">
        <v>137</v>
      </c>
      <c r="I40">
        <v>131</v>
      </c>
      <c r="J40">
        <v>95</v>
      </c>
    </row>
    <row r="41" spans="2:10" x14ac:dyDescent="0.35">
      <c r="B41" s="107" t="s">
        <v>6</v>
      </c>
      <c r="C41">
        <v>899</v>
      </c>
      <c r="D41">
        <v>109</v>
      </c>
      <c r="E41">
        <v>119</v>
      </c>
      <c r="F41">
        <v>154</v>
      </c>
      <c r="G41">
        <v>161</v>
      </c>
      <c r="H41">
        <v>112</v>
      </c>
      <c r="I41">
        <v>137</v>
      </c>
      <c r="J41">
        <v>107</v>
      </c>
    </row>
    <row r="42" spans="2:10" x14ac:dyDescent="0.35">
      <c r="B42" s="107" t="s">
        <v>6</v>
      </c>
      <c r="C42">
        <v>705</v>
      </c>
      <c r="D42">
        <v>76</v>
      </c>
      <c r="E42">
        <v>86</v>
      </c>
      <c r="F42">
        <v>139</v>
      </c>
      <c r="G42">
        <v>149</v>
      </c>
      <c r="H42">
        <v>80</v>
      </c>
      <c r="I42">
        <v>114</v>
      </c>
      <c r="J42">
        <v>61</v>
      </c>
    </row>
    <row r="43" spans="2:10" x14ac:dyDescent="0.35">
      <c r="B43" s="107" t="s">
        <v>6</v>
      </c>
      <c r="C43">
        <v>628</v>
      </c>
      <c r="D43">
        <v>57</v>
      </c>
      <c r="E43">
        <v>65</v>
      </c>
      <c r="F43">
        <v>123</v>
      </c>
      <c r="G43">
        <v>129</v>
      </c>
      <c r="H43">
        <v>91</v>
      </c>
      <c r="I43">
        <v>105</v>
      </c>
      <c r="J43">
        <v>58</v>
      </c>
    </row>
    <row r="44" spans="2:10" x14ac:dyDescent="0.35">
      <c r="B44" s="107" t="s">
        <v>6</v>
      </c>
      <c r="C44">
        <v>776</v>
      </c>
      <c r="D44">
        <v>83</v>
      </c>
      <c r="E44">
        <v>89</v>
      </c>
      <c r="F44">
        <v>153</v>
      </c>
      <c r="G44">
        <v>132</v>
      </c>
      <c r="H44">
        <v>124</v>
      </c>
      <c r="I44">
        <v>106</v>
      </c>
      <c r="J44">
        <v>89</v>
      </c>
    </row>
    <row r="45" spans="2:10" x14ac:dyDescent="0.35">
      <c r="B45" s="107" t="s">
        <v>7</v>
      </c>
      <c r="C45">
        <v>737</v>
      </c>
      <c r="D45">
        <v>86</v>
      </c>
      <c r="E45">
        <v>93</v>
      </c>
      <c r="F45">
        <v>140</v>
      </c>
      <c r="G45">
        <v>147</v>
      </c>
      <c r="H45">
        <v>107</v>
      </c>
      <c r="I45">
        <v>100</v>
      </c>
      <c r="J45">
        <v>64</v>
      </c>
    </row>
    <row r="46" spans="2:10" x14ac:dyDescent="0.35">
      <c r="B46" s="107" t="s">
        <v>7</v>
      </c>
      <c r="C46">
        <v>661</v>
      </c>
      <c r="D46">
        <v>70</v>
      </c>
      <c r="E46">
        <v>87</v>
      </c>
      <c r="F46">
        <v>133</v>
      </c>
      <c r="G46">
        <v>112</v>
      </c>
      <c r="H46">
        <v>103</v>
      </c>
      <c r="I46">
        <v>101</v>
      </c>
      <c r="J46">
        <v>55</v>
      </c>
    </row>
    <row r="47" spans="2:10" x14ac:dyDescent="0.35">
      <c r="B47" s="107" t="s">
        <v>7</v>
      </c>
      <c r="C47">
        <v>692</v>
      </c>
      <c r="D47">
        <v>74</v>
      </c>
      <c r="E47">
        <v>72</v>
      </c>
      <c r="F47">
        <v>152</v>
      </c>
      <c r="G47">
        <v>138</v>
      </c>
      <c r="H47">
        <v>95</v>
      </c>
      <c r="I47">
        <v>94</v>
      </c>
      <c r="J47">
        <v>67</v>
      </c>
    </row>
    <row r="48" spans="2:10" x14ac:dyDescent="0.35">
      <c r="B48" s="107" t="s">
        <v>7</v>
      </c>
      <c r="C48">
        <v>664</v>
      </c>
      <c r="D48">
        <v>64</v>
      </c>
      <c r="E48">
        <v>66</v>
      </c>
      <c r="F48">
        <v>144</v>
      </c>
      <c r="G48">
        <v>125</v>
      </c>
      <c r="H48">
        <v>99</v>
      </c>
      <c r="I48">
        <v>94</v>
      </c>
      <c r="J48">
        <v>72</v>
      </c>
    </row>
    <row r="49" spans="2:10" x14ac:dyDescent="0.35">
      <c r="B49" s="107" t="s">
        <v>7</v>
      </c>
      <c r="C49">
        <v>510</v>
      </c>
      <c r="D49">
        <v>60</v>
      </c>
      <c r="E49">
        <v>52</v>
      </c>
      <c r="F49">
        <v>119</v>
      </c>
      <c r="G49">
        <v>89</v>
      </c>
      <c r="H49">
        <v>82</v>
      </c>
      <c r="I49">
        <v>63</v>
      </c>
      <c r="J49">
        <v>45</v>
      </c>
    </row>
    <row r="50" spans="2:10" x14ac:dyDescent="0.35">
      <c r="B50" s="107" t="s">
        <v>7</v>
      </c>
      <c r="C50">
        <v>417</v>
      </c>
      <c r="D50">
        <v>56</v>
      </c>
      <c r="E50">
        <v>50</v>
      </c>
      <c r="F50">
        <v>89</v>
      </c>
      <c r="G50">
        <v>67</v>
      </c>
      <c r="H50">
        <v>67</v>
      </c>
      <c r="I50">
        <v>59</v>
      </c>
      <c r="J50">
        <v>29</v>
      </c>
    </row>
    <row r="51" spans="2:10" x14ac:dyDescent="0.35">
      <c r="B51" s="107" t="s">
        <v>7</v>
      </c>
      <c r="C51">
        <v>567</v>
      </c>
      <c r="D51">
        <v>75</v>
      </c>
      <c r="E51">
        <v>53</v>
      </c>
      <c r="F51">
        <v>102</v>
      </c>
      <c r="G51">
        <v>115</v>
      </c>
      <c r="H51">
        <v>80</v>
      </c>
      <c r="I51">
        <v>78</v>
      </c>
      <c r="J51">
        <v>64</v>
      </c>
    </row>
    <row r="52" spans="2:10" x14ac:dyDescent="0.35">
      <c r="B52" s="107" t="s">
        <v>8</v>
      </c>
      <c r="C52">
        <v>599</v>
      </c>
      <c r="D52">
        <v>55</v>
      </c>
      <c r="E52">
        <v>60</v>
      </c>
      <c r="F52">
        <v>121</v>
      </c>
      <c r="G52">
        <v>100</v>
      </c>
      <c r="H52">
        <v>88</v>
      </c>
      <c r="I52">
        <v>114</v>
      </c>
      <c r="J52">
        <v>61</v>
      </c>
    </row>
    <row r="53" spans="2:10" x14ac:dyDescent="0.35">
      <c r="B53" s="107" t="s">
        <v>8</v>
      </c>
      <c r="C53">
        <v>565</v>
      </c>
      <c r="D53">
        <v>70</v>
      </c>
      <c r="E53">
        <v>59</v>
      </c>
      <c r="F53">
        <v>122</v>
      </c>
      <c r="G53">
        <v>114</v>
      </c>
      <c r="H53">
        <v>78</v>
      </c>
      <c r="I53">
        <v>80</v>
      </c>
      <c r="J53">
        <v>42</v>
      </c>
    </row>
    <row r="54" spans="2:10" x14ac:dyDescent="0.35">
      <c r="B54" s="107" t="s">
        <v>8</v>
      </c>
      <c r="C54">
        <v>595</v>
      </c>
      <c r="D54">
        <v>64</v>
      </c>
      <c r="E54">
        <v>76</v>
      </c>
      <c r="F54">
        <v>122</v>
      </c>
      <c r="G54">
        <v>99</v>
      </c>
      <c r="H54">
        <v>86</v>
      </c>
      <c r="I54">
        <v>89</v>
      </c>
      <c r="J54">
        <v>59</v>
      </c>
    </row>
    <row r="55" spans="2:10" x14ac:dyDescent="0.35">
      <c r="B55" s="107" t="s">
        <v>8</v>
      </c>
      <c r="C55">
        <v>618</v>
      </c>
      <c r="D55">
        <v>74</v>
      </c>
      <c r="E55">
        <v>70</v>
      </c>
      <c r="F55">
        <v>122</v>
      </c>
      <c r="G55">
        <v>111</v>
      </c>
      <c r="H55">
        <v>101</v>
      </c>
      <c r="I55">
        <v>79</v>
      </c>
      <c r="J55">
        <v>61</v>
      </c>
    </row>
    <row r="56" spans="2:10" x14ac:dyDescent="0.35">
      <c r="B56" s="107" t="s">
        <v>8</v>
      </c>
      <c r="C56">
        <v>447</v>
      </c>
      <c r="D56">
        <v>56</v>
      </c>
      <c r="E56">
        <v>50</v>
      </c>
      <c r="F56">
        <v>101</v>
      </c>
      <c r="G56">
        <v>85</v>
      </c>
      <c r="H56">
        <v>68</v>
      </c>
      <c r="I56">
        <v>47</v>
      </c>
      <c r="J56">
        <v>40</v>
      </c>
    </row>
    <row r="57" spans="2:10" x14ac:dyDescent="0.35">
      <c r="B57" s="107" t="s">
        <v>8</v>
      </c>
      <c r="C57">
        <v>493</v>
      </c>
      <c r="D57">
        <v>50</v>
      </c>
      <c r="E57">
        <v>34</v>
      </c>
      <c r="F57">
        <v>132</v>
      </c>
      <c r="G57">
        <v>68</v>
      </c>
      <c r="H57">
        <v>56</v>
      </c>
      <c r="I57">
        <v>90</v>
      </c>
      <c r="J57">
        <v>63</v>
      </c>
    </row>
    <row r="58" spans="2:10" x14ac:dyDescent="0.35">
      <c r="B58" s="107" t="s">
        <v>8</v>
      </c>
      <c r="C58">
        <v>590</v>
      </c>
      <c r="D58">
        <v>83</v>
      </c>
      <c r="E58">
        <v>38</v>
      </c>
      <c r="F58">
        <v>105</v>
      </c>
      <c r="G58">
        <v>133</v>
      </c>
      <c r="H58">
        <v>66</v>
      </c>
      <c r="I58">
        <v>102</v>
      </c>
      <c r="J58">
        <v>63</v>
      </c>
    </row>
    <row r="59" spans="2:10" x14ac:dyDescent="0.35">
      <c r="B59" s="107" t="s">
        <v>9</v>
      </c>
      <c r="C59">
        <v>617</v>
      </c>
      <c r="D59">
        <v>67</v>
      </c>
      <c r="E59">
        <v>63</v>
      </c>
      <c r="F59">
        <v>108</v>
      </c>
      <c r="G59">
        <v>132</v>
      </c>
      <c r="H59">
        <v>56</v>
      </c>
      <c r="I59">
        <v>122</v>
      </c>
      <c r="J59">
        <v>69</v>
      </c>
    </row>
    <row r="60" spans="2:10" x14ac:dyDescent="0.35">
      <c r="B60" s="107" t="s">
        <v>9</v>
      </c>
      <c r="C60">
        <v>695</v>
      </c>
      <c r="D60">
        <v>95</v>
      </c>
      <c r="E60">
        <v>74</v>
      </c>
      <c r="F60">
        <v>136</v>
      </c>
      <c r="G60">
        <v>135</v>
      </c>
      <c r="H60">
        <v>80</v>
      </c>
      <c r="I60">
        <v>108</v>
      </c>
      <c r="J60">
        <v>67</v>
      </c>
    </row>
    <row r="61" spans="2:10" x14ac:dyDescent="0.35">
      <c r="B61" s="107" t="s">
        <v>9</v>
      </c>
      <c r="C61">
        <v>706</v>
      </c>
      <c r="D61">
        <v>77</v>
      </c>
      <c r="E61">
        <v>96</v>
      </c>
      <c r="F61">
        <v>164</v>
      </c>
      <c r="G61">
        <v>109</v>
      </c>
      <c r="H61">
        <v>75</v>
      </c>
      <c r="I61">
        <v>100</v>
      </c>
      <c r="J61">
        <v>85</v>
      </c>
    </row>
    <row r="62" spans="2:10" x14ac:dyDescent="0.35">
      <c r="B62" s="107" t="s">
        <v>9</v>
      </c>
      <c r="C62">
        <v>654</v>
      </c>
      <c r="D62">
        <v>77</v>
      </c>
      <c r="E62">
        <v>83</v>
      </c>
      <c r="F62">
        <v>130</v>
      </c>
      <c r="G62">
        <v>115</v>
      </c>
      <c r="H62">
        <v>67</v>
      </c>
      <c r="I62">
        <v>115</v>
      </c>
      <c r="J62">
        <v>67</v>
      </c>
    </row>
    <row r="63" spans="2:10" x14ac:dyDescent="0.35">
      <c r="B63" s="107" t="s">
        <v>9</v>
      </c>
      <c r="C63">
        <v>558</v>
      </c>
      <c r="D63">
        <v>72</v>
      </c>
      <c r="E63">
        <v>63</v>
      </c>
      <c r="F63">
        <v>119</v>
      </c>
      <c r="G63">
        <v>115</v>
      </c>
      <c r="H63">
        <v>65</v>
      </c>
      <c r="I63">
        <v>72</v>
      </c>
      <c r="J63">
        <v>52</v>
      </c>
    </row>
    <row r="64" spans="2:10" x14ac:dyDescent="0.35">
      <c r="B64" s="107" t="s">
        <v>9</v>
      </c>
      <c r="C64">
        <v>562</v>
      </c>
      <c r="D64">
        <v>64</v>
      </c>
      <c r="E64">
        <v>54</v>
      </c>
      <c r="F64">
        <v>100</v>
      </c>
      <c r="G64">
        <v>118</v>
      </c>
      <c r="H64">
        <v>73</v>
      </c>
      <c r="I64">
        <v>102</v>
      </c>
      <c r="J64">
        <v>51</v>
      </c>
    </row>
    <row r="65" spans="2:10" x14ac:dyDescent="0.35">
      <c r="B65" s="107" t="s">
        <v>9</v>
      </c>
      <c r="C65">
        <v>705</v>
      </c>
      <c r="D65">
        <v>98</v>
      </c>
      <c r="E65">
        <v>58</v>
      </c>
      <c r="F65">
        <v>119</v>
      </c>
      <c r="G65">
        <v>148</v>
      </c>
      <c r="H65">
        <v>69</v>
      </c>
      <c r="I65">
        <v>126</v>
      </c>
      <c r="J65">
        <v>87</v>
      </c>
    </row>
    <row r="66" spans="2:10" x14ac:dyDescent="0.35">
      <c r="B66" s="107" t="s">
        <v>10</v>
      </c>
      <c r="C66" s="98">
        <f>'[1]Hosp ads &amp; diag'!DV$16</f>
        <v>741</v>
      </c>
      <c r="D66" s="99">
        <f>'[1]Hosp ads &amp; diag'!DV$18</f>
        <v>111</v>
      </c>
      <c r="E66" s="100">
        <f>'[1]Hosp ads &amp; diag'!DV$19</f>
        <v>81</v>
      </c>
      <c r="F66" s="100">
        <f>'[1]Hosp ads &amp; diag'!DV$20</f>
        <v>127</v>
      </c>
      <c r="G66" s="100">
        <f>'[1]Hosp ads &amp; diag'!DV$21</f>
        <v>142</v>
      </c>
      <c r="H66" s="100">
        <f>'[1]Hosp ads &amp; diag'!DV$22</f>
        <v>81</v>
      </c>
      <c r="I66" s="100">
        <f>'[1]Hosp ads &amp; diag'!DV$23</f>
        <v>116</v>
      </c>
      <c r="J66" s="101">
        <f>'[1]Hosp ads &amp; diag'!DV$24</f>
        <v>83</v>
      </c>
    </row>
    <row r="67" spans="2:10" x14ac:dyDescent="0.35">
      <c r="B67" s="107" t="s">
        <v>10</v>
      </c>
      <c r="C67" s="98">
        <f>'[1]Hosp ads &amp; diag'!DW$16</f>
        <v>752</v>
      </c>
      <c r="D67" s="99">
        <f>'[1]Hosp ads &amp; diag'!DW$18</f>
        <v>115</v>
      </c>
      <c r="E67" s="100">
        <f>'[1]Hosp ads &amp; diag'!DW$19</f>
        <v>87</v>
      </c>
      <c r="F67" s="100">
        <f>'[1]Hosp ads &amp; diag'!DW$20</f>
        <v>125</v>
      </c>
      <c r="G67" s="100">
        <f>'[1]Hosp ads &amp; diag'!DW$21</f>
        <v>136</v>
      </c>
      <c r="H67" s="100">
        <f>'[1]Hosp ads &amp; diag'!DW$22</f>
        <v>90</v>
      </c>
      <c r="I67" s="100">
        <f>'[1]Hosp ads &amp; diag'!DW$23</f>
        <v>106</v>
      </c>
      <c r="J67" s="101">
        <f>'[1]Hosp ads &amp; diag'!DW$24</f>
        <v>93</v>
      </c>
    </row>
    <row r="68" spans="2:10" x14ac:dyDescent="0.35">
      <c r="B68" s="107" t="s">
        <v>10</v>
      </c>
      <c r="C68" s="98">
        <f>'[1]Hosp ads &amp; diag'!DX$16</f>
        <v>780</v>
      </c>
      <c r="D68" s="99">
        <f>'[1]Hosp ads &amp; diag'!DX$18</f>
        <v>98</v>
      </c>
      <c r="E68" s="100">
        <f>'[1]Hosp ads &amp; diag'!DX$19</f>
        <v>105</v>
      </c>
      <c r="F68" s="100">
        <f>'[1]Hosp ads &amp; diag'!DX$20</f>
        <v>150</v>
      </c>
      <c r="G68" s="100">
        <f>'[1]Hosp ads &amp; diag'!DX$21</f>
        <v>149</v>
      </c>
      <c r="H68" s="100">
        <f>'[1]Hosp ads &amp; diag'!DX$22</f>
        <v>75</v>
      </c>
      <c r="I68" s="100">
        <f>'[1]Hosp ads &amp; diag'!DX$23</f>
        <v>117</v>
      </c>
      <c r="J68" s="101">
        <f>'[1]Hosp ads &amp; diag'!DX$24</f>
        <v>86</v>
      </c>
    </row>
    <row r="69" spans="2:10" x14ac:dyDescent="0.35">
      <c r="B69" s="107" t="s">
        <v>10</v>
      </c>
      <c r="C69" s="98">
        <f>'[1]Hosp ads &amp; diag'!DY$16</f>
        <v>713</v>
      </c>
      <c r="D69" s="99">
        <f>'[1]Hosp ads &amp; diag'!DY$18</f>
        <v>92</v>
      </c>
      <c r="E69" s="100">
        <f>'[1]Hosp ads &amp; diag'!DY$19</f>
        <v>98</v>
      </c>
      <c r="F69" s="100">
        <f>'[1]Hosp ads &amp; diag'!DY$20</f>
        <v>148</v>
      </c>
      <c r="G69" s="100">
        <f>'[1]Hosp ads &amp; diag'!DY$21</f>
        <v>101</v>
      </c>
      <c r="H69" s="100">
        <f>'[1]Hosp ads &amp; diag'!DY$22</f>
        <v>68</v>
      </c>
      <c r="I69" s="100">
        <f>'[1]Hosp ads &amp; diag'!DY$23</f>
        <v>123</v>
      </c>
      <c r="J69" s="101">
        <f>'[1]Hosp ads &amp; diag'!DY$24</f>
        <v>83</v>
      </c>
    </row>
    <row r="70" spans="2:10" x14ac:dyDescent="0.35">
      <c r="B70" s="107" t="s">
        <v>10</v>
      </c>
      <c r="C70" s="98">
        <f>'[1]Hosp ads &amp; diag'!DZ$16</f>
        <v>573</v>
      </c>
      <c r="D70" s="99">
        <f>'[1]Hosp ads &amp; diag'!DZ$18</f>
        <v>67</v>
      </c>
      <c r="E70" s="100">
        <f>'[1]Hosp ads &amp; diag'!DZ$19</f>
        <v>72</v>
      </c>
      <c r="F70" s="100">
        <f>'[1]Hosp ads &amp; diag'!DZ$20</f>
        <v>115</v>
      </c>
      <c r="G70" s="100">
        <f>'[1]Hosp ads &amp; diag'!DZ$21</f>
        <v>103</v>
      </c>
      <c r="H70" s="100">
        <f>'[1]Hosp ads &amp; diag'!DZ$22</f>
        <v>73</v>
      </c>
      <c r="I70" s="100">
        <f>'[1]Hosp ads &amp; diag'!DZ$23</f>
        <v>77</v>
      </c>
      <c r="J70" s="101">
        <f>'[1]Hosp ads &amp; diag'!DZ$24</f>
        <v>66</v>
      </c>
    </row>
    <row r="71" spans="2:10" x14ac:dyDescent="0.35">
      <c r="B71" s="107" t="s">
        <v>10</v>
      </c>
      <c r="C71" s="98">
        <f>'[1]Hosp ads &amp; diag'!EA$16</f>
        <v>668</v>
      </c>
      <c r="D71" s="99">
        <f>'[1]Hosp ads &amp; diag'!EA$18</f>
        <v>116</v>
      </c>
      <c r="E71" s="100">
        <f>'[1]Hosp ads &amp; diag'!EA$19</f>
        <v>74</v>
      </c>
      <c r="F71" s="100">
        <f>'[1]Hosp ads &amp; diag'!EA$20</f>
        <v>104</v>
      </c>
      <c r="G71" s="100">
        <f>'[1]Hosp ads &amp; diag'!EA$21</f>
        <v>119</v>
      </c>
      <c r="H71" s="100">
        <f>'[1]Hosp ads &amp; diag'!EA$22</f>
        <v>58</v>
      </c>
      <c r="I71" s="100">
        <f>'[1]Hosp ads &amp; diag'!EA$23</f>
        <v>106</v>
      </c>
      <c r="J71" s="101">
        <f>'[1]Hosp ads &amp; diag'!EA$24</f>
        <v>91</v>
      </c>
    </row>
    <row r="72" spans="2:10" x14ac:dyDescent="0.35">
      <c r="B72" s="107" t="s">
        <v>10</v>
      </c>
      <c r="C72" s="98">
        <f>'[1]Hosp ads &amp; diag'!EB$16</f>
        <v>747</v>
      </c>
      <c r="D72" s="99">
        <f>'[1]Hosp ads &amp; diag'!EB$18</f>
        <v>140</v>
      </c>
      <c r="E72" s="100">
        <f>'[1]Hosp ads &amp; diag'!EB$19</f>
        <v>79</v>
      </c>
      <c r="F72" s="100">
        <f>'[1]Hosp ads &amp; diag'!EB$20</f>
        <v>114</v>
      </c>
      <c r="G72" s="100">
        <f>'[1]Hosp ads &amp; diag'!EB$21</f>
        <v>127</v>
      </c>
      <c r="H72" s="100">
        <f>'[1]Hosp ads &amp; diag'!EB$22</f>
        <v>78</v>
      </c>
      <c r="I72" s="100">
        <f>'[1]Hosp ads &amp; diag'!EB$23</f>
        <v>113</v>
      </c>
      <c r="J72" s="101">
        <f>'[1]Hosp ads &amp; diag'!EB$24</f>
        <v>96</v>
      </c>
    </row>
    <row r="73" spans="2:10" x14ac:dyDescent="0.35">
      <c r="B73" s="107" t="s">
        <v>11</v>
      </c>
      <c r="C73">
        <v>825</v>
      </c>
      <c r="D73">
        <v>137</v>
      </c>
      <c r="E73">
        <v>94</v>
      </c>
      <c r="F73">
        <v>147</v>
      </c>
      <c r="G73" s="100">
        <f>'[2]Hosp ads &amp; diag'!EC$21</f>
        <v>151</v>
      </c>
      <c r="H73" s="100">
        <f>'[2]Hosp ads &amp; diag'!EC$22</f>
        <v>93</v>
      </c>
      <c r="I73" s="100">
        <f>'[2]Hosp ads &amp; diag'!EC$23</f>
        <v>130</v>
      </c>
      <c r="J73" s="101">
        <f>'[2]Hosp ads &amp; diag'!EC$24</f>
        <v>73</v>
      </c>
    </row>
    <row r="74" spans="2:10" x14ac:dyDescent="0.35">
      <c r="B74" s="107" t="s">
        <v>11</v>
      </c>
      <c r="C74">
        <v>817</v>
      </c>
      <c r="D74">
        <v>164</v>
      </c>
      <c r="E74">
        <v>94</v>
      </c>
      <c r="F74">
        <v>133</v>
      </c>
      <c r="G74" s="100">
        <f>'[2]Hosp ads &amp; diag'!ED$21</f>
        <v>126</v>
      </c>
      <c r="H74" s="100">
        <f>'[2]Hosp ads &amp; diag'!ED$22</f>
        <v>88</v>
      </c>
      <c r="I74" s="100">
        <f>'[2]Hosp ads &amp; diag'!ED$23</f>
        <v>123</v>
      </c>
      <c r="J74" s="101">
        <f>'[2]Hosp ads &amp; diag'!ED$24</f>
        <v>89</v>
      </c>
    </row>
    <row r="75" spans="2:10" x14ac:dyDescent="0.35">
      <c r="B75" s="107" t="s">
        <v>11</v>
      </c>
      <c r="C75">
        <v>768</v>
      </c>
      <c r="D75">
        <v>67</v>
      </c>
      <c r="E75">
        <v>98</v>
      </c>
      <c r="F75">
        <v>150</v>
      </c>
      <c r="G75" s="100">
        <f>'[2]Hosp ads &amp; diag'!EE$21</f>
        <v>152</v>
      </c>
      <c r="H75" s="100">
        <f>'[2]Hosp ads &amp; diag'!EE$22</f>
        <v>82</v>
      </c>
      <c r="I75" s="100">
        <f>'[2]Hosp ads &amp; diag'!EE$23</f>
        <v>139</v>
      </c>
      <c r="J75" s="101">
        <f>'[2]Hosp ads &amp; diag'!EE$24</f>
        <v>80</v>
      </c>
    </row>
    <row r="76" spans="2:10" x14ac:dyDescent="0.35">
      <c r="B76" s="107" t="s">
        <v>11</v>
      </c>
      <c r="C76">
        <v>818</v>
      </c>
      <c r="D76">
        <v>100</v>
      </c>
      <c r="E76">
        <v>91</v>
      </c>
      <c r="F76">
        <v>155</v>
      </c>
      <c r="G76" s="100">
        <f>'[2]Hosp ads &amp; diag'!EF$21</f>
        <v>119</v>
      </c>
      <c r="H76" s="100">
        <f>'[2]Hosp ads &amp; diag'!EF$22</f>
        <v>94</v>
      </c>
      <c r="I76" s="100">
        <f>'[2]Hosp ads &amp; diag'!EF$23</f>
        <v>165</v>
      </c>
      <c r="J76" s="101">
        <f>'[2]Hosp ads &amp; diag'!EF$24</f>
        <v>94</v>
      </c>
    </row>
    <row r="77" spans="2:10" x14ac:dyDescent="0.35">
      <c r="B77" s="107" t="s">
        <v>11</v>
      </c>
      <c r="C77">
        <v>643</v>
      </c>
      <c r="D77">
        <v>81</v>
      </c>
      <c r="E77">
        <v>76</v>
      </c>
      <c r="F77">
        <v>136</v>
      </c>
      <c r="G77" s="100">
        <f>'[2]Hosp ads &amp; diag'!EG$21</f>
        <v>123</v>
      </c>
      <c r="H77" s="100">
        <f>'[2]Hosp ads &amp; diag'!EG$22</f>
        <v>67</v>
      </c>
      <c r="I77" s="100">
        <f>'[2]Hosp ads &amp; diag'!EG$23</f>
        <v>90</v>
      </c>
      <c r="J77" s="101">
        <f>'[2]Hosp ads &amp; diag'!EG$24</f>
        <v>70</v>
      </c>
    </row>
    <row r="78" spans="2:10" x14ac:dyDescent="0.35">
      <c r="B78" s="107" t="s">
        <v>11</v>
      </c>
      <c r="C78">
        <v>743</v>
      </c>
      <c r="D78">
        <v>108</v>
      </c>
      <c r="E78">
        <v>83</v>
      </c>
      <c r="F78">
        <v>141</v>
      </c>
      <c r="G78" s="100">
        <f>'[2]Hosp ads &amp; diag'!EH$21</f>
        <v>135</v>
      </c>
      <c r="H78" s="100">
        <f>'[2]Hosp ads &amp; diag'!EH$22</f>
        <v>81</v>
      </c>
      <c r="I78" s="100">
        <f>'[2]Hosp ads &amp; diag'!EH$23</f>
        <v>123</v>
      </c>
      <c r="J78" s="101">
        <f>'[2]Hosp ads &amp; diag'!EH$24</f>
        <v>72</v>
      </c>
    </row>
    <row r="79" spans="2:10" x14ac:dyDescent="0.35">
      <c r="B79" s="107" t="s">
        <v>11</v>
      </c>
      <c r="C79">
        <v>866</v>
      </c>
      <c r="D79">
        <v>93</v>
      </c>
      <c r="E79">
        <v>86</v>
      </c>
      <c r="F79">
        <v>161</v>
      </c>
      <c r="G79" s="100">
        <f>'[2]Hosp ads &amp; diag'!EI$21</f>
        <v>132</v>
      </c>
      <c r="H79" s="100">
        <f>'[2]Hosp ads &amp; diag'!EI$22</f>
        <v>117</v>
      </c>
      <c r="I79" s="100">
        <f>'[2]Hosp ads &amp; diag'!EI$23</f>
        <v>178</v>
      </c>
      <c r="J79" s="101">
        <f>'[2]Hosp ads &amp; diag'!EI$24</f>
        <v>99</v>
      </c>
    </row>
    <row r="80" spans="2:10" x14ac:dyDescent="0.35">
      <c r="B80" s="107" t="s">
        <v>12</v>
      </c>
      <c r="C80">
        <v>949</v>
      </c>
      <c r="D80">
        <v>107</v>
      </c>
      <c r="E80">
        <v>120</v>
      </c>
      <c r="F80">
        <v>173</v>
      </c>
      <c r="G80">
        <v>177</v>
      </c>
      <c r="H80">
        <v>127</v>
      </c>
      <c r="I80">
        <v>146</v>
      </c>
      <c r="J80">
        <v>99</v>
      </c>
    </row>
    <row r="81" spans="2:10" x14ac:dyDescent="0.35">
      <c r="B81" s="107" t="s">
        <v>12</v>
      </c>
      <c r="C81">
        <v>912</v>
      </c>
      <c r="D81">
        <v>120</v>
      </c>
      <c r="E81">
        <v>112</v>
      </c>
      <c r="F81">
        <v>192</v>
      </c>
      <c r="G81">
        <v>144</v>
      </c>
      <c r="H81">
        <v>88</v>
      </c>
      <c r="I81">
        <v>164</v>
      </c>
      <c r="J81">
        <v>92</v>
      </c>
    </row>
    <row r="82" spans="2:10" x14ac:dyDescent="0.35">
      <c r="B82" s="107" t="s">
        <v>12</v>
      </c>
      <c r="C82">
        <v>978</v>
      </c>
      <c r="D82">
        <v>156</v>
      </c>
      <c r="E82">
        <v>113</v>
      </c>
      <c r="F82">
        <v>178</v>
      </c>
      <c r="G82">
        <v>168</v>
      </c>
      <c r="H82">
        <v>108</v>
      </c>
      <c r="I82">
        <v>159</v>
      </c>
      <c r="J82">
        <v>96</v>
      </c>
    </row>
    <row r="83" spans="2:10" x14ac:dyDescent="0.35">
      <c r="B83" s="107" t="s">
        <v>12</v>
      </c>
      <c r="C83">
        <v>959</v>
      </c>
      <c r="D83">
        <v>147</v>
      </c>
      <c r="E83">
        <v>119</v>
      </c>
      <c r="F83">
        <v>160</v>
      </c>
      <c r="G83">
        <v>154</v>
      </c>
      <c r="H83">
        <v>113</v>
      </c>
      <c r="I83">
        <v>167</v>
      </c>
      <c r="J83">
        <v>99</v>
      </c>
    </row>
    <row r="84" spans="2:10" x14ac:dyDescent="0.35">
      <c r="B84" s="107" t="s">
        <v>12</v>
      </c>
      <c r="C84">
        <v>785</v>
      </c>
      <c r="D84">
        <v>98</v>
      </c>
      <c r="E84">
        <v>105</v>
      </c>
      <c r="F84">
        <v>155</v>
      </c>
      <c r="G84">
        <v>145</v>
      </c>
      <c r="H84">
        <v>97</v>
      </c>
      <c r="I84">
        <v>106</v>
      </c>
      <c r="J84">
        <v>79</v>
      </c>
    </row>
    <row r="85" spans="2:10" x14ac:dyDescent="0.35">
      <c r="B85" s="107" t="s">
        <v>12</v>
      </c>
      <c r="C85">
        <v>749</v>
      </c>
      <c r="D85">
        <v>74</v>
      </c>
      <c r="E85">
        <v>100</v>
      </c>
      <c r="F85">
        <v>145</v>
      </c>
      <c r="G85">
        <v>151</v>
      </c>
      <c r="H85">
        <v>81</v>
      </c>
      <c r="I85">
        <v>134</v>
      </c>
      <c r="J85">
        <v>64</v>
      </c>
    </row>
    <row r="86" spans="2:10" x14ac:dyDescent="0.35">
      <c r="B86" s="107" t="s">
        <v>12</v>
      </c>
      <c r="C86">
        <v>912</v>
      </c>
      <c r="D86">
        <v>93</v>
      </c>
      <c r="E86">
        <v>118</v>
      </c>
      <c r="F86">
        <v>153</v>
      </c>
      <c r="G86">
        <v>177</v>
      </c>
      <c r="H86">
        <v>101</v>
      </c>
      <c r="I86">
        <v>177</v>
      </c>
      <c r="J86">
        <v>93</v>
      </c>
    </row>
    <row r="87" spans="2:10" x14ac:dyDescent="0.35">
      <c r="B87" s="107" t="s">
        <v>13</v>
      </c>
      <c r="C87">
        <v>983</v>
      </c>
      <c r="D87">
        <v>110</v>
      </c>
      <c r="E87">
        <v>143</v>
      </c>
      <c r="F87">
        <v>176</v>
      </c>
      <c r="G87">
        <v>182</v>
      </c>
      <c r="H87">
        <v>130</v>
      </c>
      <c r="I87">
        <v>149</v>
      </c>
      <c r="J87">
        <v>93</v>
      </c>
    </row>
    <row r="88" spans="2:10" x14ac:dyDescent="0.35">
      <c r="B88" s="107" t="s">
        <v>13</v>
      </c>
      <c r="C88">
        <v>967</v>
      </c>
      <c r="D88">
        <v>100</v>
      </c>
      <c r="E88">
        <v>129</v>
      </c>
      <c r="F88">
        <v>196</v>
      </c>
      <c r="G88">
        <v>188</v>
      </c>
      <c r="H88">
        <v>109</v>
      </c>
      <c r="I88">
        <v>161</v>
      </c>
      <c r="J88">
        <v>84</v>
      </c>
    </row>
    <row r="89" spans="2:10" x14ac:dyDescent="0.35">
      <c r="B89" s="107" t="s">
        <v>13</v>
      </c>
      <c r="C89">
        <v>879</v>
      </c>
      <c r="D89">
        <v>116</v>
      </c>
      <c r="E89">
        <v>131</v>
      </c>
      <c r="F89">
        <v>160</v>
      </c>
      <c r="G89">
        <v>174</v>
      </c>
      <c r="H89">
        <v>91</v>
      </c>
      <c r="I89">
        <v>123</v>
      </c>
      <c r="J89">
        <v>84</v>
      </c>
    </row>
    <row r="90" spans="2:10" x14ac:dyDescent="0.35">
      <c r="B90" s="107" t="s">
        <v>13</v>
      </c>
      <c r="C90">
        <v>845</v>
      </c>
      <c r="D90">
        <v>78</v>
      </c>
      <c r="E90">
        <v>115</v>
      </c>
      <c r="F90">
        <v>174</v>
      </c>
      <c r="G90">
        <v>166</v>
      </c>
      <c r="H90">
        <v>104</v>
      </c>
      <c r="I90">
        <v>133</v>
      </c>
      <c r="J90">
        <v>75</v>
      </c>
    </row>
    <row r="91" spans="2:10" x14ac:dyDescent="0.35">
      <c r="B91" s="107" t="s">
        <v>13</v>
      </c>
      <c r="C91">
        <v>665</v>
      </c>
      <c r="D91">
        <v>59</v>
      </c>
      <c r="E91">
        <v>98</v>
      </c>
      <c r="F91">
        <v>150</v>
      </c>
      <c r="G91">
        <v>132</v>
      </c>
      <c r="H91">
        <v>86</v>
      </c>
      <c r="I91">
        <v>93</v>
      </c>
      <c r="J91">
        <v>47</v>
      </c>
    </row>
    <row r="92" spans="2:10" x14ac:dyDescent="0.35">
      <c r="B92" s="107" t="s">
        <v>13</v>
      </c>
      <c r="C92">
        <v>729</v>
      </c>
      <c r="D92">
        <v>81</v>
      </c>
      <c r="E92">
        <v>93</v>
      </c>
      <c r="F92">
        <v>148</v>
      </c>
      <c r="G92">
        <v>159</v>
      </c>
      <c r="H92">
        <v>77</v>
      </c>
      <c r="I92">
        <v>112</v>
      </c>
      <c r="J92">
        <v>59</v>
      </c>
    </row>
    <row r="93" spans="2:10" x14ac:dyDescent="0.35">
      <c r="B93" s="107" t="s">
        <v>13</v>
      </c>
      <c r="C93">
        <v>893</v>
      </c>
      <c r="D93">
        <v>87</v>
      </c>
      <c r="E93">
        <v>103</v>
      </c>
      <c r="F93">
        <v>161</v>
      </c>
      <c r="G93">
        <v>179</v>
      </c>
      <c r="H93">
        <v>111</v>
      </c>
      <c r="I93">
        <v>161</v>
      </c>
      <c r="J93">
        <v>91</v>
      </c>
    </row>
    <row r="94" spans="2:10" x14ac:dyDescent="0.35">
      <c r="B94" s="107" t="s">
        <v>14</v>
      </c>
      <c r="C94">
        <v>933</v>
      </c>
      <c r="D94">
        <v>104</v>
      </c>
      <c r="E94">
        <v>122</v>
      </c>
      <c r="F94">
        <v>166</v>
      </c>
      <c r="G94">
        <v>173</v>
      </c>
      <c r="H94">
        <v>122</v>
      </c>
      <c r="I94">
        <v>155</v>
      </c>
      <c r="J94">
        <v>91</v>
      </c>
    </row>
    <row r="95" spans="2:10" x14ac:dyDescent="0.35">
      <c r="B95" s="107" t="s">
        <v>14</v>
      </c>
      <c r="C95">
        <v>942</v>
      </c>
      <c r="D95">
        <v>97</v>
      </c>
      <c r="E95">
        <v>138</v>
      </c>
      <c r="F95">
        <v>181</v>
      </c>
      <c r="G95">
        <v>184</v>
      </c>
      <c r="H95">
        <v>118</v>
      </c>
      <c r="I95">
        <v>146</v>
      </c>
      <c r="J95">
        <v>78</v>
      </c>
    </row>
    <row r="96" spans="2:10" x14ac:dyDescent="0.35">
      <c r="B96" s="107" t="s">
        <v>14</v>
      </c>
      <c r="C96">
        <v>993</v>
      </c>
      <c r="D96">
        <v>114</v>
      </c>
      <c r="E96">
        <v>128</v>
      </c>
      <c r="F96">
        <v>179</v>
      </c>
      <c r="G96">
        <v>173</v>
      </c>
      <c r="H96">
        <v>135</v>
      </c>
      <c r="I96">
        <v>177</v>
      </c>
      <c r="J96">
        <v>87</v>
      </c>
    </row>
    <row r="97" spans="2:10" x14ac:dyDescent="0.35">
      <c r="B97" s="107" t="s">
        <v>14</v>
      </c>
      <c r="C97">
        <v>947</v>
      </c>
      <c r="D97">
        <v>105</v>
      </c>
      <c r="E97">
        <v>123</v>
      </c>
      <c r="F97">
        <v>182</v>
      </c>
      <c r="G97">
        <v>184</v>
      </c>
      <c r="H97">
        <v>125</v>
      </c>
      <c r="I97">
        <v>136</v>
      </c>
      <c r="J97">
        <v>92</v>
      </c>
    </row>
    <row r="98" spans="2:10" x14ac:dyDescent="0.35">
      <c r="B98" s="107" t="s">
        <v>14</v>
      </c>
      <c r="C98">
        <v>750</v>
      </c>
      <c r="D98">
        <v>79</v>
      </c>
      <c r="E98">
        <v>92</v>
      </c>
      <c r="F98">
        <v>163</v>
      </c>
      <c r="G98">
        <v>154</v>
      </c>
      <c r="H98">
        <v>93</v>
      </c>
      <c r="I98">
        <v>107</v>
      </c>
      <c r="J98">
        <v>62</v>
      </c>
    </row>
    <row r="99" spans="2:10" x14ac:dyDescent="0.35">
      <c r="B99" s="107" t="s">
        <v>14</v>
      </c>
      <c r="C99">
        <v>743</v>
      </c>
      <c r="D99">
        <v>68</v>
      </c>
      <c r="E99">
        <v>99</v>
      </c>
      <c r="F99">
        <v>137</v>
      </c>
      <c r="G99">
        <v>154</v>
      </c>
      <c r="H99">
        <v>108</v>
      </c>
      <c r="I99">
        <v>119</v>
      </c>
      <c r="J99">
        <v>58</v>
      </c>
    </row>
    <row r="100" spans="2:10" x14ac:dyDescent="0.35">
      <c r="B100" s="107" t="s">
        <v>14</v>
      </c>
      <c r="C100">
        <v>874</v>
      </c>
      <c r="D100">
        <v>90</v>
      </c>
      <c r="E100">
        <v>107</v>
      </c>
      <c r="F100">
        <v>164</v>
      </c>
      <c r="G100">
        <v>160</v>
      </c>
      <c r="H100">
        <v>117</v>
      </c>
      <c r="I100">
        <v>146</v>
      </c>
      <c r="J100">
        <v>90</v>
      </c>
    </row>
  </sheetData>
  <phoneticPr fontId="20"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361EE5-90C8-4C38-AF9B-29A20374E358}">
  <dimension ref="C1:CE18"/>
  <sheetViews>
    <sheetView topLeftCell="BP1" zoomScale="60" zoomScaleNormal="60" workbookViewId="0">
      <selection activeCell="C3" sqref="C3"/>
    </sheetView>
  </sheetViews>
  <sheetFormatPr defaultRowHeight="14.5" x14ac:dyDescent="0.35"/>
  <cols>
    <col min="3" max="3" width="14" bestFit="1" customWidth="1"/>
    <col min="4" max="4" width="50.453125" bestFit="1" customWidth="1"/>
    <col min="5" max="5" width="68.7265625" bestFit="1" customWidth="1"/>
    <col min="8" max="8" width="50.453125" bestFit="1" customWidth="1"/>
    <col min="9" max="9" width="16.7265625" bestFit="1" customWidth="1"/>
    <col min="10" max="10" width="8.54296875" bestFit="1" customWidth="1"/>
    <col min="11" max="11" width="9.81640625" bestFit="1" customWidth="1"/>
    <col min="12" max="12" width="25.7265625" bestFit="1" customWidth="1"/>
    <col min="13" max="13" width="12" bestFit="1" customWidth="1"/>
    <col min="14" max="14" width="11.1796875" bestFit="1" customWidth="1"/>
    <col min="15" max="15" width="11.81640625" bestFit="1" customWidth="1"/>
    <col min="16" max="16" width="10.7265625" bestFit="1" customWidth="1"/>
    <col min="21" max="21" width="8.1796875" customWidth="1"/>
    <col min="31" max="31" width="14" bestFit="1" customWidth="1"/>
    <col min="32" max="32" width="53.7265625" bestFit="1" customWidth="1"/>
    <col min="33" max="33" width="72.1796875" bestFit="1" customWidth="1"/>
    <col min="34" max="34" width="53.7265625" bestFit="1" customWidth="1"/>
    <col min="35" max="35" width="72.1796875" bestFit="1" customWidth="1"/>
    <col min="36" max="36" width="53.7265625" bestFit="1" customWidth="1"/>
    <col min="37" max="37" width="72.1796875" bestFit="1" customWidth="1"/>
    <col min="38" max="38" width="53.7265625" bestFit="1" customWidth="1"/>
    <col min="39" max="39" width="72.1796875" bestFit="1" customWidth="1"/>
    <col min="40" max="40" width="53.7265625" bestFit="1" customWidth="1"/>
    <col min="41" max="41" width="72.1796875" bestFit="1" customWidth="1"/>
    <col min="42" max="42" width="53.7265625" bestFit="1" customWidth="1"/>
    <col min="43" max="43" width="72.1796875" bestFit="1" customWidth="1"/>
    <col min="44" max="44" width="53.7265625" bestFit="1" customWidth="1"/>
    <col min="45" max="45" width="72.1796875" bestFit="1" customWidth="1"/>
    <col min="46" max="46" width="58.453125" bestFit="1" customWidth="1"/>
    <col min="47" max="47" width="76.7265625" bestFit="1" customWidth="1"/>
    <col min="63" max="63" width="68.7265625" bestFit="1" customWidth="1"/>
    <col min="64" max="64" width="16.7265625" bestFit="1" customWidth="1"/>
    <col min="65" max="65" width="8.54296875" bestFit="1" customWidth="1"/>
    <col min="66" max="66" width="9.81640625" bestFit="1" customWidth="1"/>
    <col min="67" max="67" width="25.7265625" bestFit="1" customWidth="1"/>
    <col min="68" max="68" width="12" bestFit="1" customWidth="1"/>
    <col min="69" max="69" width="11.1796875" bestFit="1" customWidth="1"/>
    <col min="70" max="70" width="11.81640625" bestFit="1" customWidth="1"/>
    <col min="71" max="71" width="10.7265625" bestFit="1" customWidth="1"/>
  </cols>
  <sheetData>
    <row r="1" spans="3:83" x14ac:dyDescent="0.35">
      <c r="AX1" s="173" t="s">
        <v>404</v>
      </c>
      <c r="AY1" s="173"/>
      <c r="AZ1" s="173"/>
      <c r="BA1" s="173"/>
      <c r="BB1" s="173"/>
      <c r="BC1" s="173"/>
      <c r="BD1" s="173"/>
      <c r="BE1" s="173"/>
      <c r="BF1" s="173"/>
    </row>
    <row r="3" spans="3:83" x14ac:dyDescent="0.35">
      <c r="C3" s="15" t="s">
        <v>129</v>
      </c>
      <c r="D3" t="s" vm="3">
        <v>130</v>
      </c>
      <c r="H3" s="15" t="s">
        <v>129</v>
      </c>
      <c r="I3" t="s" vm="3">
        <v>130</v>
      </c>
      <c r="AE3" s="15" t="s">
        <v>129</v>
      </c>
      <c r="AF3" t="s" vm="3">
        <v>130</v>
      </c>
      <c r="AY3" t="s">
        <v>132</v>
      </c>
      <c r="AZ3" t="s">
        <v>21</v>
      </c>
      <c r="BA3" t="s">
        <v>22</v>
      </c>
      <c r="BB3" t="s">
        <v>25</v>
      </c>
      <c r="BC3" t="s">
        <v>27</v>
      </c>
      <c r="BD3" t="s">
        <v>28</v>
      </c>
      <c r="BE3" t="s">
        <v>133</v>
      </c>
      <c r="BF3" t="s">
        <v>37</v>
      </c>
      <c r="BK3" s="15" t="s">
        <v>129</v>
      </c>
      <c r="BL3" t="s" vm="3">
        <v>130</v>
      </c>
    </row>
    <row r="4" spans="3:83" x14ac:dyDescent="0.35">
      <c r="U4" t="s">
        <v>132</v>
      </c>
      <c r="V4" t="s">
        <v>21</v>
      </c>
      <c r="W4" t="s">
        <v>22</v>
      </c>
      <c r="X4" t="s">
        <v>25</v>
      </c>
      <c r="Y4" t="s">
        <v>27</v>
      </c>
      <c r="Z4" t="s">
        <v>28</v>
      </c>
      <c r="AA4" t="s">
        <v>133</v>
      </c>
      <c r="AB4" t="s">
        <v>37</v>
      </c>
      <c r="AW4">
        <v>1</v>
      </c>
      <c r="AX4" s="8" t="s">
        <v>1</v>
      </c>
      <c r="AY4" s="2">
        <f>(VLOOKUP($AW4,$AE$8:$AU$1048576,17,FALSE)/VLOOKUP($AW4,$AE$8:$AU$1048576,16,FALSE))</f>
        <v>0.54901870843026113</v>
      </c>
      <c r="AZ4" s="2">
        <f>(VLOOKUP($AW4,$AE$8:$AU$1048576,5,FALSE)/VLOOKUP($AW4,$AE$8:$AU$1048576,4,FALSE))</f>
        <v>0.51154474867184307</v>
      </c>
      <c r="BA4" s="2">
        <f>(VLOOKUP($AW4,$AE$8:$AU$1048576,7,FALSE)/VLOOKUP($AW4,$AE$8:$AU$1048576,6,FALSE))</f>
        <v>0.53128054740957964</v>
      </c>
      <c r="BB4" s="2">
        <f>(VLOOKUP($AW4,$AE$8:$AU$1048576,9,FALSE)/VLOOKUP($AW4,$AE$8:$AU$1048576,8,FALSE))</f>
        <v>0.54208137894215003</v>
      </c>
      <c r="BC4" s="2">
        <f>(VLOOKUP($AW4,$AE$8:$AU$1048576,13,FALSE)/VLOOKUP($AW4,$AE$8:$AU$1048576,12,FALSE))</f>
        <v>0.6048885521751266</v>
      </c>
      <c r="BD4" s="2">
        <f>(VLOOKUP($AW4,$AE$8:$AU$1048576,15,FALSE)/VLOOKUP($AW4,$AE$8:$AU$1048576,14,FALSE))</f>
        <v>0.58621227887617067</v>
      </c>
      <c r="BE4" s="2">
        <f>(VLOOKUP($AW4,$AE$8:$AU$1048576,3,FALSE)/VLOOKUP($AW4,$AE$8:$AU$1048576,2,FALSE))</f>
        <v>0.375</v>
      </c>
      <c r="BF4" s="2">
        <f>(VLOOKUP($AW4,$AE$8:$AU$1048576,11,FALSE)/VLOOKUP($AW4,$AE$8:$AU$1048576,10,FALSE))</f>
        <v>0.61963217372036339</v>
      </c>
      <c r="BX4" t="s">
        <v>132</v>
      </c>
      <c r="BY4" t="s">
        <v>21</v>
      </c>
      <c r="BZ4" t="s">
        <v>22</v>
      </c>
      <c r="CA4" t="s">
        <v>25</v>
      </c>
      <c r="CB4" t="s">
        <v>27</v>
      </c>
      <c r="CC4" t="s">
        <v>28</v>
      </c>
      <c r="CD4" t="s">
        <v>133</v>
      </c>
      <c r="CE4" t="s">
        <v>37</v>
      </c>
    </row>
    <row r="5" spans="3:83" x14ac:dyDescent="0.35">
      <c r="C5" s="15" t="s">
        <v>134</v>
      </c>
      <c r="D5" t="s">
        <v>405</v>
      </c>
      <c r="E5" t="s">
        <v>406</v>
      </c>
      <c r="H5" s="15" t="s">
        <v>405</v>
      </c>
      <c r="I5" s="15" t="s">
        <v>136</v>
      </c>
      <c r="S5">
        <v>1</v>
      </c>
      <c r="T5" s="8" t="s">
        <v>1</v>
      </c>
      <c r="U5" s="115">
        <f>VLOOKUP($S5,$H$7:$P$1048576,9,0)/7</f>
        <v>21800.714285714286</v>
      </c>
      <c r="V5" s="115">
        <f>VLOOKUP($S5,$H$7:$P$1048576,3,0)/7</f>
        <v>2796.5714285714284</v>
      </c>
      <c r="W5" s="115">
        <f>VLOOKUP($S5,$H$7:$P$1048576,4,0)/7</f>
        <v>3799.7142857142858</v>
      </c>
      <c r="X5" s="115">
        <f>VLOOKUP($S5,$H$7:$P$1048576,5,0)/7</f>
        <v>3746.1428571428573</v>
      </c>
      <c r="Y5" s="115">
        <f>VLOOKUP($S5,$H$7:$P$1048576,7,0)/7</f>
        <v>3582.7142857142858</v>
      </c>
      <c r="Z5" s="115">
        <f>VLOOKUP($S5,$H$7:$P$1048576,8,0)/7</f>
        <v>2745.7142857142858</v>
      </c>
      <c r="AA5" s="115">
        <f>VLOOKUP($S5,$H$7:$P$1048576,2,0)/7</f>
        <v>1906.2857142857142</v>
      </c>
      <c r="AB5" s="115">
        <f>VLOOKUP($S5,$H$7:$P$1048576,6,0)/7</f>
        <v>3223.5714285714284</v>
      </c>
      <c r="AC5" s="2"/>
      <c r="AF5" s="15" t="s">
        <v>136</v>
      </c>
      <c r="AW5">
        <v>2</v>
      </c>
      <c r="AX5" s="8" t="s">
        <v>2</v>
      </c>
      <c r="AY5" s="2">
        <f t="shared" ref="AY5:AY17" si="0">(VLOOKUP($AW5,$AE$8:$AU$1048576,17,FALSE)/VLOOKUP($AW5,$AE$8:$AU$1048576,16,FALSE))</f>
        <v>0.55071475882114629</v>
      </c>
      <c r="AZ5" s="2">
        <f t="shared" ref="AZ5:AZ17" si="1">(VLOOKUP($AW5,$AE$8:$AU$1048576,5,FALSE)/VLOOKUP($AW5,$AE$8:$AU$1048576,4,FALSE))</f>
        <v>0.53502906976744191</v>
      </c>
      <c r="BA5" s="2">
        <f t="shared" ref="BA5:BA17" si="2">(VLOOKUP($AW5,$AE$8:$AU$1048576,7,FALSE)/VLOOKUP($AW5,$AE$8:$AU$1048576,6,FALSE))</f>
        <v>0.53634648868253043</v>
      </c>
      <c r="BB5" s="2">
        <f t="shared" ref="BB5:BB17" si="3">(VLOOKUP($AW5,$AE$8:$AU$1048576,9,FALSE)/VLOOKUP($AW5,$AE$8:$AU$1048576,8,FALSE))</f>
        <v>0.54566959175887075</v>
      </c>
      <c r="BC5" s="2">
        <f t="shared" ref="BC5:BC17" si="4">(VLOOKUP($AW5,$AE$8:$AU$1048576,13,FALSE)/VLOOKUP($AW5,$AE$8:$AU$1048576,12,FALSE))</f>
        <v>0.60305248790172472</v>
      </c>
      <c r="BD5" s="2">
        <f t="shared" ref="BD5:BD17" si="5">(VLOOKUP($AW5,$AE$8:$AU$1048576,15,FALSE)/VLOOKUP($AW5,$AE$8:$AU$1048576,14,FALSE))</f>
        <v>0.58328721638074155</v>
      </c>
      <c r="BE5" s="2">
        <f t="shared" ref="BE5:BE17" si="6">(VLOOKUP($AW5,$AE$8:$AU$1048576,3,FALSE)/VLOOKUP($AW5,$AE$8:$AU$1048576,2,FALSE))</f>
        <v>0.38639781271360218</v>
      </c>
      <c r="BF5" s="2">
        <f t="shared" ref="BF5:BF17" si="7">(VLOOKUP($AW5,$AE$8:$AU$1048576,11,FALSE)/VLOOKUP($AW5,$AE$8:$AU$1048576,10,FALSE))</f>
        <v>0.61066726177192587</v>
      </c>
      <c r="BK5" s="15" t="s">
        <v>406</v>
      </c>
      <c r="BL5" s="15" t="s">
        <v>136</v>
      </c>
      <c r="BV5">
        <v>1</v>
      </c>
      <c r="BW5" s="8" t="s">
        <v>1</v>
      </c>
      <c r="BX5" s="115">
        <f>VLOOKUP($BV5,$BK$7:$BS$1048576,9,0)/7</f>
        <v>11969</v>
      </c>
      <c r="BY5" s="115">
        <f>VLOOKUP($BV5,$BK$7:$BS$1048576,3,0)/7</f>
        <v>1430.5714285714287</v>
      </c>
      <c r="BZ5" s="115">
        <f>VLOOKUP($BV5,$BK$7:$BS$1048576,4,0)/7</f>
        <v>2018.7142857142858</v>
      </c>
      <c r="CA5" s="115">
        <f>VLOOKUP($BV5,$BK$7:$BS$1048576,5,0)/7</f>
        <v>2030.7142857142858</v>
      </c>
      <c r="CB5" s="115">
        <f>VLOOKUP($BV5,$BK$7:$BS$1048576,7,0)/7</f>
        <v>2167.1428571428573</v>
      </c>
      <c r="CC5" s="115">
        <f>VLOOKUP($BV5,$BK$7:$BS$1048576,8,0)/7</f>
        <v>1609.5714285714287</v>
      </c>
      <c r="CD5" s="115">
        <f>VLOOKUP($BV5,$BK$7:$BS$1048576,2,0)/7</f>
        <v>714.85714285714289</v>
      </c>
      <c r="CE5" s="115">
        <f>VLOOKUP($BV5,$BK$7:$BS$1048576,6,0)/7</f>
        <v>1997.4285714285713</v>
      </c>
    </row>
    <row r="6" spans="3:83" x14ac:dyDescent="0.35">
      <c r="C6" s="16">
        <v>1</v>
      </c>
      <c r="D6" s="22">
        <v>152605</v>
      </c>
      <c r="E6" s="22">
        <v>83783</v>
      </c>
      <c r="H6" s="15" t="s">
        <v>134</v>
      </c>
      <c r="I6" t="s">
        <v>407</v>
      </c>
      <c r="J6" t="s">
        <v>408</v>
      </c>
      <c r="K6" t="s">
        <v>409</v>
      </c>
      <c r="L6" t="s">
        <v>410</v>
      </c>
      <c r="M6" t="s">
        <v>411</v>
      </c>
      <c r="N6" t="s">
        <v>412</v>
      </c>
      <c r="O6" t="s">
        <v>413</v>
      </c>
      <c r="P6" t="s">
        <v>139</v>
      </c>
      <c r="S6">
        <v>2</v>
      </c>
      <c r="T6" s="8" t="s">
        <v>2</v>
      </c>
      <c r="U6" s="115">
        <f t="shared" ref="U6:U18" si="8">VLOOKUP($S6,$H$7:$P$1048576,9,0)/7</f>
        <v>22215.285714285714</v>
      </c>
      <c r="V6" s="115">
        <f t="shared" ref="V6:V18" si="9">VLOOKUP($S6,$H$7:$P$1048576,3,0)/7</f>
        <v>2948.5714285714284</v>
      </c>
      <c r="W6" s="115">
        <f t="shared" ref="W6:W18" si="10">VLOOKUP($S6,$H$7:$P$1048576,4,0)/7</f>
        <v>3938.2857142857142</v>
      </c>
      <c r="X6" s="115">
        <f t="shared" ref="X6:X18" si="11">VLOOKUP($S6,$H$7:$P$1048576,5,0)/7</f>
        <v>3744.2857142857142</v>
      </c>
      <c r="Y6" s="115">
        <f t="shared" ref="Y6:Y18" si="12">VLOOKUP($S6,$H$7:$P$1048576,7,0)/7</f>
        <v>3453.8571428571427</v>
      </c>
      <c r="Z6" s="115">
        <f t="shared" ref="Z6:Z18" si="13">VLOOKUP($S6,$H$7:$P$1048576,8,0)/7</f>
        <v>2839.5714285714284</v>
      </c>
      <c r="AA6" s="115">
        <f t="shared" ref="AA6:AA18" si="14">VLOOKUP($S6,$H$7:$P$1048576,2,0)/7</f>
        <v>2090</v>
      </c>
      <c r="AB6" s="115">
        <f t="shared" ref="AB6:AB18" si="15">VLOOKUP($S6,$H$7:$P$1048576,6,0)/7</f>
        <v>3200.7142857142858</v>
      </c>
      <c r="AC6" s="2"/>
      <c r="AF6" t="s">
        <v>407</v>
      </c>
      <c r="AH6" t="s">
        <v>408</v>
      </c>
      <c r="AJ6" t="s">
        <v>409</v>
      </c>
      <c r="AL6" t="s">
        <v>410</v>
      </c>
      <c r="AN6" t="s">
        <v>411</v>
      </c>
      <c r="AP6" t="s">
        <v>412</v>
      </c>
      <c r="AR6" t="s">
        <v>413</v>
      </c>
      <c r="AT6" t="s">
        <v>414</v>
      </c>
      <c r="AU6" t="s">
        <v>415</v>
      </c>
      <c r="AW6">
        <v>3</v>
      </c>
      <c r="AX6" s="8" t="s">
        <v>3</v>
      </c>
      <c r="AY6" s="2">
        <f t="shared" si="0"/>
        <v>0.55669386714267499</v>
      </c>
      <c r="AZ6" s="2">
        <f t="shared" si="1"/>
        <v>0.5484899933117251</v>
      </c>
      <c r="BA6" s="2">
        <f t="shared" si="2"/>
        <v>0.5363370015721024</v>
      </c>
      <c r="BB6" s="2">
        <f t="shared" si="3"/>
        <v>0.54021164021164025</v>
      </c>
      <c r="BC6" s="2">
        <f t="shared" si="4"/>
        <v>0.60041857844321023</v>
      </c>
      <c r="BD6" s="2">
        <f t="shared" si="5"/>
        <v>0.57272588909745825</v>
      </c>
      <c r="BE6" s="2">
        <f t="shared" si="6"/>
        <v>0.39369150268995506</v>
      </c>
      <c r="BF6" s="2">
        <f t="shared" si="7"/>
        <v>0.63616242102297882</v>
      </c>
      <c r="BK6" s="15" t="s">
        <v>134</v>
      </c>
      <c r="BL6" t="s">
        <v>407</v>
      </c>
      <c r="BM6" t="s">
        <v>408</v>
      </c>
      <c r="BN6" t="s">
        <v>409</v>
      </c>
      <c r="BO6" t="s">
        <v>410</v>
      </c>
      <c r="BP6" t="s">
        <v>411</v>
      </c>
      <c r="BQ6" t="s">
        <v>412</v>
      </c>
      <c r="BR6" t="s">
        <v>413</v>
      </c>
      <c r="BS6" t="s">
        <v>139</v>
      </c>
      <c r="BV6">
        <v>2</v>
      </c>
      <c r="BW6" s="8" t="s">
        <v>2</v>
      </c>
      <c r="BX6" s="115">
        <f t="shared" ref="BX6:BX18" si="16">VLOOKUP($BV6,$BK$7:$BS$1048576,9,0)/7</f>
        <v>12234.285714285714</v>
      </c>
      <c r="BY6" s="115">
        <f t="shared" ref="BY6:BY18" si="17">VLOOKUP($BV6,$BK$7:$BS$1048576,3,0)/7</f>
        <v>1577.5714285714287</v>
      </c>
      <c r="BZ6" s="115">
        <f t="shared" ref="BZ6:BZ16" si="18">VLOOKUP($BV6,$BK$7:$BS$1048576,4,0)/7</f>
        <v>2112.2857142857142</v>
      </c>
      <c r="CA6" s="115">
        <f t="shared" ref="CA6:CA18" si="19">VLOOKUP($BV6,$BK$7:$BS$1048576,5,0)/7</f>
        <v>2043.1428571428571</v>
      </c>
      <c r="CB6" s="115">
        <f t="shared" ref="CB6:CB18" si="20">VLOOKUP($BV6,$BK$7:$BS$1048576,7,0)/7</f>
        <v>2082.8571428571427</v>
      </c>
      <c r="CC6" s="115">
        <f t="shared" ref="CC6:CC18" si="21">VLOOKUP($BV6,$BK$7:$BS$1048576,8,0)/7</f>
        <v>1656.2857142857142</v>
      </c>
      <c r="CD6" s="115">
        <f t="shared" ref="CD6:CD18" si="22">VLOOKUP($BV6,$BK$7:$BS$1048576,2,0)/7</f>
        <v>807.57142857142856</v>
      </c>
      <c r="CE6" s="115">
        <f t="shared" ref="CE6:CE18" si="23">VLOOKUP($BV6,$BK$7:$BS$1048576,6,0)/7</f>
        <v>1954.5714285714287</v>
      </c>
    </row>
    <row r="7" spans="3:83" x14ac:dyDescent="0.35">
      <c r="C7" s="16">
        <v>2</v>
      </c>
      <c r="D7" s="22">
        <v>155507</v>
      </c>
      <c r="E7" s="22">
        <v>85640</v>
      </c>
      <c r="H7" s="16">
        <v>1</v>
      </c>
      <c r="I7" s="22">
        <v>13344</v>
      </c>
      <c r="J7" s="22">
        <v>19576</v>
      </c>
      <c r="K7" s="22">
        <v>26598</v>
      </c>
      <c r="L7" s="22">
        <v>26223</v>
      </c>
      <c r="M7" s="22">
        <v>22565</v>
      </c>
      <c r="N7" s="22">
        <v>25079</v>
      </c>
      <c r="O7" s="22">
        <v>19220</v>
      </c>
      <c r="P7" s="22">
        <v>152605</v>
      </c>
      <c r="S7">
        <v>3</v>
      </c>
      <c r="T7" s="8" t="s">
        <v>3</v>
      </c>
      <c r="U7" s="115">
        <f t="shared" si="8"/>
        <v>22408.571428571428</v>
      </c>
      <c r="V7" s="115">
        <f t="shared" si="9"/>
        <v>2776.7142857142858</v>
      </c>
      <c r="W7" s="115">
        <f t="shared" si="10"/>
        <v>3998.2857142857142</v>
      </c>
      <c r="X7" s="115">
        <f t="shared" si="11"/>
        <v>3780</v>
      </c>
      <c r="Y7" s="115">
        <f t="shared" si="12"/>
        <v>3549.4285714285716</v>
      </c>
      <c r="Z7" s="115">
        <f t="shared" si="13"/>
        <v>2815.8571428571427</v>
      </c>
      <c r="AA7" s="115">
        <f t="shared" si="14"/>
        <v>1938.4285714285713</v>
      </c>
      <c r="AB7" s="115">
        <f t="shared" si="15"/>
        <v>3549.8571428571427</v>
      </c>
      <c r="AC7" s="2"/>
      <c r="AE7" s="15" t="s">
        <v>134</v>
      </c>
      <c r="AF7" t="s">
        <v>416</v>
      </c>
      <c r="AG7" t="s">
        <v>417</v>
      </c>
      <c r="AH7" t="s">
        <v>416</v>
      </c>
      <c r="AI7" t="s">
        <v>417</v>
      </c>
      <c r="AJ7" t="s">
        <v>416</v>
      </c>
      <c r="AK7" t="s">
        <v>417</v>
      </c>
      <c r="AL7" t="s">
        <v>416</v>
      </c>
      <c r="AM7" t="s">
        <v>417</v>
      </c>
      <c r="AN7" t="s">
        <v>416</v>
      </c>
      <c r="AO7" t="s">
        <v>417</v>
      </c>
      <c r="AP7" t="s">
        <v>416</v>
      </c>
      <c r="AQ7" t="s">
        <v>417</v>
      </c>
      <c r="AR7" t="s">
        <v>416</v>
      </c>
      <c r="AS7" t="s">
        <v>417</v>
      </c>
      <c r="AW7">
        <v>4</v>
      </c>
      <c r="AX7" s="8" t="s">
        <v>4</v>
      </c>
      <c r="AY7" s="2">
        <f t="shared" si="0"/>
        <v>0.5352576876118903</v>
      </c>
      <c r="AZ7" s="2">
        <f t="shared" si="1"/>
        <v>0.50888350494649703</v>
      </c>
      <c r="BA7" s="2">
        <f t="shared" si="2"/>
        <v>0.51007570493362098</v>
      </c>
      <c r="BB7" s="2">
        <f t="shared" si="3"/>
        <v>0.51874389602584325</v>
      </c>
      <c r="BC7" s="2">
        <f t="shared" si="4"/>
        <v>0.58068777773329594</v>
      </c>
      <c r="BD7" s="2">
        <f t="shared" si="5"/>
        <v>0.5578300921187308</v>
      </c>
      <c r="BE7" s="2">
        <f t="shared" si="6"/>
        <v>0.38012555095498868</v>
      </c>
      <c r="BF7" s="2">
        <f t="shared" si="7"/>
        <v>0.63190777540408727</v>
      </c>
      <c r="BK7" s="16">
        <v>1</v>
      </c>
      <c r="BL7" s="22">
        <v>5004</v>
      </c>
      <c r="BM7" s="22">
        <v>10014</v>
      </c>
      <c r="BN7" s="22">
        <v>14131</v>
      </c>
      <c r="BO7" s="22">
        <v>14215</v>
      </c>
      <c r="BP7" s="22">
        <v>13982</v>
      </c>
      <c r="BQ7" s="22">
        <v>15170</v>
      </c>
      <c r="BR7" s="22">
        <v>11267</v>
      </c>
      <c r="BS7" s="22">
        <v>83783</v>
      </c>
      <c r="BV7">
        <v>3</v>
      </c>
      <c r="BW7" s="8" t="s">
        <v>3</v>
      </c>
      <c r="BX7" s="115">
        <f t="shared" si="16"/>
        <v>12474.714285714286</v>
      </c>
      <c r="BY7" s="115">
        <f t="shared" si="17"/>
        <v>1523</v>
      </c>
      <c r="BZ7" s="115">
        <f t="shared" si="18"/>
        <v>2144.4285714285716</v>
      </c>
      <c r="CA7" s="115">
        <f t="shared" si="19"/>
        <v>2042</v>
      </c>
      <c r="CB7" s="115">
        <f t="shared" si="20"/>
        <v>2131.1428571428573</v>
      </c>
      <c r="CC7" s="115">
        <f t="shared" si="21"/>
        <v>1612.7142857142858</v>
      </c>
      <c r="CD7" s="115">
        <f t="shared" si="22"/>
        <v>763.14285714285711</v>
      </c>
      <c r="CE7" s="115">
        <f t="shared" si="23"/>
        <v>2258.2857142857142</v>
      </c>
    </row>
    <row r="8" spans="3:83" x14ac:dyDescent="0.35">
      <c r="C8" s="16">
        <v>3</v>
      </c>
      <c r="D8" s="22">
        <v>156860</v>
      </c>
      <c r="E8" s="22">
        <v>87323</v>
      </c>
      <c r="H8" s="16">
        <v>2</v>
      </c>
      <c r="I8" s="22">
        <v>14630</v>
      </c>
      <c r="J8" s="22">
        <v>20640</v>
      </c>
      <c r="K8" s="22">
        <v>27568</v>
      </c>
      <c r="L8" s="22">
        <v>26210</v>
      </c>
      <c r="M8" s="22">
        <v>22405</v>
      </c>
      <c r="N8" s="22">
        <v>24177</v>
      </c>
      <c r="O8" s="22">
        <v>19877</v>
      </c>
      <c r="P8" s="22">
        <v>155507</v>
      </c>
      <c r="S8">
        <v>4</v>
      </c>
      <c r="T8" s="8" t="s">
        <v>4</v>
      </c>
      <c r="U8" s="115">
        <f t="shared" si="8"/>
        <v>22582.714285714286</v>
      </c>
      <c r="V8" s="115">
        <f t="shared" si="9"/>
        <v>2830.2857142857142</v>
      </c>
      <c r="W8" s="115">
        <f t="shared" si="10"/>
        <v>3906.1428571428573</v>
      </c>
      <c r="X8" s="115">
        <f t="shared" si="11"/>
        <v>3803.1428571428573</v>
      </c>
      <c r="Y8" s="115">
        <f t="shared" si="12"/>
        <v>3568.4285714285716</v>
      </c>
      <c r="Z8" s="115">
        <f t="shared" si="13"/>
        <v>2791.4285714285716</v>
      </c>
      <c r="AA8" s="115">
        <f t="shared" si="14"/>
        <v>2139.1428571428573</v>
      </c>
      <c r="AB8" s="115">
        <f t="shared" si="15"/>
        <v>3544.1428571428573</v>
      </c>
      <c r="AC8" s="2"/>
      <c r="AE8" s="16">
        <v>1</v>
      </c>
      <c r="AF8" s="22">
        <v>146.63736263736263</v>
      </c>
      <c r="AG8" s="22">
        <v>54.989010989010985</v>
      </c>
      <c r="AH8" s="22">
        <v>155.36507936507937</v>
      </c>
      <c r="AI8" s="22">
        <v>79.476190476190482</v>
      </c>
      <c r="AJ8" s="22">
        <v>189.98571428571429</v>
      </c>
      <c r="AK8" s="22">
        <v>100.93571428571428</v>
      </c>
      <c r="AL8" s="22">
        <v>178.38775510204081</v>
      </c>
      <c r="AM8" s="22">
        <v>96.700680272108841</v>
      </c>
      <c r="AN8" s="22">
        <v>189.62184873949579</v>
      </c>
      <c r="AO8" s="22">
        <v>117.49579831932773</v>
      </c>
      <c r="AP8" s="22">
        <v>210.74789915966386</v>
      </c>
      <c r="AQ8" s="22">
        <v>127.47899159663865</v>
      </c>
      <c r="AR8" s="22">
        <v>211.20879120879121</v>
      </c>
      <c r="AS8" s="22">
        <v>123.81318681318682</v>
      </c>
      <c r="AT8" s="22">
        <v>183.19927971188474</v>
      </c>
      <c r="AU8" s="22">
        <v>100.5798319327731</v>
      </c>
      <c r="AW8">
        <v>5</v>
      </c>
      <c r="AX8" s="8" t="s">
        <v>5</v>
      </c>
      <c r="AY8" s="2">
        <f t="shared" si="0"/>
        <v>0.56987357176661479</v>
      </c>
      <c r="AZ8" s="2">
        <f t="shared" si="1"/>
        <v>0.55438316667689103</v>
      </c>
      <c r="BA8" s="2">
        <f t="shared" si="2"/>
        <v>0.55318219543091773</v>
      </c>
      <c r="BB8" s="2">
        <f t="shared" si="3"/>
        <v>0.54151111111111117</v>
      </c>
      <c r="BC8" s="2">
        <f t="shared" si="4"/>
        <v>0.6235908715974704</v>
      </c>
      <c r="BD8" s="2">
        <f t="shared" si="5"/>
        <v>0.5880444577951337</v>
      </c>
      <c r="BE8" s="2">
        <f t="shared" si="6"/>
        <v>0.40359790122428585</v>
      </c>
      <c r="BF8" s="2">
        <f t="shared" si="7"/>
        <v>0.65552956899432002</v>
      </c>
      <c r="BK8" s="16">
        <v>2</v>
      </c>
      <c r="BL8" s="22">
        <v>5653</v>
      </c>
      <c r="BM8" s="22">
        <v>11043</v>
      </c>
      <c r="BN8" s="22">
        <v>14786</v>
      </c>
      <c r="BO8" s="22">
        <v>14302</v>
      </c>
      <c r="BP8" s="22">
        <v>13682</v>
      </c>
      <c r="BQ8" s="22">
        <v>14580</v>
      </c>
      <c r="BR8" s="22">
        <v>11594</v>
      </c>
      <c r="BS8" s="22">
        <v>85640</v>
      </c>
      <c r="BV8">
        <v>4</v>
      </c>
      <c r="BW8" s="8" t="s">
        <v>4</v>
      </c>
      <c r="BX8" s="115">
        <f t="shared" si="16"/>
        <v>12087.571428571429</v>
      </c>
      <c r="BY8" s="115">
        <f t="shared" si="17"/>
        <v>1440.2857142857142</v>
      </c>
      <c r="BZ8" s="115">
        <f t="shared" si="18"/>
        <v>1992.4285714285713</v>
      </c>
      <c r="CA8" s="115">
        <f t="shared" si="19"/>
        <v>1972.8571428571429</v>
      </c>
      <c r="CB8" s="115">
        <f t="shared" si="20"/>
        <v>2072.1428571428573</v>
      </c>
      <c r="CC8" s="115">
        <f t="shared" si="21"/>
        <v>1557.1428571428571</v>
      </c>
      <c r="CD8" s="115">
        <f t="shared" si="22"/>
        <v>813.14285714285711</v>
      </c>
      <c r="CE8" s="115">
        <f t="shared" si="23"/>
        <v>2239.5714285714284</v>
      </c>
    </row>
    <row r="9" spans="3:83" x14ac:dyDescent="0.35">
      <c r="C9" s="16">
        <v>4</v>
      </c>
      <c r="D9" s="22">
        <v>158079</v>
      </c>
      <c r="E9" s="22">
        <v>84613</v>
      </c>
      <c r="H9" s="16">
        <v>3</v>
      </c>
      <c r="I9" s="22">
        <v>13569</v>
      </c>
      <c r="J9" s="22">
        <v>19437</v>
      </c>
      <c r="K9" s="22">
        <v>27988</v>
      </c>
      <c r="L9" s="22">
        <v>26460</v>
      </c>
      <c r="M9" s="22">
        <v>24849</v>
      </c>
      <c r="N9" s="22">
        <v>24846</v>
      </c>
      <c r="O9" s="22">
        <v>19711</v>
      </c>
      <c r="P9" s="22">
        <v>156860</v>
      </c>
      <c r="S9">
        <v>5</v>
      </c>
      <c r="T9" s="8" t="s">
        <v>5</v>
      </c>
      <c r="U9" s="115">
        <f t="shared" si="8"/>
        <v>19017</v>
      </c>
      <c r="V9" s="115">
        <f t="shared" si="9"/>
        <v>2328.7142857142858</v>
      </c>
      <c r="W9" s="115">
        <f t="shared" si="10"/>
        <v>3270.4285714285716</v>
      </c>
      <c r="X9" s="115">
        <f t="shared" si="11"/>
        <v>3214.2857142857142</v>
      </c>
      <c r="Y9" s="115">
        <f t="shared" si="12"/>
        <v>3117.4285714285716</v>
      </c>
      <c r="Z9" s="115">
        <f t="shared" si="13"/>
        <v>2377.8571428571427</v>
      </c>
      <c r="AA9" s="115">
        <f t="shared" si="14"/>
        <v>1715.2857142857142</v>
      </c>
      <c r="AB9" s="115">
        <f t="shared" si="15"/>
        <v>2993</v>
      </c>
      <c r="AC9" s="2"/>
      <c r="AE9" s="16">
        <v>2</v>
      </c>
      <c r="AF9" s="22">
        <v>160.76923076923077</v>
      </c>
      <c r="AG9" s="22">
        <v>62.120879120879124</v>
      </c>
      <c r="AH9" s="22">
        <v>163.8095238095238</v>
      </c>
      <c r="AI9" s="22">
        <v>87.642857142857139</v>
      </c>
      <c r="AJ9" s="22">
        <v>196.91428571428571</v>
      </c>
      <c r="AK9" s="22">
        <v>105.61428571428571</v>
      </c>
      <c r="AL9" s="22">
        <v>178.29931972789115</v>
      </c>
      <c r="AM9" s="22">
        <v>97.292517006802726</v>
      </c>
      <c r="AN9" s="22">
        <v>188.27731092436974</v>
      </c>
      <c r="AO9" s="22">
        <v>114.97478991596638</v>
      </c>
      <c r="AP9" s="22">
        <v>203.16806722689077</v>
      </c>
      <c r="AQ9" s="22">
        <v>122.52100840336135</v>
      </c>
      <c r="AR9" s="22">
        <v>218.42857142857142</v>
      </c>
      <c r="AS9" s="22">
        <v>127.4065934065934</v>
      </c>
      <c r="AT9" s="22">
        <v>186.68307322929172</v>
      </c>
      <c r="AU9" s="22">
        <v>102.80912364945978</v>
      </c>
      <c r="AW9">
        <v>6</v>
      </c>
      <c r="AX9" s="8" t="s">
        <v>6</v>
      </c>
      <c r="AY9" s="2">
        <f t="shared" si="0"/>
        <v>0.5897900871904338</v>
      </c>
      <c r="AZ9" s="2">
        <f t="shared" si="1"/>
        <v>0.58837031369548576</v>
      </c>
      <c r="BA9" s="2">
        <f t="shared" si="2"/>
        <v>0.56905006272094882</v>
      </c>
      <c r="BB9" s="2">
        <f t="shared" si="3"/>
        <v>0.57436344887760771</v>
      </c>
      <c r="BC9" s="2">
        <f t="shared" si="4"/>
        <v>0.63886898992878516</v>
      </c>
      <c r="BD9" s="2">
        <f t="shared" si="5"/>
        <v>0.60774729317775678</v>
      </c>
      <c r="BE9" s="2">
        <f t="shared" si="6"/>
        <v>0.42122708039492246</v>
      </c>
      <c r="BF9" s="2">
        <f t="shared" si="7"/>
        <v>0.67108917000925639</v>
      </c>
      <c r="BK9" s="16">
        <v>3</v>
      </c>
      <c r="BL9" s="22">
        <v>5342</v>
      </c>
      <c r="BM9" s="22">
        <v>10661</v>
      </c>
      <c r="BN9" s="22">
        <v>15011</v>
      </c>
      <c r="BO9" s="22">
        <v>14294</v>
      </c>
      <c r="BP9" s="22">
        <v>15808</v>
      </c>
      <c r="BQ9" s="22">
        <v>14918</v>
      </c>
      <c r="BR9" s="22">
        <v>11289</v>
      </c>
      <c r="BS9" s="22">
        <v>87323</v>
      </c>
      <c r="BV9">
        <v>5</v>
      </c>
      <c r="BW9" s="8" t="s">
        <v>5</v>
      </c>
      <c r="BX9" s="115">
        <f t="shared" si="16"/>
        <v>10837.285714285714</v>
      </c>
      <c r="BY9" s="115">
        <f t="shared" si="17"/>
        <v>1291</v>
      </c>
      <c r="BZ9" s="115">
        <f t="shared" si="18"/>
        <v>1809.1428571428571</v>
      </c>
      <c r="CA9" s="115">
        <f t="shared" si="19"/>
        <v>1740.5714285714287</v>
      </c>
      <c r="CB9" s="115">
        <f t="shared" si="20"/>
        <v>1944</v>
      </c>
      <c r="CC9" s="115">
        <f t="shared" si="21"/>
        <v>1398.2857142857142</v>
      </c>
      <c r="CD9" s="115">
        <f t="shared" si="22"/>
        <v>692.28571428571433</v>
      </c>
      <c r="CE9" s="115">
        <f t="shared" si="23"/>
        <v>1962</v>
      </c>
    </row>
    <row r="10" spans="3:83" x14ac:dyDescent="0.35">
      <c r="C10" s="16">
        <v>5</v>
      </c>
      <c r="D10" s="22">
        <v>133119</v>
      </c>
      <c r="E10" s="22">
        <v>75861</v>
      </c>
      <c r="H10" s="16">
        <v>4</v>
      </c>
      <c r="I10" s="22">
        <v>14974</v>
      </c>
      <c r="J10" s="22">
        <v>19812</v>
      </c>
      <c r="K10" s="22">
        <v>27343</v>
      </c>
      <c r="L10" s="22">
        <v>26622</v>
      </c>
      <c r="M10" s="22">
        <v>24809</v>
      </c>
      <c r="N10" s="22">
        <v>24979</v>
      </c>
      <c r="O10" s="22">
        <v>19540</v>
      </c>
      <c r="P10" s="22">
        <v>158079</v>
      </c>
      <c r="S10">
        <v>6</v>
      </c>
      <c r="T10" s="8" t="s">
        <v>6</v>
      </c>
      <c r="U10" s="115">
        <f t="shared" si="8"/>
        <v>21349</v>
      </c>
      <c r="V10" s="115">
        <f t="shared" si="9"/>
        <v>2614</v>
      </c>
      <c r="W10" s="115">
        <f t="shared" si="10"/>
        <v>3758.1428571428573</v>
      </c>
      <c r="X10" s="115">
        <f t="shared" si="11"/>
        <v>3602</v>
      </c>
      <c r="Y10" s="115">
        <f t="shared" si="12"/>
        <v>3390.1428571428573</v>
      </c>
      <c r="Z10" s="115">
        <f t="shared" si="13"/>
        <v>2718</v>
      </c>
      <c r="AA10" s="115">
        <f t="shared" si="14"/>
        <v>2025.7142857142858</v>
      </c>
      <c r="AB10" s="115">
        <f t="shared" si="15"/>
        <v>3241</v>
      </c>
      <c r="AC10" s="2"/>
      <c r="AE10" s="16">
        <v>3</v>
      </c>
      <c r="AF10" s="22">
        <v>149.1098901098901</v>
      </c>
      <c r="AG10" s="22">
        <v>58.703296703296701</v>
      </c>
      <c r="AH10" s="22">
        <v>154.26190476190476</v>
      </c>
      <c r="AI10" s="22">
        <v>84.611111111111114</v>
      </c>
      <c r="AJ10" s="22">
        <v>199.91428571428571</v>
      </c>
      <c r="AK10" s="22">
        <v>107.22142857142858</v>
      </c>
      <c r="AL10" s="22">
        <v>180</v>
      </c>
      <c r="AM10" s="22">
        <v>97.238095238095241</v>
      </c>
      <c r="AN10" s="22">
        <v>208.81512605042016</v>
      </c>
      <c r="AO10" s="22">
        <v>132.84033613445379</v>
      </c>
      <c r="AP10" s="22">
        <v>208.78991596638656</v>
      </c>
      <c r="AQ10" s="22">
        <v>125.36134453781513</v>
      </c>
      <c r="AR10" s="22">
        <v>216.60439560439559</v>
      </c>
      <c r="AS10" s="22">
        <v>124.05494505494505</v>
      </c>
      <c r="AT10" s="22">
        <v>188.30732292917168</v>
      </c>
      <c r="AU10" s="22">
        <v>104.82953181272509</v>
      </c>
      <c r="AW10">
        <v>7</v>
      </c>
      <c r="AX10" s="8" t="s">
        <v>7</v>
      </c>
      <c r="AY10" s="2">
        <f t="shared" si="0"/>
        <v>0.58080823498525547</v>
      </c>
      <c r="AZ10" s="2">
        <f t="shared" si="1"/>
        <v>0.55898179776332413</v>
      </c>
      <c r="BA10" s="2">
        <f t="shared" si="2"/>
        <v>0.56048094530629167</v>
      </c>
      <c r="BB10" s="2">
        <f t="shared" si="3"/>
        <v>0.58542426587082275</v>
      </c>
      <c r="BC10" s="2">
        <f t="shared" si="4"/>
        <v>0.61488835664065511</v>
      </c>
      <c r="BD10" s="2">
        <f t="shared" si="5"/>
        <v>0.60564689763163049</v>
      </c>
      <c r="BE10" s="2">
        <f t="shared" si="6"/>
        <v>0.41417395306028526</v>
      </c>
      <c r="BF10" s="2">
        <f t="shared" si="7"/>
        <v>0.66444901415265512</v>
      </c>
      <c r="BK10" s="16">
        <v>4</v>
      </c>
      <c r="BL10" s="22">
        <v>5692</v>
      </c>
      <c r="BM10" s="22">
        <v>10082</v>
      </c>
      <c r="BN10" s="22">
        <v>13947</v>
      </c>
      <c r="BO10" s="22">
        <v>13810</v>
      </c>
      <c r="BP10" s="22">
        <v>15677</v>
      </c>
      <c r="BQ10" s="22">
        <v>14505</v>
      </c>
      <c r="BR10" s="22">
        <v>10900</v>
      </c>
      <c r="BS10" s="22">
        <v>84613</v>
      </c>
      <c r="BV10">
        <v>6</v>
      </c>
      <c r="BW10" s="8" t="s">
        <v>6</v>
      </c>
      <c r="BX10" s="115">
        <f t="shared" si="16"/>
        <v>12591.428571428571</v>
      </c>
      <c r="BY10" s="115">
        <f t="shared" si="17"/>
        <v>1538</v>
      </c>
      <c r="BZ10" s="115">
        <f t="shared" si="18"/>
        <v>2138.5714285714284</v>
      </c>
      <c r="CA10" s="115">
        <f t="shared" si="19"/>
        <v>2068.8571428571427</v>
      </c>
      <c r="CB10" s="115">
        <f t="shared" si="20"/>
        <v>2165.8571428571427</v>
      </c>
      <c r="CC10" s="115">
        <f t="shared" si="21"/>
        <v>1651.8571428571429</v>
      </c>
      <c r="CD10" s="115">
        <f t="shared" si="22"/>
        <v>853.28571428571433</v>
      </c>
      <c r="CE10" s="115">
        <f t="shared" si="23"/>
        <v>2175</v>
      </c>
    </row>
    <row r="11" spans="3:83" x14ac:dyDescent="0.35">
      <c r="C11" s="16">
        <v>6</v>
      </c>
      <c r="D11" s="22">
        <v>149443</v>
      </c>
      <c r="E11" s="22">
        <v>88140</v>
      </c>
      <c r="H11" s="16">
        <v>5</v>
      </c>
      <c r="I11" s="22">
        <v>12007</v>
      </c>
      <c r="J11" s="22">
        <v>16301</v>
      </c>
      <c r="K11" s="22">
        <v>22893</v>
      </c>
      <c r="L11" s="22">
        <v>22500</v>
      </c>
      <c r="M11" s="22">
        <v>20951</v>
      </c>
      <c r="N11" s="22">
        <v>21822</v>
      </c>
      <c r="O11" s="22">
        <v>16645</v>
      </c>
      <c r="P11" s="22">
        <v>133119</v>
      </c>
      <c r="S11">
        <v>7</v>
      </c>
      <c r="T11" s="8" t="s">
        <v>7</v>
      </c>
      <c r="U11" s="115">
        <f t="shared" si="8"/>
        <v>23398.428571428572</v>
      </c>
      <c r="V11" s="115">
        <f t="shared" si="9"/>
        <v>3053</v>
      </c>
      <c r="W11" s="115">
        <f t="shared" si="10"/>
        <v>4134.7142857142853</v>
      </c>
      <c r="X11" s="115">
        <f t="shared" si="11"/>
        <v>3877.2857142857142</v>
      </c>
      <c r="Y11" s="115">
        <f t="shared" si="12"/>
        <v>3698</v>
      </c>
      <c r="Z11" s="115">
        <f t="shared" si="13"/>
        <v>2919.4285714285716</v>
      </c>
      <c r="AA11" s="115">
        <f t="shared" si="14"/>
        <v>2173</v>
      </c>
      <c r="AB11" s="115">
        <f t="shared" si="15"/>
        <v>3543</v>
      </c>
      <c r="AC11" s="2"/>
      <c r="AE11" s="16">
        <v>4</v>
      </c>
      <c r="AF11" s="22">
        <v>164.54945054945054</v>
      </c>
      <c r="AG11" s="22">
        <v>62.549450549450547</v>
      </c>
      <c r="AH11" s="22">
        <v>157.23809523809524</v>
      </c>
      <c r="AI11" s="22">
        <v>80.015873015873012</v>
      </c>
      <c r="AJ11" s="22">
        <v>195.30714285714285</v>
      </c>
      <c r="AK11" s="22">
        <v>99.621428571428567</v>
      </c>
      <c r="AL11" s="22">
        <v>181.10204081632654</v>
      </c>
      <c r="AM11" s="22">
        <v>93.945578231292515</v>
      </c>
      <c r="AN11" s="22">
        <v>208.47899159663865</v>
      </c>
      <c r="AO11" s="22">
        <v>131.73949579831933</v>
      </c>
      <c r="AP11" s="22">
        <v>209.9075630252101</v>
      </c>
      <c r="AQ11" s="22">
        <v>121.89075630252101</v>
      </c>
      <c r="AR11" s="22">
        <v>214.72527472527472</v>
      </c>
      <c r="AS11" s="22">
        <v>119.78021978021978</v>
      </c>
      <c r="AT11" s="22">
        <v>189.77070828331333</v>
      </c>
      <c r="AU11" s="22">
        <v>101.57623049219688</v>
      </c>
      <c r="AW11">
        <v>8</v>
      </c>
      <c r="AX11" s="8" t="s">
        <v>8</v>
      </c>
      <c r="AY11" s="2">
        <f t="shared" si="0"/>
        <v>0.58585198796173643</v>
      </c>
      <c r="AZ11" s="2">
        <f t="shared" si="1"/>
        <v>0.5801349953195053</v>
      </c>
      <c r="BA11" s="2">
        <f t="shared" si="2"/>
        <v>0.57299183521360575</v>
      </c>
      <c r="BB11" s="2">
        <f t="shared" si="3"/>
        <v>0.56603910736352403</v>
      </c>
      <c r="BC11" s="2">
        <f t="shared" si="4"/>
        <v>0.61751927668401907</v>
      </c>
      <c r="BD11" s="2">
        <f t="shared" si="5"/>
        <v>0.61164333087693434</v>
      </c>
      <c r="BE11" s="2">
        <f t="shared" si="6"/>
        <v>0.432634244529576</v>
      </c>
      <c r="BF11" s="2">
        <f t="shared" si="7"/>
        <v>0.6679243784256097</v>
      </c>
      <c r="BK11" s="16">
        <v>5</v>
      </c>
      <c r="BL11" s="22">
        <v>4846</v>
      </c>
      <c r="BM11" s="22">
        <v>9037</v>
      </c>
      <c r="BN11" s="22">
        <v>12664</v>
      </c>
      <c r="BO11" s="22">
        <v>12184</v>
      </c>
      <c r="BP11" s="22">
        <v>13734</v>
      </c>
      <c r="BQ11" s="22">
        <v>13608</v>
      </c>
      <c r="BR11" s="22">
        <v>9788</v>
      </c>
      <c r="BS11" s="22">
        <v>75861</v>
      </c>
      <c r="BV11">
        <v>7</v>
      </c>
      <c r="BW11" s="8" t="s">
        <v>7</v>
      </c>
      <c r="BX11" s="115">
        <f t="shared" si="16"/>
        <v>13590</v>
      </c>
      <c r="BY11" s="115">
        <f t="shared" si="17"/>
        <v>1706.5714285714287</v>
      </c>
      <c r="BZ11" s="115">
        <f t="shared" si="18"/>
        <v>2317.4285714285716</v>
      </c>
      <c r="CA11" s="115">
        <f t="shared" si="19"/>
        <v>2269.8571428571427</v>
      </c>
      <c r="CB11" s="115">
        <f t="shared" si="20"/>
        <v>2273.8571428571427</v>
      </c>
      <c r="CC11" s="115">
        <f t="shared" si="21"/>
        <v>1768.1428571428571</v>
      </c>
      <c r="CD11" s="115">
        <f t="shared" si="22"/>
        <v>900</v>
      </c>
      <c r="CE11" s="115">
        <f t="shared" si="23"/>
        <v>2354.1428571428573</v>
      </c>
    </row>
    <row r="12" spans="3:83" x14ac:dyDescent="0.35">
      <c r="C12" s="16">
        <v>7</v>
      </c>
      <c r="D12" s="22">
        <v>163789</v>
      </c>
      <c r="E12" s="22">
        <v>95130</v>
      </c>
      <c r="H12" s="16">
        <v>6</v>
      </c>
      <c r="I12" s="22">
        <v>14180</v>
      </c>
      <c r="J12" s="22">
        <v>18298</v>
      </c>
      <c r="K12" s="22">
        <v>26307</v>
      </c>
      <c r="L12" s="22">
        <v>25214</v>
      </c>
      <c r="M12" s="22">
        <v>22687</v>
      </c>
      <c r="N12" s="22">
        <v>23731</v>
      </c>
      <c r="O12" s="22">
        <v>19026</v>
      </c>
      <c r="P12" s="22">
        <v>149443</v>
      </c>
      <c r="S12">
        <v>8</v>
      </c>
      <c r="T12" s="8" t="s">
        <v>8</v>
      </c>
      <c r="U12" s="115">
        <f t="shared" si="8"/>
        <v>23401.571428571428</v>
      </c>
      <c r="V12" s="115">
        <f t="shared" si="9"/>
        <v>2899.5714285714284</v>
      </c>
      <c r="W12" s="115">
        <f t="shared" si="10"/>
        <v>4216.7142857142853</v>
      </c>
      <c r="X12" s="115">
        <f t="shared" si="11"/>
        <v>3930.5714285714284</v>
      </c>
      <c r="Y12" s="115">
        <f t="shared" si="12"/>
        <v>3649.8571428571427</v>
      </c>
      <c r="Z12" s="115">
        <f t="shared" si="13"/>
        <v>2907.8571428571427</v>
      </c>
      <c r="AA12" s="115">
        <f t="shared" si="14"/>
        <v>2200.1428571428573</v>
      </c>
      <c r="AB12" s="115">
        <f t="shared" si="15"/>
        <v>3596.8571428571427</v>
      </c>
      <c r="AC12" s="2"/>
      <c r="AE12" s="16">
        <v>5</v>
      </c>
      <c r="AF12" s="22">
        <v>131.94505494505495</v>
      </c>
      <c r="AG12" s="22">
        <v>53.252747252747255</v>
      </c>
      <c r="AH12" s="22">
        <v>129.37301587301587</v>
      </c>
      <c r="AI12" s="22">
        <v>71.722222222222229</v>
      </c>
      <c r="AJ12" s="22">
        <v>163.52142857142857</v>
      </c>
      <c r="AK12" s="22">
        <v>90.457142857142856</v>
      </c>
      <c r="AL12" s="22">
        <v>153.0612244897959</v>
      </c>
      <c r="AM12" s="22">
        <v>82.884353741496597</v>
      </c>
      <c r="AN12" s="22">
        <v>176.05882352941177</v>
      </c>
      <c r="AO12" s="22">
        <v>115.41176470588235</v>
      </c>
      <c r="AP12" s="22">
        <v>183.37815126050421</v>
      </c>
      <c r="AQ12" s="22">
        <v>114.35294117647059</v>
      </c>
      <c r="AR12" s="22">
        <v>182.91208791208791</v>
      </c>
      <c r="AS12" s="22">
        <v>107.56043956043956</v>
      </c>
      <c r="AT12" s="22">
        <v>159.80672268907563</v>
      </c>
      <c r="AU12" s="22">
        <v>91.069627851140453</v>
      </c>
      <c r="AW12">
        <v>9</v>
      </c>
      <c r="AX12" s="8" t="s">
        <v>9</v>
      </c>
      <c r="AY12" s="2" t="e">
        <f t="shared" si="0"/>
        <v>#N/A</v>
      </c>
      <c r="AZ12" s="2" t="e">
        <f t="shared" si="1"/>
        <v>#N/A</v>
      </c>
      <c r="BA12" s="2" t="e">
        <f t="shared" si="2"/>
        <v>#N/A</v>
      </c>
      <c r="BB12" s="2" t="e">
        <f t="shared" si="3"/>
        <v>#N/A</v>
      </c>
      <c r="BC12" s="2" t="e">
        <f t="shared" si="4"/>
        <v>#N/A</v>
      </c>
      <c r="BD12" s="2" t="e">
        <f t="shared" si="5"/>
        <v>#N/A</v>
      </c>
      <c r="BE12" s="2" t="e">
        <f t="shared" si="6"/>
        <v>#N/A</v>
      </c>
      <c r="BF12" s="2" t="e">
        <f t="shared" si="7"/>
        <v>#N/A</v>
      </c>
      <c r="BK12" s="16">
        <v>6</v>
      </c>
      <c r="BL12" s="22">
        <v>5973</v>
      </c>
      <c r="BM12" s="22">
        <v>10766</v>
      </c>
      <c r="BN12" s="22">
        <v>14970</v>
      </c>
      <c r="BO12" s="22">
        <v>14482</v>
      </c>
      <c r="BP12" s="22">
        <v>15225</v>
      </c>
      <c r="BQ12" s="22">
        <v>15161</v>
      </c>
      <c r="BR12" s="22">
        <v>11563</v>
      </c>
      <c r="BS12" s="22">
        <v>88140</v>
      </c>
      <c r="BV12">
        <v>8</v>
      </c>
      <c r="BW12" s="8" t="s">
        <v>8</v>
      </c>
      <c r="BX12" s="115">
        <f t="shared" si="16"/>
        <v>13709.857142857143</v>
      </c>
      <c r="BY12" s="115">
        <f t="shared" si="17"/>
        <v>1682.1428571428571</v>
      </c>
      <c r="BZ12" s="115">
        <f t="shared" si="18"/>
        <v>2416.1428571428573</v>
      </c>
      <c r="CA12" s="115">
        <f t="shared" si="19"/>
        <v>2224.8571428571427</v>
      </c>
      <c r="CB12" s="115">
        <f t="shared" si="20"/>
        <v>2253.8571428571427</v>
      </c>
      <c r="CC12" s="115">
        <f t="shared" si="21"/>
        <v>1778.5714285714287</v>
      </c>
      <c r="CD12" s="115">
        <f t="shared" si="22"/>
        <v>951.85714285714289</v>
      </c>
      <c r="CE12" s="115">
        <f t="shared" si="23"/>
        <v>2402.4285714285716</v>
      </c>
    </row>
    <row r="13" spans="3:83" x14ac:dyDescent="0.35">
      <c r="C13" s="16">
        <v>8</v>
      </c>
      <c r="D13" s="22">
        <v>163811</v>
      </c>
      <c r="E13" s="22">
        <v>95969</v>
      </c>
      <c r="H13" s="16">
        <v>7</v>
      </c>
      <c r="I13" s="22">
        <v>15211</v>
      </c>
      <c r="J13" s="22">
        <v>21371</v>
      </c>
      <c r="K13" s="22">
        <v>28943</v>
      </c>
      <c r="L13" s="22">
        <v>27141</v>
      </c>
      <c r="M13" s="22">
        <v>24801</v>
      </c>
      <c r="N13" s="22">
        <v>25886</v>
      </c>
      <c r="O13" s="22">
        <v>20436</v>
      </c>
      <c r="P13" s="22">
        <v>163789</v>
      </c>
      <c r="S13">
        <v>9</v>
      </c>
      <c r="T13" s="8" t="s">
        <v>9</v>
      </c>
      <c r="U13" s="115" t="e">
        <f t="shared" si="8"/>
        <v>#N/A</v>
      </c>
      <c r="V13" s="115" t="e">
        <f t="shared" si="9"/>
        <v>#N/A</v>
      </c>
      <c r="W13" s="115" t="e">
        <f t="shared" si="10"/>
        <v>#N/A</v>
      </c>
      <c r="X13" s="115" t="e">
        <f t="shared" si="11"/>
        <v>#N/A</v>
      </c>
      <c r="Y13" s="115" t="e">
        <f t="shared" si="12"/>
        <v>#N/A</v>
      </c>
      <c r="Z13" s="115" t="e">
        <f t="shared" si="13"/>
        <v>#N/A</v>
      </c>
      <c r="AA13" s="115" t="e">
        <f t="shared" si="14"/>
        <v>#N/A</v>
      </c>
      <c r="AB13" s="115" t="e">
        <f t="shared" si="15"/>
        <v>#N/A</v>
      </c>
      <c r="AC13" s="2"/>
      <c r="AE13" s="16">
        <v>6</v>
      </c>
      <c r="AF13" s="22">
        <v>155.82417582417582</v>
      </c>
      <c r="AG13" s="22">
        <v>65.637362637362642</v>
      </c>
      <c r="AH13" s="22">
        <v>145.22222222222223</v>
      </c>
      <c r="AI13" s="22">
        <v>85.444444444444443</v>
      </c>
      <c r="AJ13" s="22">
        <v>187.90714285714284</v>
      </c>
      <c r="AK13" s="22">
        <v>106.92857142857143</v>
      </c>
      <c r="AL13" s="22">
        <v>171.52380952380952</v>
      </c>
      <c r="AM13" s="22">
        <v>98.517006802721085</v>
      </c>
      <c r="AN13" s="22">
        <v>190.64705882352942</v>
      </c>
      <c r="AO13" s="22">
        <v>127.94117647058823</v>
      </c>
      <c r="AP13" s="22">
        <v>199.42016806722688</v>
      </c>
      <c r="AQ13" s="22">
        <v>127.40336134453781</v>
      </c>
      <c r="AR13" s="22">
        <v>209.07692307692307</v>
      </c>
      <c r="AS13" s="22">
        <v>127.06593406593407</v>
      </c>
      <c r="AT13" s="22">
        <v>179.40336134453781</v>
      </c>
      <c r="AU13" s="22">
        <v>105.81032412965186</v>
      </c>
      <c r="AW13">
        <v>10</v>
      </c>
      <c r="AX13" s="8" t="s">
        <v>10</v>
      </c>
      <c r="AY13" s="2" t="e">
        <f t="shared" si="0"/>
        <v>#N/A</v>
      </c>
      <c r="AZ13" s="2" t="e">
        <f t="shared" si="1"/>
        <v>#N/A</v>
      </c>
      <c r="BA13" s="2" t="e">
        <f t="shared" si="2"/>
        <v>#N/A</v>
      </c>
      <c r="BB13" s="2" t="e">
        <f t="shared" si="3"/>
        <v>#N/A</v>
      </c>
      <c r="BC13" s="2" t="e">
        <f t="shared" si="4"/>
        <v>#N/A</v>
      </c>
      <c r="BD13" s="2" t="e">
        <f t="shared" si="5"/>
        <v>#N/A</v>
      </c>
      <c r="BE13" s="2" t="e">
        <f t="shared" si="6"/>
        <v>#N/A</v>
      </c>
      <c r="BF13" s="2" t="e">
        <f t="shared" si="7"/>
        <v>#N/A</v>
      </c>
      <c r="BK13" s="16">
        <v>7</v>
      </c>
      <c r="BL13" s="22">
        <v>6300</v>
      </c>
      <c r="BM13" s="22">
        <v>11946</v>
      </c>
      <c r="BN13" s="22">
        <v>16222</v>
      </c>
      <c r="BO13" s="22">
        <v>15889</v>
      </c>
      <c r="BP13" s="22">
        <v>16479</v>
      </c>
      <c r="BQ13" s="22">
        <v>15917</v>
      </c>
      <c r="BR13" s="22">
        <v>12377</v>
      </c>
      <c r="BS13" s="22">
        <v>95130</v>
      </c>
      <c r="BV13">
        <v>9</v>
      </c>
      <c r="BW13" s="8" t="s">
        <v>9</v>
      </c>
      <c r="BX13" s="115" t="e">
        <f t="shared" si="16"/>
        <v>#N/A</v>
      </c>
      <c r="BY13" s="115" t="e">
        <f t="shared" si="17"/>
        <v>#N/A</v>
      </c>
      <c r="BZ13" s="115" t="e">
        <f t="shared" si="18"/>
        <v>#N/A</v>
      </c>
      <c r="CA13" s="115" t="e">
        <f t="shared" si="19"/>
        <v>#N/A</v>
      </c>
      <c r="CB13" s="115" t="e">
        <f t="shared" si="20"/>
        <v>#N/A</v>
      </c>
      <c r="CC13" s="115" t="e">
        <f t="shared" si="21"/>
        <v>#N/A</v>
      </c>
      <c r="CD13" s="115" t="e">
        <f t="shared" si="22"/>
        <v>#N/A</v>
      </c>
      <c r="CE13" s="115" t="e">
        <f t="shared" si="23"/>
        <v>#N/A</v>
      </c>
    </row>
    <row r="14" spans="3:83" x14ac:dyDescent="0.35">
      <c r="C14" s="16" t="s">
        <v>139</v>
      </c>
      <c r="D14" s="22">
        <v>1233213</v>
      </c>
      <c r="E14" s="22">
        <v>696459</v>
      </c>
      <c r="H14" s="16">
        <v>8</v>
      </c>
      <c r="I14" s="22">
        <v>15401</v>
      </c>
      <c r="J14" s="22">
        <v>20297</v>
      </c>
      <c r="K14" s="22">
        <v>29517</v>
      </c>
      <c r="L14" s="22">
        <v>27514</v>
      </c>
      <c r="M14" s="22">
        <v>25178</v>
      </c>
      <c r="N14" s="22">
        <v>25549</v>
      </c>
      <c r="O14" s="22">
        <v>20355</v>
      </c>
      <c r="P14" s="22">
        <v>163811</v>
      </c>
      <c r="S14">
        <v>10</v>
      </c>
      <c r="T14" s="8" t="s">
        <v>10</v>
      </c>
      <c r="U14" s="115" t="e">
        <f t="shared" si="8"/>
        <v>#N/A</v>
      </c>
      <c r="V14" s="115" t="e">
        <f t="shared" si="9"/>
        <v>#N/A</v>
      </c>
      <c r="W14" s="115" t="e">
        <f t="shared" si="10"/>
        <v>#N/A</v>
      </c>
      <c r="X14" s="115" t="e">
        <f t="shared" si="11"/>
        <v>#N/A</v>
      </c>
      <c r="Y14" s="115" t="e">
        <f t="shared" si="12"/>
        <v>#N/A</v>
      </c>
      <c r="Z14" s="115" t="e">
        <f t="shared" si="13"/>
        <v>#N/A</v>
      </c>
      <c r="AA14" s="115" t="e">
        <f t="shared" si="14"/>
        <v>#N/A</v>
      </c>
      <c r="AB14" s="115" t="e">
        <f t="shared" si="15"/>
        <v>#N/A</v>
      </c>
      <c r="AC14" s="2"/>
      <c r="AE14" s="16">
        <v>7</v>
      </c>
      <c r="AF14" s="22">
        <v>167.15384615384616</v>
      </c>
      <c r="AG14" s="22">
        <v>69.230769230769226</v>
      </c>
      <c r="AH14" s="22">
        <v>169.61111111111111</v>
      </c>
      <c r="AI14" s="22">
        <v>94.80952380952381</v>
      </c>
      <c r="AJ14" s="22">
        <v>206.73571428571429</v>
      </c>
      <c r="AK14" s="22">
        <v>115.87142857142857</v>
      </c>
      <c r="AL14" s="22">
        <v>184.63265306122449</v>
      </c>
      <c r="AM14" s="22">
        <v>108.08843537414965</v>
      </c>
      <c r="AN14" s="22">
        <v>208.41176470588235</v>
      </c>
      <c r="AO14" s="22">
        <v>138.47899159663865</v>
      </c>
      <c r="AP14" s="22">
        <v>217.52941176470588</v>
      </c>
      <c r="AQ14" s="22">
        <v>133.75630252100839</v>
      </c>
      <c r="AR14" s="22">
        <v>224.57142857142858</v>
      </c>
      <c r="AS14" s="22">
        <v>136.01098901098902</v>
      </c>
      <c r="AT14" s="22">
        <v>196.62545018007202</v>
      </c>
      <c r="AU14" s="22">
        <v>114.20168067226891</v>
      </c>
      <c r="AW14">
        <v>11</v>
      </c>
      <c r="AX14" s="8" t="s">
        <v>11</v>
      </c>
      <c r="AY14" s="2" t="e">
        <f t="shared" si="0"/>
        <v>#N/A</v>
      </c>
      <c r="AZ14" s="2" t="e">
        <f t="shared" si="1"/>
        <v>#N/A</v>
      </c>
      <c r="BA14" s="2" t="e">
        <f t="shared" si="2"/>
        <v>#N/A</v>
      </c>
      <c r="BB14" s="2" t="e">
        <f t="shared" si="3"/>
        <v>#N/A</v>
      </c>
      <c r="BC14" s="2" t="e">
        <f t="shared" si="4"/>
        <v>#N/A</v>
      </c>
      <c r="BD14" s="2" t="e">
        <f t="shared" si="5"/>
        <v>#N/A</v>
      </c>
      <c r="BE14" s="2" t="e">
        <f t="shared" si="6"/>
        <v>#N/A</v>
      </c>
      <c r="BF14" s="2" t="e">
        <f t="shared" si="7"/>
        <v>#N/A</v>
      </c>
      <c r="BK14" s="16">
        <v>8</v>
      </c>
      <c r="BL14" s="22">
        <v>6663</v>
      </c>
      <c r="BM14" s="22">
        <v>11775</v>
      </c>
      <c r="BN14" s="22">
        <v>16913</v>
      </c>
      <c r="BO14" s="22">
        <v>15574</v>
      </c>
      <c r="BP14" s="22">
        <v>16817</v>
      </c>
      <c r="BQ14" s="22">
        <v>15777</v>
      </c>
      <c r="BR14" s="22">
        <v>12450</v>
      </c>
      <c r="BS14" s="22">
        <v>95969</v>
      </c>
      <c r="BV14">
        <v>10</v>
      </c>
      <c r="BW14" s="8" t="s">
        <v>10</v>
      </c>
      <c r="BX14" s="115" t="e">
        <f t="shared" si="16"/>
        <v>#N/A</v>
      </c>
      <c r="BY14" s="115" t="e">
        <f t="shared" si="17"/>
        <v>#N/A</v>
      </c>
      <c r="BZ14" s="115" t="e">
        <f t="shared" si="18"/>
        <v>#N/A</v>
      </c>
      <c r="CA14" s="115" t="e">
        <f t="shared" si="19"/>
        <v>#N/A</v>
      </c>
      <c r="CB14" s="115" t="e">
        <f t="shared" si="20"/>
        <v>#N/A</v>
      </c>
      <c r="CC14" s="115" t="e">
        <f t="shared" si="21"/>
        <v>#N/A</v>
      </c>
      <c r="CD14" s="115" t="e">
        <f t="shared" si="22"/>
        <v>#N/A</v>
      </c>
      <c r="CE14" s="115" t="e">
        <f t="shared" si="23"/>
        <v>#N/A</v>
      </c>
    </row>
    <row r="15" spans="3:83" x14ac:dyDescent="0.35">
      <c r="H15" s="16" t="s">
        <v>139</v>
      </c>
      <c r="I15" s="22">
        <v>113316</v>
      </c>
      <c r="J15" s="22">
        <v>155732</v>
      </c>
      <c r="K15" s="22">
        <v>217157</v>
      </c>
      <c r="L15" s="22">
        <v>207884</v>
      </c>
      <c r="M15" s="22">
        <v>188245</v>
      </c>
      <c r="N15" s="22">
        <v>196069</v>
      </c>
      <c r="O15" s="22">
        <v>154810</v>
      </c>
      <c r="P15" s="22">
        <v>1233213</v>
      </c>
      <c r="S15">
        <v>11</v>
      </c>
      <c r="T15" s="8" t="s">
        <v>11</v>
      </c>
      <c r="U15" s="115" t="e">
        <f t="shared" si="8"/>
        <v>#N/A</v>
      </c>
      <c r="V15" s="115" t="e">
        <f t="shared" si="9"/>
        <v>#N/A</v>
      </c>
      <c r="W15" s="115" t="e">
        <f t="shared" si="10"/>
        <v>#N/A</v>
      </c>
      <c r="X15" s="115" t="e">
        <f t="shared" si="11"/>
        <v>#N/A</v>
      </c>
      <c r="Y15" s="115" t="e">
        <f t="shared" si="12"/>
        <v>#N/A</v>
      </c>
      <c r="Z15" s="115" t="e">
        <f t="shared" si="13"/>
        <v>#N/A</v>
      </c>
      <c r="AA15" s="115" t="e">
        <f t="shared" si="14"/>
        <v>#N/A</v>
      </c>
      <c r="AB15" s="115" t="e">
        <f t="shared" si="15"/>
        <v>#N/A</v>
      </c>
      <c r="AC15" s="2"/>
      <c r="AE15" s="16">
        <v>8</v>
      </c>
      <c r="AF15" s="22">
        <v>169.24175824175825</v>
      </c>
      <c r="AG15" s="22">
        <v>73.219780219780219</v>
      </c>
      <c r="AH15" s="22">
        <v>161.0873015873016</v>
      </c>
      <c r="AI15" s="22">
        <v>93.452380952380949</v>
      </c>
      <c r="AJ15" s="22">
        <v>210.83571428571429</v>
      </c>
      <c r="AK15" s="22">
        <v>120.80714285714286</v>
      </c>
      <c r="AL15" s="22">
        <v>187.17006802721087</v>
      </c>
      <c r="AM15" s="22">
        <v>105.94557823129252</v>
      </c>
      <c r="AN15" s="22">
        <v>211.57983193277312</v>
      </c>
      <c r="AO15" s="22">
        <v>141.31932773109244</v>
      </c>
      <c r="AP15" s="22">
        <v>214.69747899159663</v>
      </c>
      <c r="AQ15" s="22">
        <v>132.57983193277312</v>
      </c>
      <c r="AR15" s="22">
        <v>223.68131868131869</v>
      </c>
      <c r="AS15" s="22">
        <v>136.8131868131868</v>
      </c>
      <c r="AT15" s="22">
        <v>196.65186074429772</v>
      </c>
      <c r="AU15" s="22">
        <v>115.20888355342137</v>
      </c>
      <c r="AW15">
        <v>12</v>
      </c>
      <c r="AX15" s="8" t="s">
        <v>12</v>
      </c>
      <c r="AY15" s="2" t="e">
        <f t="shared" si="0"/>
        <v>#N/A</v>
      </c>
      <c r="AZ15" s="2" t="e">
        <f t="shared" si="1"/>
        <v>#N/A</v>
      </c>
      <c r="BA15" s="2" t="e">
        <f t="shared" si="2"/>
        <v>#N/A</v>
      </c>
      <c r="BB15" s="2" t="e">
        <f t="shared" si="3"/>
        <v>#N/A</v>
      </c>
      <c r="BC15" s="2" t="e">
        <f t="shared" si="4"/>
        <v>#N/A</v>
      </c>
      <c r="BD15" s="2" t="e">
        <f t="shared" si="5"/>
        <v>#N/A</v>
      </c>
      <c r="BE15" s="2" t="e">
        <f t="shared" si="6"/>
        <v>#N/A</v>
      </c>
      <c r="BF15" s="2" t="e">
        <f t="shared" si="7"/>
        <v>#N/A</v>
      </c>
      <c r="BK15" s="16" t="s">
        <v>139</v>
      </c>
      <c r="BL15" s="22">
        <v>45473</v>
      </c>
      <c r="BM15" s="22">
        <v>85324</v>
      </c>
      <c r="BN15" s="22">
        <v>118644</v>
      </c>
      <c r="BO15" s="22">
        <v>114750</v>
      </c>
      <c r="BP15" s="22">
        <v>121404</v>
      </c>
      <c r="BQ15" s="22">
        <v>119636</v>
      </c>
      <c r="BR15" s="22">
        <v>91228</v>
      </c>
      <c r="BS15" s="22">
        <v>696459</v>
      </c>
      <c r="BV15">
        <v>11</v>
      </c>
      <c r="BW15" s="8" t="s">
        <v>11</v>
      </c>
      <c r="BX15" s="115" t="e">
        <f t="shared" si="16"/>
        <v>#N/A</v>
      </c>
      <c r="BY15" s="115" t="e">
        <f t="shared" si="17"/>
        <v>#N/A</v>
      </c>
      <c r="BZ15" s="115" t="e">
        <f t="shared" si="18"/>
        <v>#N/A</v>
      </c>
      <c r="CA15" s="115" t="e">
        <f t="shared" si="19"/>
        <v>#N/A</v>
      </c>
      <c r="CB15" s="115" t="e">
        <f t="shared" si="20"/>
        <v>#N/A</v>
      </c>
      <c r="CC15" s="115" t="e">
        <f t="shared" si="21"/>
        <v>#N/A</v>
      </c>
      <c r="CD15" s="115" t="e">
        <f t="shared" si="22"/>
        <v>#N/A</v>
      </c>
      <c r="CE15" s="115" t="e">
        <f t="shared" si="23"/>
        <v>#N/A</v>
      </c>
    </row>
    <row r="16" spans="3:83" x14ac:dyDescent="0.35">
      <c r="S16">
        <v>12</v>
      </c>
      <c r="T16" s="8" t="s">
        <v>12</v>
      </c>
      <c r="U16" s="115" t="e">
        <f t="shared" si="8"/>
        <v>#N/A</v>
      </c>
      <c r="V16" s="115" t="e">
        <f t="shared" si="9"/>
        <v>#N/A</v>
      </c>
      <c r="W16" s="115" t="e">
        <f t="shared" si="10"/>
        <v>#N/A</v>
      </c>
      <c r="X16" s="115" t="e">
        <f t="shared" si="11"/>
        <v>#N/A</v>
      </c>
      <c r="Y16" s="115" t="e">
        <f t="shared" si="12"/>
        <v>#N/A</v>
      </c>
      <c r="Z16" s="115" t="e">
        <f t="shared" si="13"/>
        <v>#N/A</v>
      </c>
      <c r="AA16" s="115" t="e">
        <f t="shared" si="14"/>
        <v>#N/A</v>
      </c>
      <c r="AB16" s="115" t="e">
        <f t="shared" si="15"/>
        <v>#N/A</v>
      </c>
      <c r="AC16" s="2"/>
      <c r="AE16" s="16" t="s">
        <v>139</v>
      </c>
      <c r="AF16" s="22">
        <v>155.65384615384616</v>
      </c>
      <c r="AG16" s="22">
        <v>62.462912087912088</v>
      </c>
      <c r="AH16" s="22">
        <v>154.49603174603175</v>
      </c>
      <c r="AI16" s="22">
        <v>84.646825396825392</v>
      </c>
      <c r="AJ16" s="22">
        <v>193.89017857142858</v>
      </c>
      <c r="AK16" s="22">
        <v>105.93214285714286</v>
      </c>
      <c r="AL16" s="22">
        <v>176.77210884353741</v>
      </c>
      <c r="AM16" s="22">
        <v>97.576530612244895</v>
      </c>
      <c r="AN16" s="22">
        <v>197.73634453781511</v>
      </c>
      <c r="AO16" s="22">
        <v>127.52521008403362</v>
      </c>
      <c r="AP16" s="22">
        <v>205.95483193277312</v>
      </c>
      <c r="AQ16" s="22">
        <v>125.66806722689076</v>
      </c>
      <c r="AR16" s="22">
        <v>212.65109890109889</v>
      </c>
      <c r="AS16" s="22">
        <v>125.31318681318682</v>
      </c>
      <c r="AT16" s="22">
        <v>185.05597238895558</v>
      </c>
      <c r="AU16" s="22">
        <v>104.51065426170469</v>
      </c>
      <c r="AW16">
        <v>13</v>
      </c>
      <c r="AX16" s="8" t="s">
        <v>13</v>
      </c>
      <c r="AY16" s="2" t="e">
        <f t="shared" si="0"/>
        <v>#N/A</v>
      </c>
      <c r="AZ16" s="2" t="e">
        <f t="shared" si="1"/>
        <v>#N/A</v>
      </c>
      <c r="BA16" s="2" t="e">
        <f t="shared" si="2"/>
        <v>#N/A</v>
      </c>
      <c r="BB16" s="2" t="e">
        <f t="shared" si="3"/>
        <v>#N/A</v>
      </c>
      <c r="BC16" s="2" t="e">
        <f t="shared" si="4"/>
        <v>#N/A</v>
      </c>
      <c r="BD16" s="2" t="e">
        <f t="shared" si="5"/>
        <v>#N/A</v>
      </c>
      <c r="BE16" s="2" t="e">
        <f t="shared" si="6"/>
        <v>#N/A</v>
      </c>
      <c r="BF16" s="2" t="e">
        <f t="shared" si="7"/>
        <v>#N/A</v>
      </c>
      <c r="BV16">
        <v>12</v>
      </c>
      <c r="BW16" s="8" t="s">
        <v>12</v>
      </c>
      <c r="BX16" s="115" t="e">
        <f t="shared" si="16"/>
        <v>#N/A</v>
      </c>
      <c r="BY16" s="115" t="e">
        <f t="shared" si="17"/>
        <v>#N/A</v>
      </c>
      <c r="BZ16" s="115" t="e">
        <f t="shared" si="18"/>
        <v>#N/A</v>
      </c>
      <c r="CA16" s="115" t="e">
        <f t="shared" si="19"/>
        <v>#N/A</v>
      </c>
      <c r="CB16" s="115" t="e">
        <f t="shared" si="20"/>
        <v>#N/A</v>
      </c>
      <c r="CC16" s="115" t="e">
        <f t="shared" si="21"/>
        <v>#N/A</v>
      </c>
      <c r="CD16" s="115" t="e">
        <f t="shared" si="22"/>
        <v>#N/A</v>
      </c>
      <c r="CE16" s="115" t="e">
        <f t="shared" si="23"/>
        <v>#N/A</v>
      </c>
    </row>
    <row r="17" spans="19:83" x14ac:dyDescent="0.35">
      <c r="S17">
        <v>13</v>
      </c>
      <c r="T17" s="8" t="s">
        <v>13</v>
      </c>
      <c r="U17" s="115" t="e">
        <f t="shared" si="8"/>
        <v>#N/A</v>
      </c>
      <c r="V17" s="115" t="e">
        <f t="shared" si="9"/>
        <v>#N/A</v>
      </c>
      <c r="W17" s="115" t="e">
        <f t="shared" si="10"/>
        <v>#N/A</v>
      </c>
      <c r="X17" s="115" t="e">
        <f t="shared" si="11"/>
        <v>#N/A</v>
      </c>
      <c r="Y17" s="115" t="e">
        <f t="shared" si="12"/>
        <v>#N/A</v>
      </c>
      <c r="Z17" s="115" t="e">
        <f t="shared" si="13"/>
        <v>#N/A</v>
      </c>
      <c r="AA17" s="115" t="e">
        <f t="shared" si="14"/>
        <v>#N/A</v>
      </c>
      <c r="AB17" s="115" t="e">
        <f t="shared" si="15"/>
        <v>#N/A</v>
      </c>
      <c r="AC17" s="2"/>
      <c r="AW17">
        <v>14</v>
      </c>
      <c r="AX17" s="8" t="s">
        <v>14</v>
      </c>
      <c r="AY17" s="2" t="e">
        <f t="shared" si="0"/>
        <v>#N/A</v>
      </c>
      <c r="AZ17" s="2" t="e">
        <f t="shared" si="1"/>
        <v>#N/A</v>
      </c>
      <c r="BA17" s="2" t="e">
        <f t="shared" si="2"/>
        <v>#N/A</v>
      </c>
      <c r="BB17" s="2" t="e">
        <f t="shared" si="3"/>
        <v>#N/A</v>
      </c>
      <c r="BC17" s="2" t="e">
        <f t="shared" si="4"/>
        <v>#N/A</v>
      </c>
      <c r="BD17" s="2" t="e">
        <f t="shared" si="5"/>
        <v>#N/A</v>
      </c>
      <c r="BE17" s="2" t="e">
        <f t="shared" si="6"/>
        <v>#N/A</v>
      </c>
      <c r="BF17" s="2" t="e">
        <f t="shared" si="7"/>
        <v>#N/A</v>
      </c>
      <c r="BV17">
        <v>13</v>
      </c>
      <c r="BW17" s="8" t="s">
        <v>13</v>
      </c>
      <c r="BX17" s="115" t="e">
        <f t="shared" si="16"/>
        <v>#N/A</v>
      </c>
      <c r="BY17" s="115" t="e">
        <f t="shared" si="17"/>
        <v>#N/A</v>
      </c>
      <c r="BZ17" s="115" t="e">
        <f>VLOOKUP($BV17,$BK$7:$BS$1048576,4,0)/7</f>
        <v>#N/A</v>
      </c>
      <c r="CA17" s="115" t="e">
        <f t="shared" si="19"/>
        <v>#N/A</v>
      </c>
      <c r="CB17" s="115" t="e">
        <f t="shared" si="20"/>
        <v>#N/A</v>
      </c>
      <c r="CC17" s="115" t="e">
        <f t="shared" si="21"/>
        <v>#N/A</v>
      </c>
      <c r="CD17" s="115" t="e">
        <f t="shared" si="22"/>
        <v>#N/A</v>
      </c>
      <c r="CE17" s="115" t="e">
        <f t="shared" si="23"/>
        <v>#N/A</v>
      </c>
    </row>
    <row r="18" spans="19:83" x14ac:dyDescent="0.35">
      <c r="S18">
        <v>14</v>
      </c>
      <c r="T18" s="8" t="s">
        <v>14</v>
      </c>
      <c r="U18" s="115" t="e">
        <f t="shared" si="8"/>
        <v>#N/A</v>
      </c>
      <c r="V18" s="115" t="e">
        <f t="shared" si="9"/>
        <v>#N/A</v>
      </c>
      <c r="W18" s="115" t="e">
        <f t="shared" si="10"/>
        <v>#N/A</v>
      </c>
      <c r="X18" s="115" t="e">
        <f t="shared" si="11"/>
        <v>#N/A</v>
      </c>
      <c r="Y18" s="115" t="e">
        <f t="shared" si="12"/>
        <v>#N/A</v>
      </c>
      <c r="Z18" s="115" t="e">
        <f t="shared" si="13"/>
        <v>#N/A</v>
      </c>
      <c r="AA18" s="115" t="e">
        <f t="shared" si="14"/>
        <v>#N/A</v>
      </c>
      <c r="AB18" s="115" t="e">
        <f t="shared" si="15"/>
        <v>#N/A</v>
      </c>
      <c r="BV18">
        <v>14</v>
      </c>
      <c r="BW18" s="8" t="s">
        <v>14</v>
      </c>
      <c r="BX18" s="115" t="e">
        <f t="shared" si="16"/>
        <v>#N/A</v>
      </c>
      <c r="BY18" s="115" t="e">
        <f t="shared" si="17"/>
        <v>#N/A</v>
      </c>
      <c r="BZ18" s="115" t="e">
        <f>VLOOKUP($BV18,$BK$7:$BS$1048576,4,0)/7</f>
        <v>#N/A</v>
      </c>
      <c r="CA18" s="115" t="e">
        <f t="shared" si="19"/>
        <v>#N/A</v>
      </c>
      <c r="CB18" s="115" t="e">
        <f t="shared" si="20"/>
        <v>#N/A</v>
      </c>
      <c r="CC18" s="115" t="e">
        <f t="shared" si="21"/>
        <v>#N/A</v>
      </c>
      <c r="CD18" s="115" t="e">
        <f t="shared" si="22"/>
        <v>#N/A</v>
      </c>
      <c r="CE18" s="115" t="e">
        <f t="shared" si="23"/>
        <v>#N/A</v>
      </c>
    </row>
  </sheetData>
  <mergeCells count="1">
    <mergeCell ref="AX1:BF1"/>
  </mergeCells>
  <phoneticPr fontId="20" type="noConversion"/>
  <pageMargins left="0.7" right="0.7" top="0.75" bottom="0.75" header="0.3" footer="0.3"/>
  <pageSetup paperSize="9" orientation="portrait" horizontalDpi="4294967293" verticalDpi="4294967293" r:id="rId5"/>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B2:AW17"/>
  <sheetViews>
    <sheetView zoomScale="63" zoomScaleNormal="80" workbookViewId="0">
      <selection activeCell="B2" sqref="B2"/>
    </sheetView>
  </sheetViews>
  <sheetFormatPr defaultRowHeight="14.5" x14ac:dyDescent="0.35"/>
  <cols>
    <col min="2" max="2" width="14.1796875" bestFit="1" customWidth="1"/>
    <col min="3" max="3" width="17.1796875" bestFit="1" customWidth="1"/>
    <col min="4" max="4" width="16.7265625" bestFit="1" customWidth="1"/>
    <col min="7" max="7" width="17.1796875" bestFit="1" customWidth="1"/>
    <col min="8" max="8" width="17" bestFit="1" customWidth="1"/>
    <col min="9" max="9" width="7.54296875" bestFit="1" customWidth="1"/>
    <col min="10" max="10" width="8.81640625" bestFit="1" customWidth="1"/>
    <col min="11" max="11" width="22.7265625" bestFit="1" customWidth="1"/>
    <col min="12" max="12" width="10.81640625" bestFit="1" customWidth="1"/>
    <col min="13" max="13" width="10.1796875" bestFit="1" customWidth="1"/>
    <col min="14" max="15" width="11.1796875" bestFit="1" customWidth="1"/>
    <col min="16" max="16" width="7.54296875" bestFit="1" customWidth="1"/>
    <col min="17" max="17" width="9" bestFit="1" customWidth="1"/>
    <col min="18" max="18" width="10.81640625" bestFit="1" customWidth="1"/>
    <col min="19" max="19" width="10.1796875" bestFit="1" customWidth="1"/>
    <col min="20" max="20" width="10.81640625" bestFit="1" customWidth="1"/>
    <col min="21" max="21" width="22.453125" bestFit="1" customWidth="1"/>
    <col min="22" max="22" width="22.26953125" bestFit="1" customWidth="1"/>
    <col min="30" max="30" width="16.7265625" bestFit="1" customWidth="1"/>
    <col min="31" max="31" width="17" bestFit="1" customWidth="1"/>
    <col min="32" max="32" width="7.54296875" bestFit="1" customWidth="1"/>
    <col min="33" max="33" width="8.81640625" bestFit="1" customWidth="1"/>
    <col min="34" max="34" width="22.7265625" bestFit="1" customWidth="1"/>
    <col min="35" max="35" width="10.81640625" bestFit="1" customWidth="1"/>
    <col min="36" max="36" width="10.1796875" bestFit="1" customWidth="1"/>
    <col min="37" max="38" width="11.1796875" bestFit="1" customWidth="1"/>
    <col min="39" max="39" width="17.54296875" bestFit="1" customWidth="1"/>
    <col min="40" max="40" width="17.26953125" bestFit="1" customWidth="1"/>
    <col min="41" max="41" width="17.54296875" bestFit="1" customWidth="1"/>
    <col min="42" max="42" width="17.453125" bestFit="1" customWidth="1"/>
    <col min="43" max="43" width="17.7265625" bestFit="1" customWidth="1"/>
    <col min="44" max="44" width="17.453125" bestFit="1" customWidth="1"/>
    <col min="45" max="45" width="22.54296875" bestFit="1" customWidth="1"/>
    <col min="46" max="46" width="22.453125" bestFit="1" customWidth="1"/>
    <col min="47" max="49" width="9.54296875" bestFit="1" customWidth="1"/>
  </cols>
  <sheetData>
    <row r="2" spans="2:49" x14ac:dyDescent="0.35">
      <c r="B2" s="15" t="s">
        <v>129</v>
      </c>
      <c r="C2" t="s" vm="1">
        <v>130</v>
      </c>
    </row>
    <row r="3" spans="2:49" x14ac:dyDescent="0.35">
      <c r="G3" s="15" t="s">
        <v>129</v>
      </c>
      <c r="H3" t="s" vm="1">
        <v>130</v>
      </c>
      <c r="S3" t="s">
        <v>132</v>
      </c>
      <c r="T3" t="s">
        <v>21</v>
      </c>
      <c r="U3" t="s">
        <v>22</v>
      </c>
      <c r="V3" t="s">
        <v>25</v>
      </c>
      <c r="W3" t="s">
        <v>27</v>
      </c>
      <c r="X3" t="s">
        <v>28</v>
      </c>
      <c r="Y3" t="s">
        <v>133</v>
      </c>
      <c r="Z3" t="s">
        <v>37</v>
      </c>
      <c r="AD3" s="15" t="s">
        <v>129</v>
      </c>
      <c r="AE3" t="s" vm="1">
        <v>130</v>
      </c>
      <c r="AP3" t="s">
        <v>132</v>
      </c>
      <c r="AQ3" t="s">
        <v>21</v>
      </c>
      <c r="AR3" t="s">
        <v>22</v>
      </c>
      <c r="AS3" t="s">
        <v>25</v>
      </c>
      <c r="AT3" t="s">
        <v>27</v>
      </c>
      <c r="AU3" t="s">
        <v>28</v>
      </c>
      <c r="AV3" t="s">
        <v>133</v>
      </c>
      <c r="AW3" t="s">
        <v>37</v>
      </c>
    </row>
    <row r="4" spans="2:49" x14ac:dyDescent="0.35">
      <c r="B4" s="15" t="s">
        <v>134</v>
      </c>
      <c r="C4" t="s">
        <v>418</v>
      </c>
      <c r="D4" t="s">
        <v>419</v>
      </c>
      <c r="R4" s="8" t="s">
        <v>1</v>
      </c>
      <c r="S4" s="22">
        <f>(VLOOKUP(R4,$G$7:$O$1048576,9,0))/7</f>
        <v>1059.5714285714287</v>
      </c>
      <c r="T4" s="22">
        <f>(VLOOKUP($R4,$G$7:$O$1048576,3,0))/7</f>
        <v>84.857142857142861</v>
      </c>
      <c r="U4" s="22">
        <f>(VLOOKUP($R4,$G$7:$O$1048576,4,0))/7</f>
        <v>298.57142857142856</v>
      </c>
      <c r="V4" s="22">
        <f>(VLOOKUP($R4,$G$7:$O$1048576,5,0))/7</f>
        <v>371.42857142857144</v>
      </c>
      <c r="W4" s="22">
        <f>(VLOOKUP($R4,$G$7:$O$1048576,7,0))/7</f>
        <v>94</v>
      </c>
      <c r="X4" s="22">
        <f>(VLOOKUP($R4,$G$7:$O$1048576,8,0))/7</f>
        <v>38.142857142857146</v>
      </c>
      <c r="Y4" s="22">
        <f>(VLOOKUP($R4,$G$7:$O$1048576,2,0))/7</f>
        <v>58.571428571428569</v>
      </c>
      <c r="Z4" s="22">
        <f>(VLOOKUP($R4,$G$7:$O$1048576,6,0))/7</f>
        <v>114</v>
      </c>
      <c r="AO4" s="8" t="s">
        <v>1</v>
      </c>
      <c r="AP4" s="22">
        <f>(VLOOKUP(AO4,$AD$7:$AL$1048576,9,0))/7</f>
        <v>38.571428571428569</v>
      </c>
      <c r="AQ4" s="22">
        <f>(VLOOKUP($R4,$AD$7:$AL$1048576,3,0))/7</f>
        <v>4.4285714285714288</v>
      </c>
      <c r="AR4" s="22">
        <f>(VLOOKUP($R4,$AD$7:$AL$1048576,4,0))/7</f>
        <v>9.8571428571428577</v>
      </c>
      <c r="AS4" s="22">
        <f>(VLOOKUP($R4,$AD$7:$AL$1048576,5,0))/7</f>
        <v>12</v>
      </c>
      <c r="AT4" s="22">
        <f>(VLOOKUP($R4,$AD$7:$AL$1048576,7,0))/7</f>
        <v>4</v>
      </c>
      <c r="AU4" s="22">
        <f>(VLOOKUP($R4,$AD$7:$AL$1048576,8,0))/7</f>
        <v>2</v>
      </c>
      <c r="AV4" s="22">
        <f>(VLOOKUP($R4,$AD$7:$AL$1048576,2,0))/7</f>
        <v>2.4285714285714284</v>
      </c>
      <c r="AW4" s="22">
        <f>(VLOOKUP($R4,$AD$7:$AL$1048576,6,0))/7</f>
        <v>3.8571428571428572</v>
      </c>
    </row>
    <row r="5" spans="2:49" x14ac:dyDescent="0.35">
      <c r="B5" s="16">
        <v>1</v>
      </c>
      <c r="C5">
        <v>7417</v>
      </c>
      <c r="D5">
        <v>270</v>
      </c>
      <c r="G5" s="15" t="s">
        <v>418</v>
      </c>
      <c r="H5" s="15" t="s">
        <v>136</v>
      </c>
      <c r="R5" s="8" t="s">
        <v>2</v>
      </c>
      <c r="S5" s="22">
        <f t="shared" ref="S5:S16" si="0">(VLOOKUP(R5,$G$7:$O$1048576,9,0))/7</f>
        <v>1794.8571428571429</v>
      </c>
      <c r="T5" s="22">
        <f t="shared" ref="T5:T17" si="1">(VLOOKUP($R5,$G$7:$O$1048576,3,0))/7</f>
        <v>132.85714285714286</v>
      </c>
      <c r="U5" s="22">
        <f t="shared" ref="U5:U17" si="2">(VLOOKUP($R5,$G$7:$O$1048576,4,0))/7</f>
        <v>524.42857142857144</v>
      </c>
      <c r="V5" s="22">
        <f t="shared" ref="V5:V17" si="3">(VLOOKUP($R5,$G$7:$O$1048576,5,0))/7</f>
        <v>589.28571428571433</v>
      </c>
      <c r="W5" s="22">
        <f t="shared" ref="W5:W17" si="4">(VLOOKUP($R5,$G$7:$O$1048576,7,0))/7</f>
        <v>167.28571428571428</v>
      </c>
      <c r="X5" s="22">
        <f t="shared" ref="X5:X17" si="5">(VLOOKUP($R5,$G$7:$O$1048576,8,0))/7</f>
        <v>71.428571428571431</v>
      </c>
      <c r="Y5" s="22">
        <f t="shared" ref="Y5:Y17" si="6">(VLOOKUP($R5,$G$7:$O$1048576,2,0))/7</f>
        <v>124.57142857142857</v>
      </c>
      <c r="Z5" s="22">
        <f t="shared" ref="Z5:Z17" si="7">(VLOOKUP($R5,$G$7:$O$1048576,6,0))/7</f>
        <v>185</v>
      </c>
      <c r="AD5" s="15" t="s">
        <v>419</v>
      </c>
      <c r="AE5" s="15" t="s">
        <v>136</v>
      </c>
      <c r="AO5" s="8" t="s">
        <v>2</v>
      </c>
      <c r="AP5" s="22">
        <f t="shared" ref="AP5:AP16" si="8">(VLOOKUP(AO5,$AD$7:$AL$1048576,9,0))/7</f>
        <v>65.714285714285708</v>
      </c>
      <c r="AQ5" s="22">
        <f t="shared" ref="AQ5:AQ17" si="9">(VLOOKUP($R5,$AD$7:$AL$1048576,3,0))/7</f>
        <v>12</v>
      </c>
      <c r="AR5" s="22">
        <f t="shared" ref="AR5:AR17" si="10">(VLOOKUP($R5,$AD$7:$AL$1048576,4,0))/7</f>
        <v>12.285714285714286</v>
      </c>
      <c r="AS5" s="22">
        <f t="shared" ref="AS5:AS17" si="11">(VLOOKUP($R5,$AD$7:$AL$1048576,5,0))/7</f>
        <v>18.714285714285715</v>
      </c>
      <c r="AT5" s="22">
        <f t="shared" ref="AT5:AT17" si="12">(VLOOKUP($R5,$AD$7:$AL$1048576,7,0))/7</f>
        <v>5</v>
      </c>
      <c r="AU5" s="22">
        <f t="shared" ref="AU5:AU17" si="13">(VLOOKUP($R5,$AD$7:$AL$1048576,8,0))/7</f>
        <v>9.1428571428571423</v>
      </c>
      <c r="AV5" s="22">
        <f t="shared" ref="AV5:AV17" si="14">(VLOOKUP($R5,$AD$7:$AL$1048576,2,0))/7</f>
        <v>1.8571428571428572</v>
      </c>
      <c r="AW5" s="22">
        <f t="shared" ref="AW5:AW17" si="15">(VLOOKUP($R5,$AD$7:$AL$1048576,6,0))/7</f>
        <v>6.7142857142857144</v>
      </c>
    </row>
    <row r="6" spans="2:49" x14ac:dyDescent="0.35">
      <c r="B6" s="16">
        <v>2</v>
      </c>
      <c r="C6">
        <v>12564</v>
      </c>
      <c r="D6">
        <v>460</v>
      </c>
      <c r="G6" s="15" t="s">
        <v>134</v>
      </c>
      <c r="H6" t="s">
        <v>137</v>
      </c>
      <c r="I6" t="s">
        <v>21</v>
      </c>
      <c r="J6" t="s">
        <v>22</v>
      </c>
      <c r="K6" t="s">
        <v>138</v>
      </c>
      <c r="L6" t="s">
        <v>26</v>
      </c>
      <c r="M6" t="s">
        <v>27</v>
      </c>
      <c r="N6" t="s">
        <v>28</v>
      </c>
      <c r="O6" t="s">
        <v>139</v>
      </c>
      <c r="R6" s="8" t="s">
        <v>3</v>
      </c>
      <c r="S6" s="22">
        <f t="shared" si="0"/>
        <v>2503.8571428571427</v>
      </c>
      <c r="T6" s="22">
        <f t="shared" si="1"/>
        <v>221.42857142857142</v>
      </c>
      <c r="U6" s="22">
        <f t="shared" si="2"/>
        <v>690.14285714285711</v>
      </c>
      <c r="V6" s="22">
        <f t="shared" si="3"/>
        <v>779.42857142857144</v>
      </c>
      <c r="W6" s="22">
        <f t="shared" si="4"/>
        <v>244</v>
      </c>
      <c r="X6" s="22">
        <f t="shared" si="5"/>
        <v>139.57142857142858</v>
      </c>
      <c r="Y6" s="22">
        <f t="shared" si="6"/>
        <v>164.42857142857142</v>
      </c>
      <c r="Z6" s="22">
        <f t="shared" si="7"/>
        <v>264.85714285714283</v>
      </c>
      <c r="AD6" s="15" t="s">
        <v>134</v>
      </c>
      <c r="AE6" t="s">
        <v>137</v>
      </c>
      <c r="AF6" t="s">
        <v>21</v>
      </c>
      <c r="AG6" t="s">
        <v>22</v>
      </c>
      <c r="AH6" t="s">
        <v>138</v>
      </c>
      <c r="AI6" t="s">
        <v>26</v>
      </c>
      <c r="AJ6" t="s">
        <v>27</v>
      </c>
      <c r="AK6" t="s">
        <v>28</v>
      </c>
      <c r="AL6" t="s">
        <v>139</v>
      </c>
      <c r="AO6" s="8" t="s">
        <v>3</v>
      </c>
      <c r="AP6" s="22">
        <f t="shared" si="8"/>
        <v>125</v>
      </c>
      <c r="AQ6" s="22">
        <f t="shared" si="9"/>
        <v>17</v>
      </c>
      <c r="AR6" s="22">
        <f t="shared" si="10"/>
        <v>37</v>
      </c>
      <c r="AS6" s="22">
        <f t="shared" si="11"/>
        <v>32.857142857142854</v>
      </c>
      <c r="AT6" s="22">
        <f t="shared" si="12"/>
        <v>10.142857142857142</v>
      </c>
      <c r="AU6" s="22">
        <f t="shared" si="13"/>
        <v>14</v>
      </c>
      <c r="AV6" s="22">
        <f t="shared" si="14"/>
        <v>4.1428571428571432</v>
      </c>
      <c r="AW6" s="22">
        <f t="shared" si="15"/>
        <v>9.8571428571428577</v>
      </c>
    </row>
    <row r="7" spans="2:49" x14ac:dyDescent="0.35">
      <c r="B7" s="16">
        <v>3</v>
      </c>
      <c r="C7">
        <v>17527</v>
      </c>
      <c r="D7">
        <v>875</v>
      </c>
      <c r="G7" s="16" t="s">
        <v>1</v>
      </c>
      <c r="H7">
        <v>410</v>
      </c>
      <c r="I7">
        <v>594</v>
      </c>
      <c r="J7">
        <v>2090</v>
      </c>
      <c r="K7">
        <v>2600</v>
      </c>
      <c r="L7">
        <v>798</v>
      </c>
      <c r="M7">
        <v>658</v>
      </c>
      <c r="N7">
        <v>267</v>
      </c>
      <c r="O7">
        <v>7417</v>
      </c>
      <c r="R7" s="8" t="s">
        <v>4</v>
      </c>
      <c r="S7" s="22">
        <f t="shared" si="0"/>
        <v>3634.1428571428573</v>
      </c>
      <c r="T7" s="22">
        <f t="shared" si="1"/>
        <v>356.28571428571428</v>
      </c>
      <c r="U7" s="22">
        <f t="shared" si="2"/>
        <v>924.71428571428567</v>
      </c>
      <c r="V7" s="22">
        <f t="shared" si="3"/>
        <v>1000.7142857142857</v>
      </c>
      <c r="W7" s="22">
        <f t="shared" si="4"/>
        <v>435.57142857142856</v>
      </c>
      <c r="X7" s="22">
        <f t="shared" si="5"/>
        <v>248.14285714285714</v>
      </c>
      <c r="Y7" s="22">
        <f t="shared" si="6"/>
        <v>266.28571428571428</v>
      </c>
      <c r="Z7" s="22">
        <f t="shared" si="7"/>
        <v>402.42857142857144</v>
      </c>
      <c r="AD7" s="16" t="s">
        <v>1</v>
      </c>
      <c r="AE7">
        <v>17</v>
      </c>
      <c r="AF7">
        <v>31</v>
      </c>
      <c r="AG7">
        <v>69</v>
      </c>
      <c r="AH7">
        <v>84</v>
      </c>
      <c r="AI7">
        <v>27</v>
      </c>
      <c r="AJ7">
        <v>28</v>
      </c>
      <c r="AK7">
        <v>14</v>
      </c>
      <c r="AL7">
        <v>270</v>
      </c>
      <c r="AO7" s="8" t="s">
        <v>4</v>
      </c>
      <c r="AP7" s="22">
        <f t="shared" si="8"/>
        <v>183.57142857142858</v>
      </c>
      <c r="AQ7" s="22">
        <f t="shared" si="9"/>
        <v>26.142857142857142</v>
      </c>
      <c r="AR7" s="22">
        <f t="shared" si="10"/>
        <v>46.428571428571431</v>
      </c>
      <c r="AS7" s="22">
        <f t="shared" si="11"/>
        <v>44.857142857142854</v>
      </c>
      <c r="AT7" s="22">
        <f t="shared" si="12"/>
        <v>22</v>
      </c>
      <c r="AU7" s="22">
        <f t="shared" si="13"/>
        <v>14.857142857142858</v>
      </c>
      <c r="AV7" s="22">
        <f t="shared" si="14"/>
        <v>13.142857142857142</v>
      </c>
      <c r="AW7" s="22">
        <f t="shared" si="15"/>
        <v>16.142857142857142</v>
      </c>
    </row>
    <row r="8" spans="2:49" x14ac:dyDescent="0.35">
      <c r="B8" s="16">
        <v>4</v>
      </c>
      <c r="C8">
        <v>25439</v>
      </c>
      <c r="D8">
        <v>1285</v>
      </c>
      <c r="G8" s="16" t="s">
        <v>2</v>
      </c>
      <c r="H8">
        <v>872</v>
      </c>
      <c r="I8">
        <v>930</v>
      </c>
      <c r="J8">
        <v>3671</v>
      </c>
      <c r="K8">
        <v>4125</v>
      </c>
      <c r="L8">
        <v>1295</v>
      </c>
      <c r="M8">
        <v>1171</v>
      </c>
      <c r="N8">
        <v>500</v>
      </c>
      <c r="O8">
        <v>12564</v>
      </c>
      <c r="R8" s="8" t="s">
        <v>5</v>
      </c>
      <c r="S8" s="22">
        <f t="shared" si="0"/>
        <v>4257.7142857142853</v>
      </c>
      <c r="T8" s="22">
        <f t="shared" si="1"/>
        <v>446</v>
      </c>
      <c r="U8" s="22">
        <f t="shared" si="2"/>
        <v>1003.8571428571429</v>
      </c>
      <c r="V8" s="22">
        <f t="shared" si="3"/>
        <v>1050</v>
      </c>
      <c r="W8" s="22">
        <f t="shared" si="4"/>
        <v>534.57142857142856</v>
      </c>
      <c r="X8" s="22">
        <f t="shared" si="5"/>
        <v>294.42857142857144</v>
      </c>
      <c r="Y8" s="22">
        <f t="shared" si="6"/>
        <v>405.42857142857144</v>
      </c>
      <c r="Z8" s="22">
        <f t="shared" si="7"/>
        <v>523.42857142857144</v>
      </c>
      <c r="AD8" s="16" t="s">
        <v>2</v>
      </c>
      <c r="AE8">
        <v>13</v>
      </c>
      <c r="AF8">
        <v>84</v>
      </c>
      <c r="AG8">
        <v>86</v>
      </c>
      <c r="AH8">
        <v>131</v>
      </c>
      <c r="AI8">
        <v>47</v>
      </c>
      <c r="AJ8">
        <v>35</v>
      </c>
      <c r="AK8">
        <v>64</v>
      </c>
      <c r="AL8">
        <v>460</v>
      </c>
      <c r="AO8" s="8" t="s">
        <v>5</v>
      </c>
      <c r="AP8" s="22">
        <f t="shared" si="8"/>
        <v>211.28571428571428</v>
      </c>
      <c r="AQ8" s="22">
        <f t="shared" si="9"/>
        <v>31.857142857142858</v>
      </c>
      <c r="AR8" s="22">
        <f t="shared" si="10"/>
        <v>54.714285714285715</v>
      </c>
      <c r="AS8" s="22">
        <f t="shared" si="11"/>
        <v>41.571428571428569</v>
      </c>
      <c r="AT8" s="22">
        <f t="shared" si="12"/>
        <v>25.571428571428573</v>
      </c>
      <c r="AU8" s="22">
        <f t="shared" si="13"/>
        <v>17.571428571428573</v>
      </c>
      <c r="AV8" s="22">
        <f t="shared" si="14"/>
        <v>17.142857142857142</v>
      </c>
      <c r="AW8" s="22">
        <f t="shared" si="15"/>
        <v>22.857142857142858</v>
      </c>
    </row>
    <row r="9" spans="2:49" x14ac:dyDescent="0.35">
      <c r="B9" s="16">
        <v>5</v>
      </c>
      <c r="C9">
        <v>29804</v>
      </c>
      <c r="D9">
        <v>1479</v>
      </c>
      <c r="G9" s="16" t="s">
        <v>3</v>
      </c>
      <c r="H9">
        <v>1151</v>
      </c>
      <c r="I9">
        <v>1550</v>
      </c>
      <c r="J9">
        <v>4831</v>
      </c>
      <c r="K9">
        <v>5456</v>
      </c>
      <c r="L9">
        <v>1854</v>
      </c>
      <c r="M9">
        <v>1708</v>
      </c>
      <c r="N9">
        <v>977</v>
      </c>
      <c r="O9">
        <v>17527</v>
      </c>
      <c r="R9" s="17" t="s">
        <v>6</v>
      </c>
      <c r="S9" s="22">
        <f t="shared" si="0"/>
        <v>5151.2857142857147</v>
      </c>
      <c r="T9" s="22">
        <f t="shared" si="1"/>
        <v>542.14285714285711</v>
      </c>
      <c r="U9" s="22">
        <f t="shared" si="2"/>
        <v>1072.5714285714287</v>
      </c>
      <c r="V9" s="22">
        <f t="shared" si="3"/>
        <v>1185.4285714285713</v>
      </c>
      <c r="W9" s="22">
        <f t="shared" si="4"/>
        <v>700.42857142857144</v>
      </c>
      <c r="X9" s="22">
        <f t="shared" si="5"/>
        <v>420.57142857142856</v>
      </c>
      <c r="Y9" s="22">
        <f t="shared" si="6"/>
        <v>573.85714285714289</v>
      </c>
      <c r="Z9" s="22">
        <f t="shared" si="7"/>
        <v>656.28571428571433</v>
      </c>
      <c r="AD9" s="16" t="s">
        <v>3</v>
      </c>
      <c r="AE9">
        <v>29</v>
      </c>
      <c r="AF9">
        <v>119</v>
      </c>
      <c r="AG9">
        <v>259</v>
      </c>
      <c r="AH9">
        <v>230</v>
      </c>
      <c r="AI9">
        <v>69</v>
      </c>
      <c r="AJ9">
        <v>71</v>
      </c>
      <c r="AK9">
        <v>98</v>
      </c>
      <c r="AL9">
        <v>875</v>
      </c>
      <c r="AO9" s="17" t="s">
        <v>6</v>
      </c>
      <c r="AP9" s="22">
        <f t="shared" si="8"/>
        <v>256.28571428571428</v>
      </c>
      <c r="AQ9" s="22">
        <f t="shared" si="9"/>
        <v>40.428571428571431</v>
      </c>
      <c r="AR9" s="22">
        <f t="shared" si="10"/>
        <v>45.285714285714285</v>
      </c>
      <c r="AS9" s="22">
        <f t="shared" si="11"/>
        <v>49.714285714285715</v>
      </c>
      <c r="AT9" s="22">
        <f t="shared" si="12"/>
        <v>32.428571428571431</v>
      </c>
      <c r="AU9" s="22">
        <f t="shared" si="13"/>
        <v>27</v>
      </c>
      <c r="AV9" s="22">
        <f t="shared" si="14"/>
        <v>23</v>
      </c>
      <c r="AW9" s="22">
        <f t="shared" si="15"/>
        <v>38.428571428571431</v>
      </c>
    </row>
    <row r="10" spans="2:49" x14ac:dyDescent="0.35">
      <c r="B10" s="16">
        <v>6</v>
      </c>
      <c r="C10">
        <v>36059</v>
      </c>
      <c r="D10">
        <v>1794</v>
      </c>
      <c r="G10" s="16" t="s">
        <v>4</v>
      </c>
      <c r="H10">
        <v>1864</v>
      </c>
      <c r="I10">
        <v>2494</v>
      </c>
      <c r="J10">
        <v>6473</v>
      </c>
      <c r="K10">
        <v>7005</v>
      </c>
      <c r="L10">
        <v>2817</v>
      </c>
      <c r="M10">
        <v>3049</v>
      </c>
      <c r="N10">
        <v>1737</v>
      </c>
      <c r="O10">
        <v>25439</v>
      </c>
      <c r="R10" s="17" t="s">
        <v>7</v>
      </c>
      <c r="S10" s="22">
        <f t="shared" si="0"/>
        <v>4692.8571428571431</v>
      </c>
      <c r="T10" s="22">
        <f t="shared" si="1"/>
        <v>515.42857142857144</v>
      </c>
      <c r="U10" s="22">
        <f t="shared" si="2"/>
        <v>972.85714285714289</v>
      </c>
      <c r="V10" s="22">
        <f t="shared" si="3"/>
        <v>998.14285714285711</v>
      </c>
      <c r="W10" s="22">
        <f t="shared" si="4"/>
        <v>585.57142857142856</v>
      </c>
      <c r="X10" s="22">
        <f t="shared" si="5"/>
        <v>440.28571428571428</v>
      </c>
      <c r="Y10" s="22">
        <f t="shared" si="6"/>
        <v>561.42857142857144</v>
      </c>
      <c r="Z10" s="22">
        <f t="shared" si="7"/>
        <v>619.14285714285711</v>
      </c>
      <c r="AD10" s="16" t="s">
        <v>4</v>
      </c>
      <c r="AE10">
        <v>92</v>
      </c>
      <c r="AF10">
        <v>183</v>
      </c>
      <c r="AG10">
        <v>325</v>
      </c>
      <c r="AH10">
        <v>314</v>
      </c>
      <c r="AI10">
        <v>113</v>
      </c>
      <c r="AJ10">
        <v>154</v>
      </c>
      <c r="AK10">
        <v>104</v>
      </c>
      <c r="AL10">
        <v>1285</v>
      </c>
      <c r="AO10" s="17" t="s">
        <v>7</v>
      </c>
      <c r="AP10" s="22">
        <f t="shared" si="8"/>
        <v>236.28571428571428</v>
      </c>
      <c r="AQ10" s="22">
        <f t="shared" si="9"/>
        <v>51.285714285714285</v>
      </c>
      <c r="AR10" s="22">
        <f t="shared" si="10"/>
        <v>34</v>
      </c>
      <c r="AS10" s="22">
        <f t="shared" si="11"/>
        <v>44.714285714285715</v>
      </c>
      <c r="AT10" s="22">
        <f t="shared" si="12"/>
        <v>31.714285714285715</v>
      </c>
      <c r="AU10" s="22">
        <f t="shared" si="13"/>
        <v>26.428571428571427</v>
      </c>
      <c r="AV10" s="22">
        <f t="shared" si="14"/>
        <v>22.428571428571427</v>
      </c>
      <c r="AW10" s="22">
        <f t="shared" si="15"/>
        <v>25.714285714285715</v>
      </c>
    </row>
    <row r="11" spans="2:49" x14ac:dyDescent="0.35">
      <c r="B11" s="16">
        <v>7</v>
      </c>
      <c r="C11">
        <v>32850</v>
      </c>
      <c r="D11">
        <v>1654</v>
      </c>
      <c r="G11" s="16" t="s">
        <v>5</v>
      </c>
      <c r="H11">
        <v>2838</v>
      </c>
      <c r="I11">
        <v>3122</v>
      </c>
      <c r="J11">
        <v>7027</v>
      </c>
      <c r="K11">
        <v>7350</v>
      </c>
      <c r="L11">
        <v>3664</v>
      </c>
      <c r="M11">
        <v>3742</v>
      </c>
      <c r="N11">
        <v>2061</v>
      </c>
      <c r="O11">
        <v>29804</v>
      </c>
      <c r="R11" s="17" t="s">
        <v>8</v>
      </c>
      <c r="S11" s="22">
        <f t="shared" si="0"/>
        <v>3657</v>
      </c>
      <c r="T11" s="22">
        <f t="shared" si="1"/>
        <v>411.14285714285717</v>
      </c>
      <c r="U11" s="22">
        <f t="shared" si="2"/>
        <v>732</v>
      </c>
      <c r="V11" s="22">
        <f t="shared" si="3"/>
        <v>794</v>
      </c>
      <c r="W11" s="22">
        <f t="shared" si="4"/>
        <v>397.42857142857144</v>
      </c>
      <c r="X11" s="22">
        <f t="shared" si="5"/>
        <v>371.57142857142856</v>
      </c>
      <c r="Y11" s="22">
        <f t="shared" si="6"/>
        <v>425.57142857142856</v>
      </c>
      <c r="Z11" s="22">
        <f t="shared" si="7"/>
        <v>525.28571428571433</v>
      </c>
      <c r="AD11" s="16" t="s">
        <v>5</v>
      </c>
      <c r="AE11">
        <v>120</v>
      </c>
      <c r="AF11">
        <v>223</v>
      </c>
      <c r="AG11">
        <v>383</v>
      </c>
      <c r="AH11">
        <v>291</v>
      </c>
      <c r="AI11">
        <v>160</v>
      </c>
      <c r="AJ11">
        <v>179</v>
      </c>
      <c r="AK11">
        <v>123</v>
      </c>
      <c r="AL11">
        <v>1479</v>
      </c>
      <c r="AO11" s="17" t="s">
        <v>8</v>
      </c>
      <c r="AP11" s="22">
        <f t="shared" si="8"/>
        <v>175.85714285714286</v>
      </c>
      <c r="AQ11" s="22">
        <f t="shared" si="9"/>
        <v>33.714285714285715</v>
      </c>
      <c r="AR11" s="22">
        <f t="shared" si="10"/>
        <v>28.857142857142858</v>
      </c>
      <c r="AS11" s="22">
        <f t="shared" si="11"/>
        <v>28.285714285714285</v>
      </c>
      <c r="AT11" s="22">
        <f t="shared" si="12"/>
        <v>28.571428571428573</v>
      </c>
      <c r="AU11" s="22">
        <f t="shared" si="13"/>
        <v>22.285714285714285</v>
      </c>
      <c r="AV11" s="22">
        <f t="shared" si="14"/>
        <v>15.428571428571429</v>
      </c>
      <c r="AW11" s="22">
        <f t="shared" si="15"/>
        <v>18.714285714285715</v>
      </c>
    </row>
    <row r="12" spans="2:49" x14ac:dyDescent="0.35">
      <c r="B12" s="16">
        <v>8</v>
      </c>
      <c r="C12">
        <v>25599</v>
      </c>
      <c r="D12">
        <v>1231</v>
      </c>
      <c r="G12" s="16" t="s">
        <v>6</v>
      </c>
      <c r="H12">
        <v>4017</v>
      </c>
      <c r="I12">
        <v>3795</v>
      </c>
      <c r="J12">
        <v>7508</v>
      </c>
      <c r="K12">
        <v>8298</v>
      </c>
      <c r="L12">
        <v>4594</v>
      </c>
      <c r="M12">
        <v>4903</v>
      </c>
      <c r="N12">
        <v>2944</v>
      </c>
      <c r="O12">
        <v>36059</v>
      </c>
      <c r="R12" s="17" t="s">
        <v>9</v>
      </c>
      <c r="S12" s="22" t="e">
        <f t="shared" si="0"/>
        <v>#N/A</v>
      </c>
      <c r="T12" s="22" t="e">
        <f t="shared" si="1"/>
        <v>#N/A</v>
      </c>
      <c r="U12" s="22" t="e">
        <f t="shared" si="2"/>
        <v>#N/A</v>
      </c>
      <c r="V12" s="22" t="e">
        <f t="shared" si="3"/>
        <v>#N/A</v>
      </c>
      <c r="W12" s="22" t="e">
        <f t="shared" si="4"/>
        <v>#N/A</v>
      </c>
      <c r="X12" s="22" t="e">
        <f t="shared" si="5"/>
        <v>#N/A</v>
      </c>
      <c r="Y12" s="22" t="e">
        <f t="shared" si="6"/>
        <v>#N/A</v>
      </c>
      <c r="Z12" s="22" t="e">
        <f t="shared" si="7"/>
        <v>#N/A</v>
      </c>
      <c r="AD12" s="16" t="s">
        <v>6</v>
      </c>
      <c r="AE12">
        <v>161</v>
      </c>
      <c r="AF12">
        <v>283</v>
      </c>
      <c r="AG12">
        <v>317</v>
      </c>
      <c r="AH12">
        <v>348</v>
      </c>
      <c r="AI12">
        <v>269</v>
      </c>
      <c r="AJ12">
        <v>227</v>
      </c>
      <c r="AK12">
        <v>189</v>
      </c>
      <c r="AL12">
        <v>1794</v>
      </c>
      <c r="AO12" s="17" t="s">
        <v>9</v>
      </c>
      <c r="AP12" s="22" t="e">
        <f t="shared" si="8"/>
        <v>#N/A</v>
      </c>
      <c r="AQ12" s="22" t="e">
        <f t="shared" si="9"/>
        <v>#N/A</v>
      </c>
      <c r="AR12" s="22" t="e">
        <f t="shared" si="10"/>
        <v>#N/A</v>
      </c>
      <c r="AS12" s="22" t="e">
        <f t="shared" si="11"/>
        <v>#N/A</v>
      </c>
      <c r="AT12" s="22" t="e">
        <f t="shared" si="12"/>
        <v>#N/A</v>
      </c>
      <c r="AU12" s="22" t="e">
        <f t="shared" si="13"/>
        <v>#N/A</v>
      </c>
      <c r="AV12" s="22" t="e">
        <f t="shared" si="14"/>
        <v>#N/A</v>
      </c>
      <c r="AW12" s="22" t="e">
        <f t="shared" si="15"/>
        <v>#N/A</v>
      </c>
    </row>
    <row r="13" spans="2:49" x14ac:dyDescent="0.35">
      <c r="B13" s="16" t="s">
        <v>139</v>
      </c>
      <c r="C13">
        <v>187259</v>
      </c>
      <c r="D13">
        <v>9048</v>
      </c>
      <c r="G13" s="16" t="s">
        <v>7</v>
      </c>
      <c r="H13">
        <v>3930</v>
      </c>
      <c r="I13">
        <v>3608</v>
      </c>
      <c r="J13">
        <v>6810</v>
      </c>
      <c r="K13">
        <v>6987</v>
      </c>
      <c r="L13">
        <v>4334</v>
      </c>
      <c r="M13">
        <v>4099</v>
      </c>
      <c r="N13">
        <v>3082</v>
      </c>
      <c r="O13">
        <v>32850</v>
      </c>
      <c r="R13" s="17" t="s">
        <v>10</v>
      </c>
      <c r="S13" s="22" t="e">
        <f t="shared" si="0"/>
        <v>#N/A</v>
      </c>
      <c r="T13" s="22" t="e">
        <f t="shared" si="1"/>
        <v>#N/A</v>
      </c>
      <c r="U13" s="22" t="e">
        <f t="shared" si="2"/>
        <v>#N/A</v>
      </c>
      <c r="V13" s="22" t="e">
        <f t="shared" si="3"/>
        <v>#N/A</v>
      </c>
      <c r="W13" s="22" t="e">
        <f t="shared" si="4"/>
        <v>#N/A</v>
      </c>
      <c r="X13" s="22" t="e">
        <f t="shared" si="5"/>
        <v>#N/A</v>
      </c>
      <c r="Y13" s="22" t="e">
        <f t="shared" si="6"/>
        <v>#N/A</v>
      </c>
      <c r="Z13" s="22" t="e">
        <f t="shared" si="7"/>
        <v>#N/A</v>
      </c>
      <c r="AD13" s="16" t="s">
        <v>7</v>
      </c>
      <c r="AE13">
        <v>157</v>
      </c>
      <c r="AF13">
        <v>359</v>
      </c>
      <c r="AG13">
        <v>238</v>
      </c>
      <c r="AH13">
        <v>313</v>
      </c>
      <c r="AI13">
        <v>180</v>
      </c>
      <c r="AJ13">
        <v>222</v>
      </c>
      <c r="AK13">
        <v>185</v>
      </c>
      <c r="AL13">
        <v>1654</v>
      </c>
      <c r="AO13" s="17" t="s">
        <v>10</v>
      </c>
      <c r="AP13" s="22" t="e">
        <f t="shared" si="8"/>
        <v>#N/A</v>
      </c>
      <c r="AQ13" s="22" t="e">
        <f t="shared" si="9"/>
        <v>#N/A</v>
      </c>
      <c r="AR13" s="22" t="e">
        <f t="shared" si="10"/>
        <v>#N/A</v>
      </c>
      <c r="AS13" s="22" t="e">
        <f t="shared" si="11"/>
        <v>#N/A</v>
      </c>
      <c r="AT13" s="22" t="e">
        <f t="shared" si="12"/>
        <v>#N/A</v>
      </c>
      <c r="AU13" s="22" t="e">
        <f t="shared" si="13"/>
        <v>#N/A</v>
      </c>
      <c r="AV13" s="22" t="e">
        <f t="shared" si="14"/>
        <v>#N/A</v>
      </c>
      <c r="AW13" s="22" t="e">
        <f t="shared" si="15"/>
        <v>#N/A</v>
      </c>
    </row>
    <row r="14" spans="2:49" x14ac:dyDescent="0.35">
      <c r="G14" s="16" t="s">
        <v>8</v>
      </c>
      <c r="H14">
        <v>2979</v>
      </c>
      <c r="I14">
        <v>2878</v>
      </c>
      <c r="J14">
        <v>5124</v>
      </c>
      <c r="K14">
        <v>5558</v>
      </c>
      <c r="L14">
        <v>3677</v>
      </c>
      <c r="M14">
        <v>2782</v>
      </c>
      <c r="N14">
        <v>2601</v>
      </c>
      <c r="O14">
        <v>25599</v>
      </c>
      <c r="R14" s="17" t="s">
        <v>11</v>
      </c>
      <c r="S14" s="22" t="e">
        <f t="shared" si="0"/>
        <v>#N/A</v>
      </c>
      <c r="T14" s="22" t="e">
        <f t="shared" si="1"/>
        <v>#N/A</v>
      </c>
      <c r="U14" s="22" t="e">
        <f t="shared" si="2"/>
        <v>#N/A</v>
      </c>
      <c r="V14" s="22" t="e">
        <f t="shared" si="3"/>
        <v>#N/A</v>
      </c>
      <c r="W14" s="22" t="e">
        <f t="shared" si="4"/>
        <v>#N/A</v>
      </c>
      <c r="X14" s="22" t="e">
        <f t="shared" si="5"/>
        <v>#N/A</v>
      </c>
      <c r="Y14" s="22" t="e">
        <f t="shared" si="6"/>
        <v>#N/A</v>
      </c>
      <c r="Z14" s="22" t="e">
        <f t="shared" si="7"/>
        <v>#N/A</v>
      </c>
      <c r="AD14" s="16" t="s">
        <v>8</v>
      </c>
      <c r="AE14">
        <v>108</v>
      </c>
      <c r="AF14">
        <v>236</v>
      </c>
      <c r="AG14">
        <v>202</v>
      </c>
      <c r="AH14">
        <v>198</v>
      </c>
      <c r="AI14">
        <v>131</v>
      </c>
      <c r="AJ14">
        <v>200</v>
      </c>
      <c r="AK14">
        <v>156</v>
      </c>
      <c r="AL14">
        <v>1231</v>
      </c>
      <c r="AO14" s="17" t="s">
        <v>11</v>
      </c>
      <c r="AP14" s="22" t="e">
        <f t="shared" si="8"/>
        <v>#N/A</v>
      </c>
      <c r="AQ14" s="22" t="e">
        <f t="shared" si="9"/>
        <v>#N/A</v>
      </c>
      <c r="AR14" s="22" t="e">
        <f t="shared" si="10"/>
        <v>#N/A</v>
      </c>
      <c r="AS14" s="22" t="e">
        <f t="shared" si="11"/>
        <v>#N/A</v>
      </c>
      <c r="AT14" s="22" t="e">
        <f t="shared" si="12"/>
        <v>#N/A</v>
      </c>
      <c r="AU14" s="22" t="e">
        <f t="shared" si="13"/>
        <v>#N/A</v>
      </c>
      <c r="AV14" s="22" t="e">
        <f t="shared" si="14"/>
        <v>#N/A</v>
      </c>
      <c r="AW14" s="22" t="e">
        <f t="shared" si="15"/>
        <v>#N/A</v>
      </c>
    </row>
    <row r="15" spans="2:49" x14ac:dyDescent="0.35">
      <c r="G15" s="16" t="s">
        <v>139</v>
      </c>
      <c r="H15">
        <v>18061</v>
      </c>
      <c r="I15">
        <v>18971</v>
      </c>
      <c r="J15">
        <v>43534</v>
      </c>
      <c r="K15">
        <v>47379</v>
      </c>
      <c r="L15">
        <v>23033</v>
      </c>
      <c r="M15">
        <v>22112</v>
      </c>
      <c r="N15">
        <v>14169</v>
      </c>
      <c r="O15">
        <v>187259</v>
      </c>
      <c r="R15" s="17" t="s">
        <v>12</v>
      </c>
      <c r="S15" s="22" t="e">
        <f t="shared" si="0"/>
        <v>#N/A</v>
      </c>
      <c r="T15" s="22" t="e">
        <f t="shared" si="1"/>
        <v>#N/A</v>
      </c>
      <c r="U15" s="22" t="e">
        <f t="shared" si="2"/>
        <v>#N/A</v>
      </c>
      <c r="V15" s="22" t="e">
        <f t="shared" si="3"/>
        <v>#N/A</v>
      </c>
      <c r="W15" s="22" t="e">
        <f t="shared" si="4"/>
        <v>#N/A</v>
      </c>
      <c r="X15" s="22" t="e">
        <f t="shared" si="5"/>
        <v>#N/A</v>
      </c>
      <c r="Y15" s="22" t="e">
        <f t="shared" si="6"/>
        <v>#N/A</v>
      </c>
      <c r="Z15" s="22" t="e">
        <f t="shared" si="7"/>
        <v>#N/A</v>
      </c>
      <c r="AD15" s="16" t="s">
        <v>139</v>
      </c>
      <c r="AE15">
        <v>697</v>
      </c>
      <c r="AF15">
        <v>1518</v>
      </c>
      <c r="AG15">
        <v>1879</v>
      </c>
      <c r="AH15">
        <v>1909</v>
      </c>
      <c r="AI15">
        <v>996</v>
      </c>
      <c r="AJ15">
        <v>1116</v>
      </c>
      <c r="AK15">
        <v>933</v>
      </c>
      <c r="AL15">
        <v>9048</v>
      </c>
      <c r="AO15" s="17" t="s">
        <v>12</v>
      </c>
      <c r="AP15" s="22" t="e">
        <f t="shared" si="8"/>
        <v>#N/A</v>
      </c>
      <c r="AQ15" s="22" t="e">
        <f t="shared" si="9"/>
        <v>#N/A</v>
      </c>
      <c r="AR15" s="22" t="e">
        <f t="shared" si="10"/>
        <v>#N/A</v>
      </c>
      <c r="AS15" s="22" t="e">
        <f t="shared" si="11"/>
        <v>#N/A</v>
      </c>
      <c r="AT15" s="22" t="e">
        <f t="shared" si="12"/>
        <v>#N/A</v>
      </c>
      <c r="AU15" s="22" t="e">
        <f t="shared" si="13"/>
        <v>#N/A</v>
      </c>
      <c r="AV15" s="22" t="e">
        <f t="shared" si="14"/>
        <v>#N/A</v>
      </c>
      <c r="AW15" s="22" t="e">
        <f t="shared" si="15"/>
        <v>#N/A</v>
      </c>
    </row>
    <row r="16" spans="2:49" x14ac:dyDescent="0.35">
      <c r="R16" s="17" t="s">
        <v>13</v>
      </c>
      <c r="S16" s="22" t="e">
        <f t="shared" si="0"/>
        <v>#N/A</v>
      </c>
      <c r="T16" s="22" t="e">
        <f t="shared" si="1"/>
        <v>#N/A</v>
      </c>
      <c r="U16" s="22" t="e">
        <f t="shared" si="2"/>
        <v>#N/A</v>
      </c>
      <c r="V16" s="22" t="e">
        <f t="shared" si="3"/>
        <v>#N/A</v>
      </c>
      <c r="W16" s="22" t="e">
        <f t="shared" si="4"/>
        <v>#N/A</v>
      </c>
      <c r="X16" s="22" t="e">
        <f t="shared" si="5"/>
        <v>#N/A</v>
      </c>
      <c r="Y16" s="22" t="e">
        <f t="shared" si="6"/>
        <v>#N/A</v>
      </c>
      <c r="Z16" s="22" t="e">
        <f t="shared" si="7"/>
        <v>#N/A</v>
      </c>
      <c r="AO16" s="17" t="s">
        <v>13</v>
      </c>
      <c r="AP16" s="22" t="e">
        <f t="shared" si="8"/>
        <v>#N/A</v>
      </c>
      <c r="AQ16" s="22" t="e">
        <f t="shared" si="9"/>
        <v>#N/A</v>
      </c>
      <c r="AR16" s="22" t="e">
        <f t="shared" si="10"/>
        <v>#N/A</v>
      </c>
      <c r="AS16" s="22" t="e">
        <f t="shared" si="11"/>
        <v>#N/A</v>
      </c>
      <c r="AT16" s="22" t="e">
        <f t="shared" si="12"/>
        <v>#N/A</v>
      </c>
      <c r="AU16" s="22" t="e">
        <f t="shared" si="13"/>
        <v>#N/A</v>
      </c>
      <c r="AV16" s="22" t="e">
        <f t="shared" si="14"/>
        <v>#N/A</v>
      </c>
      <c r="AW16" s="22" t="e">
        <f t="shared" si="15"/>
        <v>#N/A</v>
      </c>
    </row>
    <row r="17" spans="18:49" x14ac:dyDescent="0.35">
      <c r="R17" s="17" t="s">
        <v>14</v>
      </c>
      <c r="S17" s="22" t="e">
        <f t="shared" ref="S17" si="16">(VLOOKUP(R17,$G$7:$O$1048576,9,0))/7</f>
        <v>#N/A</v>
      </c>
      <c r="T17" s="22" t="e">
        <f t="shared" si="1"/>
        <v>#N/A</v>
      </c>
      <c r="U17" s="22" t="e">
        <f t="shared" si="2"/>
        <v>#N/A</v>
      </c>
      <c r="V17" s="22" t="e">
        <f t="shared" si="3"/>
        <v>#N/A</v>
      </c>
      <c r="W17" s="22" t="e">
        <f t="shared" si="4"/>
        <v>#N/A</v>
      </c>
      <c r="X17" s="22" t="e">
        <f t="shared" si="5"/>
        <v>#N/A</v>
      </c>
      <c r="Y17" s="22" t="e">
        <f t="shared" si="6"/>
        <v>#N/A</v>
      </c>
      <c r="Z17" s="22" t="e">
        <f t="shared" si="7"/>
        <v>#N/A</v>
      </c>
      <c r="AO17" s="17" t="s">
        <v>14</v>
      </c>
      <c r="AP17" s="22" t="e">
        <f t="shared" ref="AP17" si="17">(VLOOKUP(AO17,$AD$7:$AL$1048576,9,0))/7</f>
        <v>#N/A</v>
      </c>
      <c r="AQ17" s="22" t="e">
        <f t="shared" si="9"/>
        <v>#N/A</v>
      </c>
      <c r="AR17" s="22" t="e">
        <f t="shared" si="10"/>
        <v>#N/A</v>
      </c>
      <c r="AS17" s="22" t="e">
        <f t="shared" si="11"/>
        <v>#N/A</v>
      </c>
      <c r="AT17" s="22" t="e">
        <f t="shared" si="12"/>
        <v>#N/A</v>
      </c>
      <c r="AU17" s="22" t="e">
        <f t="shared" si="13"/>
        <v>#N/A</v>
      </c>
      <c r="AV17" s="22" t="e">
        <f t="shared" si="14"/>
        <v>#N/A</v>
      </c>
      <c r="AW17" s="22" t="e">
        <f t="shared" si="15"/>
        <v>#N/A</v>
      </c>
    </row>
  </sheetData>
  <phoneticPr fontId="20" type="noConversion"/>
  <pageMargins left="0.7" right="0.7" top="0.75" bottom="0.75" header="0.3" footer="0.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B2:AW18"/>
  <sheetViews>
    <sheetView zoomScale="50" zoomScaleNormal="50" workbookViewId="0">
      <selection activeCell="B2" sqref="B2"/>
    </sheetView>
  </sheetViews>
  <sheetFormatPr defaultRowHeight="14.5" x14ac:dyDescent="0.35"/>
  <cols>
    <col min="2" max="2" width="17.453125" bestFit="1" customWidth="1"/>
    <col min="3" max="3" width="33.453125" bestFit="1" customWidth="1"/>
    <col min="4" max="4" width="40.1796875" bestFit="1" customWidth="1"/>
    <col min="5" max="5" width="27.453125" bestFit="1" customWidth="1"/>
    <col min="7" max="7" width="33.453125" bestFit="1" customWidth="1"/>
    <col min="8" max="8" width="21" bestFit="1" customWidth="1"/>
    <col min="9" max="9" width="8.81640625" bestFit="1" customWidth="1"/>
    <col min="10" max="10" width="10.26953125" bestFit="1" customWidth="1"/>
    <col min="11" max="11" width="26.54296875" bestFit="1" customWidth="1"/>
    <col min="12" max="12" width="12.26953125" bestFit="1" customWidth="1"/>
    <col min="13" max="13" width="11.7265625" bestFit="1" customWidth="1"/>
    <col min="14" max="15" width="12.54296875" bestFit="1" customWidth="1"/>
    <col min="16" max="16" width="17.54296875" bestFit="1" customWidth="1"/>
    <col min="17" max="17" width="27.453125" bestFit="1" customWidth="1"/>
    <col min="18" max="18" width="17.54296875" bestFit="1" customWidth="1"/>
    <col min="19" max="19" width="27.54296875" bestFit="1" customWidth="1"/>
    <col min="20" max="20" width="17.7265625" bestFit="1" customWidth="1"/>
    <col min="21" max="21" width="27.54296875" bestFit="1" customWidth="1"/>
    <col min="22" max="22" width="22.54296875" bestFit="1" customWidth="1"/>
    <col min="23" max="23" width="32.453125" bestFit="1" customWidth="1"/>
    <col min="24" max="26" width="9.7265625" bestFit="1" customWidth="1"/>
    <col min="30" max="30" width="40.1796875" bestFit="1" customWidth="1"/>
    <col min="31" max="31" width="21" bestFit="1" customWidth="1"/>
    <col min="32" max="32" width="8.81640625" bestFit="1" customWidth="1"/>
    <col min="33" max="33" width="10.26953125" bestFit="1" customWidth="1"/>
    <col min="34" max="34" width="26.54296875" bestFit="1" customWidth="1"/>
    <col min="35" max="35" width="12.26953125" bestFit="1" customWidth="1"/>
    <col min="36" max="36" width="11.7265625" bestFit="1" customWidth="1"/>
    <col min="37" max="38" width="12.54296875" bestFit="1" customWidth="1"/>
  </cols>
  <sheetData>
    <row r="2" spans="2:49" x14ac:dyDescent="0.35">
      <c r="B2" s="15" t="s">
        <v>129</v>
      </c>
      <c r="C2" t="s" vm="1">
        <v>130</v>
      </c>
    </row>
    <row r="3" spans="2:49" x14ac:dyDescent="0.35">
      <c r="G3" s="15" t="s">
        <v>129</v>
      </c>
      <c r="H3" t="s" vm="1">
        <v>130</v>
      </c>
      <c r="S3" t="s">
        <v>132</v>
      </c>
      <c r="T3" t="s">
        <v>21</v>
      </c>
      <c r="U3" t="s">
        <v>22</v>
      </c>
      <c r="V3" t="s">
        <v>25</v>
      </c>
      <c r="W3" t="s">
        <v>27</v>
      </c>
      <c r="X3" t="s">
        <v>28</v>
      </c>
      <c r="Y3" t="s">
        <v>133</v>
      </c>
      <c r="Z3" t="s">
        <v>37</v>
      </c>
      <c r="AD3" s="15" t="s">
        <v>129</v>
      </c>
      <c r="AE3" t="s" vm="1">
        <v>130</v>
      </c>
      <c r="AP3" t="s">
        <v>132</v>
      </c>
      <c r="AQ3" t="s">
        <v>21</v>
      </c>
      <c r="AR3" t="s">
        <v>22</v>
      </c>
      <c r="AS3" t="s">
        <v>25</v>
      </c>
      <c r="AT3" t="s">
        <v>27</v>
      </c>
      <c r="AU3" t="s">
        <v>28</v>
      </c>
      <c r="AV3" t="s">
        <v>133</v>
      </c>
      <c r="AW3" t="s">
        <v>37</v>
      </c>
    </row>
    <row r="4" spans="2:49" x14ac:dyDescent="0.35">
      <c r="B4" s="15" t="s">
        <v>134</v>
      </c>
      <c r="C4" t="s">
        <v>420</v>
      </c>
      <c r="D4" t="s">
        <v>421</v>
      </c>
      <c r="R4" s="8" t="s">
        <v>1</v>
      </c>
      <c r="S4" s="22">
        <f>(VLOOKUP(R4,$G$7:$O$1048576,9,0))/7</f>
        <v>148.57142857142858</v>
      </c>
      <c r="T4" s="22">
        <f>(VLOOKUP($R4,$G$7:$O$1048576,3,0))/7</f>
        <v>18.571428571428573</v>
      </c>
      <c r="U4" s="22">
        <f>(VLOOKUP($R4,$G$7:$O$1048576,4,0))/7</f>
        <v>32.142857142857146</v>
      </c>
      <c r="V4" s="22">
        <f>(VLOOKUP($R4,$G$7:$O$1048576,5,0))/7</f>
        <v>43.142857142857146</v>
      </c>
      <c r="W4" s="22">
        <f>(VLOOKUP($R4,$G$7:$O$1048576,7,0))/7</f>
        <v>20.142857142857142</v>
      </c>
      <c r="X4" s="22">
        <f>(VLOOKUP($R4,$G$7:$O$1048576,8,0))/7</f>
        <v>16.285714285714285</v>
      </c>
      <c r="Y4" s="22">
        <f>(VLOOKUP($R4,$G$7:$O$1048576,2,0))/7</f>
        <v>13.428571428571429</v>
      </c>
      <c r="Z4" s="22">
        <f>(VLOOKUP($R4,$G$7:$O$1048576,6,0))/7</f>
        <v>4.8571428571428568</v>
      </c>
      <c r="AO4" s="8" t="s">
        <v>1</v>
      </c>
      <c r="AP4" s="22">
        <f>(VLOOKUP(AO4,$AD$7:$AL$1048576,9,0))/7</f>
        <v>6.8571428571428568</v>
      </c>
      <c r="AQ4" s="22">
        <f>(VLOOKUP($R4,$AD$7:$AL$1048576,3,0))/7</f>
        <v>1.1428571428571428</v>
      </c>
      <c r="AR4" s="22">
        <f>(VLOOKUP($R4,$AD$7:$AL$1048576,4,0))/7</f>
        <v>0.7142857142857143</v>
      </c>
      <c r="AS4" s="22">
        <f>(VLOOKUP($R4,$AD$7:$AL$1048576,5,0))/7</f>
        <v>1.1428571428571428</v>
      </c>
      <c r="AT4" s="22">
        <f>(VLOOKUP($R4,$AD$7:$AL$1048576,7,0))/7</f>
        <v>3.1428571428571428</v>
      </c>
      <c r="AU4" s="22">
        <f>(VLOOKUP($R4,$AD$7:$AL$1048576,8,0))/7</f>
        <v>0.2857142857142857</v>
      </c>
      <c r="AV4" s="22">
        <f>(VLOOKUP($R4,$AD$7:$AL$1048576,2,0))/7</f>
        <v>0.42857142857142855</v>
      </c>
      <c r="AW4" s="22">
        <f>(VLOOKUP($R4,$AD$7:$AL$1048576,6,0))/7</f>
        <v>0</v>
      </c>
    </row>
    <row r="5" spans="2:49" x14ac:dyDescent="0.35">
      <c r="B5" s="16">
        <v>1</v>
      </c>
      <c r="C5">
        <v>1040</v>
      </c>
      <c r="D5">
        <v>48</v>
      </c>
      <c r="G5" s="15" t="s">
        <v>420</v>
      </c>
      <c r="H5" s="15" t="s">
        <v>136</v>
      </c>
      <c r="R5" s="8" t="s">
        <v>2</v>
      </c>
      <c r="S5" s="22">
        <f t="shared" ref="S5:S16" si="0">(VLOOKUP(R5,$G$7:$O$1048576,9,0))/7</f>
        <v>162.42857142857142</v>
      </c>
      <c r="T5" s="22">
        <f t="shared" ref="T5:T17" si="1">(VLOOKUP($R5,$G$7:$O$1048576,3,0))/7</f>
        <v>22.571428571428573</v>
      </c>
      <c r="U5" s="22">
        <f t="shared" ref="U5:U17" si="2">(VLOOKUP($R5,$G$7:$O$1048576,4,0))/7</f>
        <v>27.142857142857142</v>
      </c>
      <c r="V5" s="22">
        <f t="shared" ref="V5:V17" si="3">(VLOOKUP($R5,$G$7:$O$1048576,5,0))/7</f>
        <v>50.857142857142854</v>
      </c>
      <c r="W5" s="22">
        <f t="shared" ref="W5:W17" si="4">(VLOOKUP($R5,$G$7:$O$1048576,7,0))/7</f>
        <v>21.571428571428573</v>
      </c>
      <c r="X5" s="22">
        <f t="shared" ref="X5:X17" si="5">(VLOOKUP($R5,$G$7:$O$1048576,8,0))/7</f>
        <v>16.428571428571427</v>
      </c>
      <c r="Y5" s="22">
        <f t="shared" ref="Y5:Y17" si="6">(VLOOKUP($R5,$G$7:$O$1048576,2,0))/7</f>
        <v>18.428571428571427</v>
      </c>
      <c r="Z5" s="22">
        <f t="shared" ref="Z5:Z17" si="7">(VLOOKUP($R5,$G$7:$O$1048576,6,0))/7</f>
        <v>5.4285714285714288</v>
      </c>
      <c r="AD5" s="15" t="s">
        <v>421</v>
      </c>
      <c r="AE5" s="15" t="s">
        <v>136</v>
      </c>
      <c r="AO5" s="8" t="s">
        <v>2</v>
      </c>
      <c r="AP5" s="22">
        <f t="shared" ref="AP5:AP16" si="8">(VLOOKUP(AO5,$AD$7:$AL$1048576,9,0))/7</f>
        <v>10.428571428571429</v>
      </c>
      <c r="AQ5" s="22">
        <f t="shared" ref="AQ5:AQ17" si="9">(VLOOKUP($R5,$AD$7:$AL$1048576,3,0))/7</f>
        <v>1.8571428571428572</v>
      </c>
      <c r="AR5" s="22">
        <f t="shared" ref="AR5:AR17" si="10">(VLOOKUP($R5,$AD$7:$AL$1048576,4,0))/7</f>
        <v>1.2857142857142858</v>
      </c>
      <c r="AS5" s="22">
        <f t="shared" ref="AS5:AS17" si="11">(VLOOKUP($R5,$AD$7:$AL$1048576,5,0))/7</f>
        <v>1.5714285714285714</v>
      </c>
      <c r="AT5" s="22">
        <f t="shared" ref="AT5:AT17" si="12">(VLOOKUP($R5,$AD$7:$AL$1048576,7,0))/7</f>
        <v>4.1428571428571432</v>
      </c>
      <c r="AU5" s="22">
        <f t="shared" ref="AU5:AU17" si="13">(VLOOKUP($R5,$AD$7:$AL$1048576,8,0))/7</f>
        <v>0</v>
      </c>
      <c r="AV5" s="22">
        <f t="shared" ref="AV5:AV17" si="14">(VLOOKUP($R5,$AD$7:$AL$1048576,2,0))/7</f>
        <v>1.5714285714285714</v>
      </c>
      <c r="AW5" s="22">
        <f t="shared" ref="AW5:AW17" si="15">(VLOOKUP($R5,$AD$7:$AL$1048576,6,0))/7</f>
        <v>0</v>
      </c>
    </row>
    <row r="6" spans="2:49" x14ac:dyDescent="0.35">
      <c r="B6" s="16">
        <v>2</v>
      </c>
      <c r="C6">
        <v>1137</v>
      </c>
      <c r="D6">
        <v>73</v>
      </c>
      <c r="G6" s="15" t="s">
        <v>134</v>
      </c>
      <c r="H6" t="s">
        <v>137</v>
      </c>
      <c r="I6" t="s">
        <v>21</v>
      </c>
      <c r="J6" t="s">
        <v>22</v>
      </c>
      <c r="K6" t="s">
        <v>138</v>
      </c>
      <c r="L6" t="s">
        <v>26</v>
      </c>
      <c r="M6" t="s">
        <v>27</v>
      </c>
      <c r="N6" t="s">
        <v>28</v>
      </c>
      <c r="O6" t="s">
        <v>139</v>
      </c>
      <c r="R6" s="8" t="s">
        <v>3</v>
      </c>
      <c r="S6" s="22">
        <f t="shared" si="0"/>
        <v>136.42857142857142</v>
      </c>
      <c r="T6" s="22">
        <f t="shared" si="1"/>
        <v>13.714285714285714</v>
      </c>
      <c r="U6" s="22">
        <f t="shared" si="2"/>
        <v>19.142857142857142</v>
      </c>
      <c r="V6" s="22">
        <f t="shared" si="3"/>
        <v>43.571428571428569</v>
      </c>
      <c r="W6" s="22">
        <f t="shared" si="4"/>
        <v>30.571428571428573</v>
      </c>
      <c r="X6" s="22">
        <f t="shared" si="5"/>
        <v>7.5714285714285712</v>
      </c>
      <c r="Y6" s="22">
        <f t="shared" si="6"/>
        <v>18.714285714285715</v>
      </c>
      <c r="Z6" s="22">
        <f t="shared" si="7"/>
        <v>3.1428571428571428</v>
      </c>
      <c r="AD6" s="15" t="s">
        <v>134</v>
      </c>
      <c r="AE6" t="s">
        <v>137</v>
      </c>
      <c r="AF6" t="s">
        <v>21</v>
      </c>
      <c r="AG6" t="s">
        <v>22</v>
      </c>
      <c r="AH6" t="s">
        <v>138</v>
      </c>
      <c r="AI6" t="s">
        <v>26</v>
      </c>
      <c r="AJ6" t="s">
        <v>27</v>
      </c>
      <c r="AK6" t="s">
        <v>28</v>
      </c>
      <c r="AL6" t="s">
        <v>139</v>
      </c>
      <c r="AO6" s="8" t="s">
        <v>3</v>
      </c>
      <c r="AP6" s="22">
        <f t="shared" si="8"/>
        <v>9.1428571428571423</v>
      </c>
      <c r="AQ6" s="22">
        <f t="shared" si="9"/>
        <v>0.5714285714285714</v>
      </c>
      <c r="AR6" s="22">
        <f t="shared" si="10"/>
        <v>1.2857142857142858</v>
      </c>
      <c r="AS6" s="22">
        <f t="shared" si="11"/>
        <v>2.8571428571428572</v>
      </c>
      <c r="AT6" s="22">
        <f t="shared" si="12"/>
        <v>3.7142857142857144</v>
      </c>
      <c r="AU6" s="22">
        <f t="shared" si="13"/>
        <v>0</v>
      </c>
      <c r="AV6" s="22">
        <f t="shared" si="14"/>
        <v>0.7142857142857143</v>
      </c>
      <c r="AW6" s="22">
        <f t="shared" si="15"/>
        <v>0</v>
      </c>
    </row>
    <row r="7" spans="2:49" x14ac:dyDescent="0.35">
      <c r="B7" s="16">
        <v>3</v>
      </c>
      <c r="C7">
        <v>955</v>
      </c>
      <c r="D7">
        <v>64</v>
      </c>
      <c r="G7" s="16" t="s">
        <v>1</v>
      </c>
      <c r="H7">
        <v>94</v>
      </c>
      <c r="I7">
        <v>130</v>
      </c>
      <c r="J7">
        <v>225</v>
      </c>
      <c r="K7">
        <v>302</v>
      </c>
      <c r="L7">
        <v>34</v>
      </c>
      <c r="M7">
        <v>141</v>
      </c>
      <c r="N7">
        <v>114</v>
      </c>
      <c r="O7">
        <v>1040</v>
      </c>
      <c r="R7" s="8" t="s">
        <v>4</v>
      </c>
      <c r="S7" s="22">
        <f t="shared" si="0"/>
        <v>94.285714285714292</v>
      </c>
      <c r="T7" s="22">
        <f t="shared" si="1"/>
        <v>11.571428571428571</v>
      </c>
      <c r="U7" s="22">
        <f t="shared" si="2"/>
        <v>10.285714285714286</v>
      </c>
      <c r="V7" s="22">
        <f t="shared" si="3"/>
        <v>30</v>
      </c>
      <c r="W7" s="22">
        <f t="shared" si="4"/>
        <v>15.285714285714286</v>
      </c>
      <c r="X7" s="22">
        <f t="shared" si="5"/>
        <v>5.7142857142857144</v>
      </c>
      <c r="Y7" s="22">
        <f t="shared" si="6"/>
        <v>17.428571428571427</v>
      </c>
      <c r="Z7" s="22">
        <f t="shared" si="7"/>
        <v>4</v>
      </c>
      <c r="AD7" s="16" t="s">
        <v>1</v>
      </c>
      <c r="AE7">
        <v>3</v>
      </c>
      <c r="AF7">
        <v>8</v>
      </c>
      <c r="AG7">
        <v>5</v>
      </c>
      <c r="AH7">
        <v>8</v>
      </c>
      <c r="AI7">
        <v>0</v>
      </c>
      <c r="AJ7">
        <v>22</v>
      </c>
      <c r="AK7">
        <v>2</v>
      </c>
      <c r="AL7">
        <v>48</v>
      </c>
      <c r="AO7" s="8" t="s">
        <v>4</v>
      </c>
      <c r="AP7" s="22">
        <f t="shared" si="8"/>
        <v>6.8571428571428568</v>
      </c>
      <c r="AQ7" s="22">
        <f t="shared" si="9"/>
        <v>0.42857142857142855</v>
      </c>
      <c r="AR7" s="22">
        <f t="shared" si="10"/>
        <v>0</v>
      </c>
      <c r="AS7" s="22">
        <f t="shared" si="11"/>
        <v>0.42857142857142855</v>
      </c>
      <c r="AT7" s="22">
        <f t="shared" si="12"/>
        <v>4.4285714285714288</v>
      </c>
      <c r="AU7" s="22">
        <f t="shared" si="13"/>
        <v>0</v>
      </c>
      <c r="AV7" s="22">
        <f t="shared" si="14"/>
        <v>1.5714285714285714</v>
      </c>
      <c r="AW7" s="22">
        <f t="shared" si="15"/>
        <v>0</v>
      </c>
    </row>
    <row r="8" spans="2:49" x14ac:dyDescent="0.35">
      <c r="B8" s="16">
        <v>4</v>
      </c>
      <c r="C8">
        <v>660</v>
      </c>
      <c r="D8">
        <v>48</v>
      </c>
      <c r="G8" s="16" t="s">
        <v>2</v>
      </c>
      <c r="H8">
        <v>129</v>
      </c>
      <c r="I8">
        <v>158</v>
      </c>
      <c r="J8">
        <v>190</v>
      </c>
      <c r="K8">
        <v>356</v>
      </c>
      <c r="L8">
        <v>38</v>
      </c>
      <c r="M8">
        <v>151</v>
      </c>
      <c r="N8">
        <v>115</v>
      </c>
      <c r="O8">
        <v>1137</v>
      </c>
      <c r="R8" s="8" t="s">
        <v>5</v>
      </c>
      <c r="S8" s="22">
        <f t="shared" si="0"/>
        <v>84</v>
      </c>
      <c r="T8" s="22">
        <f t="shared" si="1"/>
        <v>13.714285714285714</v>
      </c>
      <c r="U8" s="22">
        <f t="shared" si="2"/>
        <v>10.857142857142858</v>
      </c>
      <c r="V8" s="22">
        <f t="shared" si="3"/>
        <v>18.285714285714285</v>
      </c>
      <c r="W8" s="22">
        <f t="shared" si="4"/>
        <v>24.571428571428573</v>
      </c>
      <c r="X8" s="22">
        <f t="shared" si="5"/>
        <v>9.2857142857142865</v>
      </c>
      <c r="Y8" s="22">
        <f t="shared" si="6"/>
        <v>6</v>
      </c>
      <c r="Z8" s="22">
        <f t="shared" si="7"/>
        <v>1.2857142857142858</v>
      </c>
      <c r="AD8" s="16" t="s">
        <v>2</v>
      </c>
      <c r="AE8">
        <v>11</v>
      </c>
      <c r="AF8">
        <v>13</v>
      </c>
      <c r="AG8">
        <v>9</v>
      </c>
      <c r="AH8">
        <v>11</v>
      </c>
      <c r="AI8">
        <v>0</v>
      </c>
      <c r="AJ8">
        <v>29</v>
      </c>
      <c r="AK8">
        <v>0</v>
      </c>
      <c r="AL8">
        <v>73</v>
      </c>
      <c r="AO8" s="8" t="s">
        <v>5</v>
      </c>
      <c r="AP8" s="22">
        <f t="shared" si="8"/>
        <v>10.285714285714286</v>
      </c>
      <c r="AQ8" s="22">
        <f t="shared" si="9"/>
        <v>0.2857142857142857</v>
      </c>
      <c r="AR8" s="22">
        <f t="shared" si="10"/>
        <v>1.7142857142857142</v>
      </c>
      <c r="AS8" s="22">
        <f t="shared" si="11"/>
        <v>1.4285714285714286</v>
      </c>
      <c r="AT8" s="22">
        <f t="shared" si="12"/>
        <v>5.8571428571428568</v>
      </c>
      <c r="AU8" s="22">
        <f t="shared" si="13"/>
        <v>0</v>
      </c>
      <c r="AV8" s="22">
        <f t="shared" si="14"/>
        <v>1</v>
      </c>
      <c r="AW8" s="22">
        <f t="shared" si="15"/>
        <v>0</v>
      </c>
    </row>
    <row r="9" spans="2:49" x14ac:dyDescent="0.35">
      <c r="B9" s="16">
        <v>5</v>
      </c>
      <c r="C9">
        <v>588</v>
      </c>
      <c r="D9">
        <v>72</v>
      </c>
      <c r="G9" s="16" t="s">
        <v>3</v>
      </c>
      <c r="H9">
        <v>131</v>
      </c>
      <c r="I9">
        <v>96</v>
      </c>
      <c r="J9">
        <v>134</v>
      </c>
      <c r="K9">
        <v>305</v>
      </c>
      <c r="L9">
        <v>22</v>
      </c>
      <c r="M9">
        <v>214</v>
      </c>
      <c r="N9">
        <v>53</v>
      </c>
      <c r="O9">
        <v>955</v>
      </c>
      <c r="R9" s="17" t="s">
        <v>6</v>
      </c>
      <c r="S9" s="22">
        <f t="shared" si="0"/>
        <v>78.142857142857139</v>
      </c>
      <c r="T9" s="22">
        <f t="shared" si="1"/>
        <v>4</v>
      </c>
      <c r="U9" s="22">
        <f t="shared" si="2"/>
        <v>3</v>
      </c>
      <c r="V9" s="22">
        <f t="shared" si="3"/>
        <v>15.285714285714286</v>
      </c>
      <c r="W9" s="22">
        <f t="shared" si="4"/>
        <v>36.714285714285715</v>
      </c>
      <c r="X9" s="22">
        <f t="shared" si="5"/>
        <v>9</v>
      </c>
      <c r="Y9" s="22">
        <f t="shared" si="6"/>
        <v>8.1428571428571423</v>
      </c>
      <c r="Z9" s="22">
        <f t="shared" si="7"/>
        <v>2</v>
      </c>
      <c r="AD9" s="16" t="s">
        <v>3</v>
      </c>
      <c r="AE9">
        <v>5</v>
      </c>
      <c r="AF9">
        <v>4</v>
      </c>
      <c r="AG9">
        <v>9</v>
      </c>
      <c r="AH9">
        <v>20</v>
      </c>
      <c r="AI9">
        <v>0</v>
      </c>
      <c r="AJ9">
        <v>26</v>
      </c>
      <c r="AK9">
        <v>0</v>
      </c>
      <c r="AL9">
        <v>64</v>
      </c>
      <c r="AO9" s="17" t="s">
        <v>6</v>
      </c>
      <c r="AP9" s="22">
        <f t="shared" si="8"/>
        <v>6.4285714285714288</v>
      </c>
      <c r="AQ9" s="22">
        <f t="shared" si="9"/>
        <v>0</v>
      </c>
      <c r="AR9" s="22">
        <f t="shared" si="10"/>
        <v>0</v>
      </c>
      <c r="AS9" s="22">
        <f t="shared" si="11"/>
        <v>0.8571428571428571</v>
      </c>
      <c r="AT9" s="22">
        <f t="shared" si="12"/>
        <v>5</v>
      </c>
      <c r="AU9" s="22">
        <f t="shared" si="13"/>
        <v>0</v>
      </c>
      <c r="AV9" s="22">
        <f t="shared" si="14"/>
        <v>0.5714285714285714</v>
      </c>
      <c r="AW9" s="22">
        <f t="shared" si="15"/>
        <v>0</v>
      </c>
    </row>
    <row r="10" spans="2:49" x14ac:dyDescent="0.35">
      <c r="B10" s="16">
        <v>6</v>
      </c>
      <c r="C10">
        <v>547</v>
      </c>
      <c r="D10">
        <v>45</v>
      </c>
      <c r="G10" s="16" t="s">
        <v>4</v>
      </c>
      <c r="H10">
        <v>122</v>
      </c>
      <c r="I10">
        <v>81</v>
      </c>
      <c r="J10">
        <v>72</v>
      </c>
      <c r="K10">
        <v>210</v>
      </c>
      <c r="L10">
        <v>28</v>
      </c>
      <c r="M10">
        <v>107</v>
      </c>
      <c r="N10">
        <v>40</v>
      </c>
      <c r="O10">
        <v>660</v>
      </c>
      <c r="R10" s="17" t="s">
        <v>7</v>
      </c>
      <c r="S10" s="22">
        <f t="shared" si="0"/>
        <v>58.714285714285715</v>
      </c>
      <c r="T10" s="22">
        <f t="shared" si="1"/>
        <v>5.5714285714285712</v>
      </c>
      <c r="U10" s="22">
        <f t="shared" si="2"/>
        <v>5.1428571428571432</v>
      </c>
      <c r="V10" s="22">
        <f t="shared" si="3"/>
        <v>10.857142857142858</v>
      </c>
      <c r="W10" s="22">
        <f t="shared" si="4"/>
        <v>28.857142857142858</v>
      </c>
      <c r="X10" s="22">
        <f t="shared" si="5"/>
        <v>5.4285714285714288</v>
      </c>
      <c r="Y10" s="22">
        <f t="shared" si="6"/>
        <v>2.2857142857142856</v>
      </c>
      <c r="Z10" s="22">
        <f t="shared" si="7"/>
        <v>0.5714285714285714</v>
      </c>
      <c r="AD10" s="16" t="s">
        <v>4</v>
      </c>
      <c r="AE10">
        <v>11</v>
      </c>
      <c r="AF10">
        <v>3</v>
      </c>
      <c r="AG10">
        <v>0</v>
      </c>
      <c r="AH10">
        <v>3</v>
      </c>
      <c r="AI10">
        <v>0</v>
      </c>
      <c r="AJ10">
        <v>31</v>
      </c>
      <c r="AK10">
        <v>0</v>
      </c>
      <c r="AL10">
        <v>48</v>
      </c>
      <c r="AO10" s="17" t="s">
        <v>7</v>
      </c>
      <c r="AP10" s="22">
        <f t="shared" si="8"/>
        <v>7.4285714285714288</v>
      </c>
      <c r="AQ10" s="22">
        <f t="shared" si="9"/>
        <v>0</v>
      </c>
      <c r="AR10" s="22">
        <f t="shared" si="10"/>
        <v>0</v>
      </c>
      <c r="AS10" s="22">
        <f t="shared" si="11"/>
        <v>2</v>
      </c>
      <c r="AT10" s="22">
        <f t="shared" si="12"/>
        <v>4.8571428571428568</v>
      </c>
      <c r="AU10" s="22">
        <f t="shared" si="13"/>
        <v>0</v>
      </c>
      <c r="AV10" s="22">
        <f t="shared" si="14"/>
        <v>0.5714285714285714</v>
      </c>
      <c r="AW10" s="22">
        <f t="shared" si="15"/>
        <v>0</v>
      </c>
    </row>
    <row r="11" spans="2:49" x14ac:dyDescent="0.35">
      <c r="B11" s="16">
        <v>7</v>
      </c>
      <c r="C11">
        <v>411</v>
      </c>
      <c r="D11">
        <v>52</v>
      </c>
      <c r="G11" s="16" t="s">
        <v>5</v>
      </c>
      <c r="H11">
        <v>42</v>
      </c>
      <c r="I11">
        <v>96</v>
      </c>
      <c r="J11">
        <v>76</v>
      </c>
      <c r="K11">
        <v>128</v>
      </c>
      <c r="L11">
        <v>9</v>
      </c>
      <c r="M11">
        <v>172</v>
      </c>
      <c r="N11">
        <v>65</v>
      </c>
      <c r="O11">
        <v>588</v>
      </c>
      <c r="R11" s="17" t="s">
        <v>8</v>
      </c>
      <c r="S11" s="22">
        <f t="shared" si="0"/>
        <v>34.428571428571431</v>
      </c>
      <c r="T11" s="22">
        <f t="shared" si="1"/>
        <v>1.8571428571428572</v>
      </c>
      <c r="U11" s="22">
        <f t="shared" si="2"/>
        <v>2</v>
      </c>
      <c r="V11" s="22">
        <f t="shared" si="3"/>
        <v>5.8571428571428568</v>
      </c>
      <c r="W11" s="22">
        <f t="shared" si="4"/>
        <v>19</v>
      </c>
      <c r="X11" s="22">
        <f t="shared" si="5"/>
        <v>4.4285714285714288</v>
      </c>
      <c r="Y11" s="22">
        <f t="shared" si="6"/>
        <v>1.2857142857142858</v>
      </c>
      <c r="Z11" s="22">
        <f t="shared" si="7"/>
        <v>0</v>
      </c>
      <c r="AD11" s="16" t="s">
        <v>5</v>
      </c>
      <c r="AE11">
        <v>7</v>
      </c>
      <c r="AF11">
        <v>2</v>
      </c>
      <c r="AG11">
        <v>12</v>
      </c>
      <c r="AH11">
        <v>10</v>
      </c>
      <c r="AI11">
        <v>0</v>
      </c>
      <c r="AJ11">
        <v>41</v>
      </c>
      <c r="AK11">
        <v>0</v>
      </c>
      <c r="AL11">
        <v>72</v>
      </c>
      <c r="AO11" s="17" t="s">
        <v>8</v>
      </c>
      <c r="AP11" s="22">
        <f t="shared" si="8"/>
        <v>5</v>
      </c>
      <c r="AQ11" s="22">
        <f t="shared" si="9"/>
        <v>0</v>
      </c>
      <c r="AR11" s="22">
        <f t="shared" si="10"/>
        <v>0</v>
      </c>
      <c r="AS11" s="22">
        <f t="shared" si="11"/>
        <v>0.8571428571428571</v>
      </c>
      <c r="AT11" s="22">
        <f t="shared" si="12"/>
        <v>4.1428571428571432</v>
      </c>
      <c r="AU11" s="22">
        <f t="shared" si="13"/>
        <v>0</v>
      </c>
      <c r="AV11" s="22">
        <f t="shared" si="14"/>
        <v>0</v>
      </c>
      <c r="AW11" s="22">
        <f t="shared" si="15"/>
        <v>0</v>
      </c>
    </row>
    <row r="12" spans="2:49" x14ac:dyDescent="0.35">
      <c r="B12" s="16">
        <v>8</v>
      </c>
      <c r="C12">
        <v>241</v>
      </c>
      <c r="D12">
        <v>35</v>
      </c>
      <c r="G12" s="16" t="s">
        <v>6</v>
      </c>
      <c r="H12">
        <v>57</v>
      </c>
      <c r="I12">
        <v>28</v>
      </c>
      <c r="J12">
        <v>21</v>
      </c>
      <c r="K12">
        <v>107</v>
      </c>
      <c r="L12">
        <v>14</v>
      </c>
      <c r="M12">
        <v>257</v>
      </c>
      <c r="N12">
        <v>63</v>
      </c>
      <c r="O12">
        <v>547</v>
      </c>
      <c r="R12" s="17" t="s">
        <v>9</v>
      </c>
      <c r="S12" s="22" t="e">
        <f t="shared" si="0"/>
        <v>#N/A</v>
      </c>
      <c r="T12" s="22" t="e">
        <f t="shared" si="1"/>
        <v>#N/A</v>
      </c>
      <c r="U12" s="22" t="e">
        <f t="shared" si="2"/>
        <v>#N/A</v>
      </c>
      <c r="V12" s="22" t="e">
        <f t="shared" si="3"/>
        <v>#N/A</v>
      </c>
      <c r="W12" s="22" t="e">
        <f t="shared" si="4"/>
        <v>#N/A</v>
      </c>
      <c r="X12" s="22" t="e">
        <f t="shared" si="5"/>
        <v>#N/A</v>
      </c>
      <c r="Y12" s="22" t="e">
        <f t="shared" si="6"/>
        <v>#N/A</v>
      </c>
      <c r="Z12" s="22" t="e">
        <f t="shared" si="7"/>
        <v>#N/A</v>
      </c>
      <c r="AD12" s="16" t="s">
        <v>6</v>
      </c>
      <c r="AE12">
        <v>4</v>
      </c>
      <c r="AF12">
        <v>0</v>
      </c>
      <c r="AG12">
        <v>0</v>
      </c>
      <c r="AH12">
        <v>6</v>
      </c>
      <c r="AI12">
        <v>0</v>
      </c>
      <c r="AJ12">
        <v>35</v>
      </c>
      <c r="AK12">
        <v>0</v>
      </c>
      <c r="AL12">
        <v>45</v>
      </c>
      <c r="AO12" s="17" t="s">
        <v>9</v>
      </c>
      <c r="AP12" s="22" t="e">
        <f t="shared" si="8"/>
        <v>#N/A</v>
      </c>
      <c r="AQ12" s="22" t="e">
        <f t="shared" si="9"/>
        <v>#N/A</v>
      </c>
      <c r="AR12" s="22" t="e">
        <f t="shared" si="10"/>
        <v>#N/A</v>
      </c>
      <c r="AS12" s="22" t="e">
        <f t="shared" si="11"/>
        <v>#N/A</v>
      </c>
      <c r="AT12" s="22" t="e">
        <f t="shared" si="12"/>
        <v>#N/A</v>
      </c>
      <c r="AU12" s="22" t="e">
        <f t="shared" si="13"/>
        <v>#N/A</v>
      </c>
      <c r="AV12" s="22" t="e">
        <f t="shared" si="14"/>
        <v>#N/A</v>
      </c>
      <c r="AW12" s="22" t="e">
        <f t="shared" si="15"/>
        <v>#N/A</v>
      </c>
    </row>
    <row r="13" spans="2:49" x14ac:dyDescent="0.35">
      <c r="B13" s="16" t="s">
        <v>139</v>
      </c>
      <c r="C13">
        <v>5579</v>
      </c>
      <c r="D13">
        <v>437</v>
      </c>
      <c r="G13" s="16" t="s">
        <v>7</v>
      </c>
      <c r="H13">
        <v>16</v>
      </c>
      <c r="I13">
        <v>39</v>
      </c>
      <c r="J13">
        <v>36</v>
      </c>
      <c r="K13">
        <v>76</v>
      </c>
      <c r="L13">
        <v>4</v>
      </c>
      <c r="M13">
        <v>202</v>
      </c>
      <c r="N13">
        <v>38</v>
      </c>
      <c r="O13">
        <v>411</v>
      </c>
      <c r="R13" s="17" t="s">
        <v>10</v>
      </c>
      <c r="S13" s="22" t="e">
        <f t="shared" si="0"/>
        <v>#N/A</v>
      </c>
      <c r="T13" s="22" t="e">
        <f t="shared" si="1"/>
        <v>#N/A</v>
      </c>
      <c r="U13" s="22" t="e">
        <f t="shared" si="2"/>
        <v>#N/A</v>
      </c>
      <c r="V13" s="22" t="e">
        <f t="shared" si="3"/>
        <v>#N/A</v>
      </c>
      <c r="W13" s="22" t="e">
        <f t="shared" si="4"/>
        <v>#N/A</v>
      </c>
      <c r="X13" s="22" t="e">
        <f t="shared" si="5"/>
        <v>#N/A</v>
      </c>
      <c r="Y13" s="22" t="e">
        <f t="shared" si="6"/>
        <v>#N/A</v>
      </c>
      <c r="Z13" s="22" t="e">
        <f t="shared" si="7"/>
        <v>#N/A</v>
      </c>
      <c r="AD13" s="16" t="s">
        <v>7</v>
      </c>
      <c r="AE13">
        <v>4</v>
      </c>
      <c r="AF13">
        <v>0</v>
      </c>
      <c r="AG13">
        <v>0</v>
      </c>
      <c r="AH13">
        <v>14</v>
      </c>
      <c r="AI13">
        <v>0</v>
      </c>
      <c r="AJ13">
        <v>34</v>
      </c>
      <c r="AK13">
        <v>0</v>
      </c>
      <c r="AL13">
        <v>52</v>
      </c>
      <c r="AO13" s="17" t="s">
        <v>10</v>
      </c>
      <c r="AP13" s="22" t="e">
        <f t="shared" si="8"/>
        <v>#N/A</v>
      </c>
      <c r="AQ13" s="22" t="e">
        <f t="shared" si="9"/>
        <v>#N/A</v>
      </c>
      <c r="AR13" s="22" t="e">
        <f t="shared" si="10"/>
        <v>#N/A</v>
      </c>
      <c r="AS13" s="22" t="e">
        <f t="shared" si="11"/>
        <v>#N/A</v>
      </c>
      <c r="AT13" s="22" t="e">
        <f t="shared" si="12"/>
        <v>#N/A</v>
      </c>
      <c r="AU13" s="22" t="e">
        <f t="shared" si="13"/>
        <v>#N/A</v>
      </c>
      <c r="AV13" s="22" t="e">
        <f t="shared" si="14"/>
        <v>#N/A</v>
      </c>
      <c r="AW13" s="22" t="e">
        <f t="shared" si="15"/>
        <v>#N/A</v>
      </c>
    </row>
    <row r="14" spans="2:49" x14ac:dyDescent="0.35">
      <c r="G14" s="16" t="s">
        <v>8</v>
      </c>
      <c r="H14">
        <v>9</v>
      </c>
      <c r="I14">
        <v>13</v>
      </c>
      <c r="J14">
        <v>14</v>
      </c>
      <c r="K14">
        <v>41</v>
      </c>
      <c r="L14">
        <v>0</v>
      </c>
      <c r="M14">
        <v>133</v>
      </c>
      <c r="N14">
        <v>31</v>
      </c>
      <c r="O14">
        <v>241</v>
      </c>
      <c r="R14" s="17" t="s">
        <v>11</v>
      </c>
      <c r="S14" s="22" t="e">
        <f t="shared" si="0"/>
        <v>#N/A</v>
      </c>
      <c r="T14" s="22" t="e">
        <f t="shared" si="1"/>
        <v>#N/A</v>
      </c>
      <c r="U14" s="22" t="e">
        <f t="shared" si="2"/>
        <v>#N/A</v>
      </c>
      <c r="V14" s="22" t="e">
        <f t="shared" si="3"/>
        <v>#N/A</v>
      </c>
      <c r="W14" s="22" t="e">
        <f t="shared" si="4"/>
        <v>#N/A</v>
      </c>
      <c r="X14" s="22" t="e">
        <f t="shared" si="5"/>
        <v>#N/A</v>
      </c>
      <c r="Y14" s="22" t="e">
        <f t="shared" si="6"/>
        <v>#N/A</v>
      </c>
      <c r="Z14" s="22" t="e">
        <f t="shared" si="7"/>
        <v>#N/A</v>
      </c>
      <c r="AD14" s="16" t="s">
        <v>8</v>
      </c>
      <c r="AE14">
        <v>0</v>
      </c>
      <c r="AF14">
        <v>0</v>
      </c>
      <c r="AG14">
        <v>0</v>
      </c>
      <c r="AH14">
        <v>6</v>
      </c>
      <c r="AI14">
        <v>0</v>
      </c>
      <c r="AJ14">
        <v>29</v>
      </c>
      <c r="AK14">
        <v>0</v>
      </c>
      <c r="AL14">
        <v>35</v>
      </c>
      <c r="AO14" s="17" t="s">
        <v>11</v>
      </c>
      <c r="AP14" s="22" t="e">
        <f t="shared" si="8"/>
        <v>#N/A</v>
      </c>
      <c r="AQ14" s="22" t="e">
        <f t="shared" si="9"/>
        <v>#N/A</v>
      </c>
      <c r="AR14" s="22" t="e">
        <f t="shared" si="10"/>
        <v>#N/A</v>
      </c>
      <c r="AS14" s="22" t="e">
        <f t="shared" si="11"/>
        <v>#N/A</v>
      </c>
      <c r="AT14" s="22" t="e">
        <f t="shared" si="12"/>
        <v>#N/A</v>
      </c>
      <c r="AU14" s="22" t="e">
        <f t="shared" si="13"/>
        <v>#N/A</v>
      </c>
      <c r="AV14" s="22" t="e">
        <f t="shared" si="14"/>
        <v>#N/A</v>
      </c>
      <c r="AW14" s="22" t="e">
        <f t="shared" si="15"/>
        <v>#N/A</v>
      </c>
    </row>
    <row r="15" spans="2:49" x14ac:dyDescent="0.35">
      <c r="G15" s="16" t="s">
        <v>139</v>
      </c>
      <c r="H15">
        <v>600</v>
      </c>
      <c r="I15">
        <v>641</v>
      </c>
      <c r="J15">
        <v>768</v>
      </c>
      <c r="K15">
        <v>1525</v>
      </c>
      <c r="L15">
        <v>149</v>
      </c>
      <c r="M15">
        <v>1377</v>
      </c>
      <c r="N15">
        <v>519</v>
      </c>
      <c r="O15">
        <v>5579</v>
      </c>
      <c r="R15" s="17" t="s">
        <v>12</v>
      </c>
      <c r="S15" s="22" t="e">
        <f t="shared" si="0"/>
        <v>#N/A</v>
      </c>
      <c r="T15" s="22" t="e">
        <f t="shared" si="1"/>
        <v>#N/A</v>
      </c>
      <c r="U15" s="22" t="e">
        <f t="shared" si="2"/>
        <v>#N/A</v>
      </c>
      <c r="V15" s="22" t="e">
        <f t="shared" si="3"/>
        <v>#N/A</v>
      </c>
      <c r="W15" s="22" t="e">
        <f t="shared" si="4"/>
        <v>#N/A</v>
      </c>
      <c r="X15" s="22" t="e">
        <f t="shared" si="5"/>
        <v>#N/A</v>
      </c>
      <c r="Y15" s="22" t="e">
        <f t="shared" si="6"/>
        <v>#N/A</v>
      </c>
      <c r="Z15" s="22" t="e">
        <f t="shared" si="7"/>
        <v>#N/A</v>
      </c>
      <c r="AD15" s="16" t="s">
        <v>139</v>
      </c>
      <c r="AE15">
        <v>45</v>
      </c>
      <c r="AF15">
        <v>30</v>
      </c>
      <c r="AG15">
        <v>35</v>
      </c>
      <c r="AH15">
        <v>78</v>
      </c>
      <c r="AI15">
        <v>0</v>
      </c>
      <c r="AJ15">
        <v>247</v>
      </c>
      <c r="AK15">
        <v>2</v>
      </c>
      <c r="AL15">
        <v>437</v>
      </c>
      <c r="AO15" s="17" t="s">
        <v>12</v>
      </c>
      <c r="AP15" s="22" t="e">
        <f t="shared" si="8"/>
        <v>#N/A</v>
      </c>
      <c r="AQ15" s="22" t="e">
        <f t="shared" si="9"/>
        <v>#N/A</v>
      </c>
      <c r="AR15" s="22" t="e">
        <f t="shared" si="10"/>
        <v>#N/A</v>
      </c>
      <c r="AS15" s="22" t="e">
        <f t="shared" si="11"/>
        <v>#N/A</v>
      </c>
      <c r="AT15" s="22" t="e">
        <f t="shared" si="12"/>
        <v>#N/A</v>
      </c>
      <c r="AU15" s="22" t="e">
        <f t="shared" si="13"/>
        <v>#N/A</v>
      </c>
      <c r="AV15" s="22" t="e">
        <f t="shared" si="14"/>
        <v>#N/A</v>
      </c>
      <c r="AW15" s="22" t="e">
        <f t="shared" si="15"/>
        <v>#N/A</v>
      </c>
    </row>
    <row r="16" spans="2:49" x14ac:dyDescent="0.35">
      <c r="R16" s="17" t="s">
        <v>13</v>
      </c>
      <c r="S16" s="22" t="e">
        <f t="shared" si="0"/>
        <v>#N/A</v>
      </c>
      <c r="T16" s="22" t="e">
        <f t="shared" si="1"/>
        <v>#N/A</v>
      </c>
      <c r="U16" s="22" t="e">
        <f t="shared" si="2"/>
        <v>#N/A</v>
      </c>
      <c r="V16" s="22" t="e">
        <f t="shared" si="3"/>
        <v>#N/A</v>
      </c>
      <c r="W16" s="22" t="e">
        <f t="shared" si="4"/>
        <v>#N/A</v>
      </c>
      <c r="X16" s="22" t="e">
        <f t="shared" si="5"/>
        <v>#N/A</v>
      </c>
      <c r="Y16" s="22" t="e">
        <f t="shared" si="6"/>
        <v>#N/A</v>
      </c>
      <c r="Z16" s="22" t="e">
        <f t="shared" si="7"/>
        <v>#N/A</v>
      </c>
      <c r="AO16" s="17" t="s">
        <v>13</v>
      </c>
      <c r="AP16" s="22" t="e">
        <f t="shared" si="8"/>
        <v>#N/A</v>
      </c>
      <c r="AQ16" s="22" t="e">
        <f t="shared" si="9"/>
        <v>#N/A</v>
      </c>
      <c r="AR16" s="22" t="e">
        <f t="shared" si="10"/>
        <v>#N/A</v>
      </c>
      <c r="AS16" s="22" t="e">
        <f t="shared" si="11"/>
        <v>#N/A</v>
      </c>
      <c r="AT16" s="22" t="e">
        <f t="shared" si="12"/>
        <v>#N/A</v>
      </c>
      <c r="AU16" s="22" t="e">
        <f t="shared" si="13"/>
        <v>#N/A</v>
      </c>
      <c r="AV16" s="22" t="e">
        <f t="shared" si="14"/>
        <v>#N/A</v>
      </c>
      <c r="AW16" s="22" t="e">
        <f t="shared" si="15"/>
        <v>#N/A</v>
      </c>
    </row>
    <row r="17" spans="18:49" x14ac:dyDescent="0.35">
      <c r="R17" s="17" t="s">
        <v>14</v>
      </c>
      <c r="S17" s="22" t="e">
        <f t="shared" ref="S17" si="16">(VLOOKUP(R17,$G$7:$O$1048576,9,0))/7</f>
        <v>#N/A</v>
      </c>
      <c r="T17" s="22" t="e">
        <f t="shared" si="1"/>
        <v>#N/A</v>
      </c>
      <c r="U17" s="22" t="e">
        <f t="shared" si="2"/>
        <v>#N/A</v>
      </c>
      <c r="V17" s="22" t="e">
        <f t="shared" si="3"/>
        <v>#N/A</v>
      </c>
      <c r="W17" s="22" t="e">
        <f t="shared" si="4"/>
        <v>#N/A</v>
      </c>
      <c r="X17" s="22" t="e">
        <f t="shared" si="5"/>
        <v>#N/A</v>
      </c>
      <c r="Y17" s="22" t="e">
        <f t="shared" si="6"/>
        <v>#N/A</v>
      </c>
      <c r="Z17" s="22" t="e">
        <f t="shared" si="7"/>
        <v>#N/A</v>
      </c>
      <c r="AO17" s="17" t="s">
        <v>14</v>
      </c>
      <c r="AP17" s="22" t="e">
        <f t="shared" ref="AP17" si="17">(VLOOKUP(AO17,$AD$7:$AL$1048576,9,0))/7</f>
        <v>#N/A</v>
      </c>
      <c r="AQ17" s="22" t="e">
        <f t="shared" si="9"/>
        <v>#N/A</v>
      </c>
      <c r="AR17" s="22" t="e">
        <f t="shared" si="10"/>
        <v>#N/A</v>
      </c>
      <c r="AS17" s="22" t="e">
        <f t="shared" si="11"/>
        <v>#N/A</v>
      </c>
      <c r="AT17" s="22" t="e">
        <f t="shared" si="12"/>
        <v>#N/A</v>
      </c>
      <c r="AU17" s="22" t="e">
        <f t="shared" si="13"/>
        <v>#N/A</v>
      </c>
      <c r="AV17" s="22" t="e">
        <f t="shared" si="14"/>
        <v>#N/A</v>
      </c>
      <c r="AW17" s="22" t="e">
        <f t="shared" si="15"/>
        <v>#N/A</v>
      </c>
    </row>
    <row r="18" spans="18:49" x14ac:dyDescent="0.35">
      <c r="R18" s="17"/>
      <c r="S18" s="22"/>
      <c r="T18" s="22"/>
      <c r="U18" s="22"/>
      <c r="V18" s="22"/>
      <c r="W18" s="22"/>
      <c r="X18" s="22"/>
      <c r="Y18" s="22"/>
      <c r="Z18" s="22"/>
    </row>
  </sheetData>
  <phoneticPr fontId="20" type="noConversion"/>
  <pageMargins left="0.7" right="0.7" top="0.75" bottom="0.75" header="0.3" footer="0.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
  <sheetViews>
    <sheetView workbookViewId="0">
      <selection activeCell="K23" sqref="K23"/>
    </sheetView>
  </sheetViews>
  <sheetFormatPr defaultRowHeight="14.5" x14ac:dyDescent="0.35"/>
  <sheetData/>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_rels/item6.xml.rels><?xml version="1.0" encoding="UTF-8" standalone="yes"?>
<Relationships xmlns="http://schemas.openxmlformats.org/package/2006/relationships"><Relationship Id="rId1" Type="http://schemas.openxmlformats.org/officeDocument/2006/relationships/customXmlProps" Target="itemProps6.xml"/></Relationships>
</file>

<file path=customXml/_rels/item7.xml.rels><?xml version="1.0" encoding="UTF-8" standalone="yes"?>
<Relationships xmlns="http://schemas.openxmlformats.org/package/2006/relationships"><Relationship Id="rId1" Type="http://schemas.openxmlformats.org/officeDocument/2006/relationships/customXmlProps" Target="itemProps7.xml"/></Relationships>
</file>

<file path=customXml/_rels/item8.xml.rels><?xml version="1.0" encoding="UTF-8" standalone="yes"?>
<Relationships xmlns="http://schemas.openxmlformats.org/package/2006/relationships"><Relationship Id="rId1" Type="http://schemas.openxmlformats.org/officeDocument/2006/relationships/customXmlProps" Target="itemProps8.xml"/></Relationships>
</file>

<file path=customXml/_rels/item9.xml.rels><?xml version="1.0" encoding="UTF-8" standalone="yes"?>
<Relationships xmlns="http://schemas.openxmlformats.org/package/2006/relationships"><Relationship Id="rId1" Type="http://schemas.openxmlformats.org/officeDocument/2006/relationships/customXmlProps" Target="itemProps9.xml"/></Relationships>
</file>

<file path=customXml/_rels/item10.xml.rels><?xml version="1.0" encoding="UTF-8" standalone="yes"?>
<Relationships xmlns="http://schemas.openxmlformats.org/package/2006/relationships"><Relationship Id="rId1" Type="http://schemas.openxmlformats.org/officeDocument/2006/relationships/customXmlProps" Target="itemProps10.xml"/></Relationships>
</file>

<file path=customXml/_rels/item11.xml.rels><?xml version="1.0" encoding="UTF-8" standalone="yes"?>
<Relationships xmlns="http://schemas.openxmlformats.org/package/2006/relationships"><Relationship Id="rId1" Type="http://schemas.openxmlformats.org/officeDocument/2006/relationships/customXmlProps" Target="itemProps11.xml"/></Relationships>
</file>

<file path=customXml/_rels/item12.xml.rels><?xml version="1.0" encoding="UTF-8" standalone="yes"?>
<Relationships xmlns="http://schemas.openxmlformats.org/package/2006/relationships"><Relationship Id="rId1" Type="http://schemas.openxmlformats.org/officeDocument/2006/relationships/customXmlProps" Target="itemProps12.xml"/></Relationships>
</file>

<file path=customXml/_rels/item13.xml.rels><?xml version="1.0" encoding="UTF-8" standalone="yes"?>
<Relationships xmlns="http://schemas.openxmlformats.org/package/2006/relationships"><Relationship Id="rId1" Type="http://schemas.openxmlformats.org/officeDocument/2006/relationships/customXmlProps" Target="itemProps13.xml"/></Relationships>
</file>

<file path=customXml/_rels/item14.xml.rels><?xml version="1.0" encoding="UTF-8" standalone="yes"?>
<Relationships xmlns="http://schemas.openxmlformats.org/package/2006/relationships"><Relationship Id="rId1" Type="http://schemas.openxmlformats.org/officeDocument/2006/relationships/customXmlProps" Target="itemProps14.xml"/></Relationships>
</file>

<file path=customXml/_rels/item15.xml.rels><?xml version="1.0" encoding="UTF-8" standalone="yes"?>
<Relationships xmlns="http://schemas.openxmlformats.org/package/2006/relationships"><Relationship Id="rId1" Type="http://schemas.openxmlformats.org/officeDocument/2006/relationships/customXmlProps" Target="itemProps15.xml"/></Relationships>
</file>

<file path=customXml/_rels/item16.xml.rels><?xml version="1.0" encoding="UTF-8" standalone="yes"?>
<Relationships xmlns="http://schemas.openxmlformats.org/package/2006/relationships"><Relationship Id="rId1" Type="http://schemas.openxmlformats.org/officeDocument/2006/relationships/customXmlProps" Target="itemProps16.xml"/></Relationships>
</file>

<file path=customXml/_rels/item17.xml.rels><?xml version="1.0" encoding="UTF-8" standalone="yes"?>
<Relationships xmlns="http://schemas.openxmlformats.org/package/2006/relationships"><Relationship Id="rId1" Type="http://schemas.openxmlformats.org/officeDocument/2006/relationships/customXmlProps" Target="itemProps17.xml"/></Relationships>
</file>

<file path=customXml/_rels/item18.xml.rels><?xml version="1.0" encoding="UTF-8" standalone="yes"?>
<Relationships xmlns="http://schemas.openxmlformats.org/package/2006/relationships"><Relationship Id="rId1" Type="http://schemas.openxmlformats.org/officeDocument/2006/relationships/customXmlProps" Target="itemProps18.xml"/></Relationships>
</file>

<file path=customXml/_rels/item19.xml.rels><?xml version="1.0" encoding="UTF-8" standalone="yes"?>
<Relationships xmlns="http://schemas.openxmlformats.org/package/2006/relationships"><Relationship Id="rId1" Type="http://schemas.openxmlformats.org/officeDocument/2006/relationships/customXmlProps" Target="itemProps19.xml"/></Relationships>
</file>

<file path=customXml/_rels/item20.xml.rels><?xml version="1.0" encoding="UTF-8" standalone="yes"?>
<Relationships xmlns="http://schemas.openxmlformats.org/package/2006/relationships"><Relationship Id="rId1" Type="http://schemas.openxmlformats.org/officeDocument/2006/relationships/customXmlProps" Target="itemProps20.xml"/></Relationships>
</file>

<file path=customXml/_rels/item21.xml.rels><?xml version="1.0" encoding="UTF-8" standalone="yes"?>
<Relationships xmlns="http://schemas.openxmlformats.org/package/2006/relationships"><Relationship Id="rId1" Type="http://schemas.openxmlformats.org/officeDocument/2006/relationships/customXmlProps" Target="itemProps21.xml"/></Relationships>
</file>

<file path=customXml/_rels/item22.xml.rels><?xml version="1.0" encoding="UTF-8" standalone="yes"?>
<Relationships xmlns="http://schemas.openxmlformats.org/package/2006/relationships"><Relationship Id="rId1" Type="http://schemas.openxmlformats.org/officeDocument/2006/relationships/customXmlProps" Target="itemProps22.xml"/></Relationships>
</file>

<file path=customXml/_rels/item23.xml.rels><?xml version="1.0" encoding="UTF-8" standalone="yes"?>
<Relationships xmlns="http://schemas.openxmlformats.org/package/2006/relationships"><Relationship Id="rId1" Type="http://schemas.openxmlformats.org/officeDocument/2006/relationships/customXmlProps" Target="itemProps23.xml"/></Relationships>
</file>

<file path=customXml/_rels/item24.xml.rels><?xml version="1.0" encoding="UTF-8" standalone="yes"?>
<Relationships xmlns="http://schemas.openxmlformats.org/package/2006/relationships"><Relationship Id="rId1" Type="http://schemas.openxmlformats.org/officeDocument/2006/relationships/customXmlProps" Target="itemProps24.xml"/></Relationships>
</file>

<file path=customXml/_rels/item25.xml.rels><?xml version="1.0" encoding="UTF-8" standalone="yes"?>
<Relationships xmlns="http://schemas.openxmlformats.org/package/2006/relationships"><Relationship Id="rId1" Type="http://schemas.openxmlformats.org/officeDocument/2006/relationships/customXmlProps" Target="itemProps25.xml"/></Relationships>
</file>

<file path=customXml/_rels/item26.xml.rels><?xml version="1.0" encoding="UTF-8" standalone="yes"?>
<Relationships xmlns="http://schemas.openxmlformats.org/package/2006/relationships"><Relationship Id="rId1" Type="http://schemas.openxmlformats.org/officeDocument/2006/relationships/customXmlProps" Target="itemProps26.xml"/></Relationships>
</file>

<file path=customXml/_rels/item27.xml.rels><?xml version="1.0" encoding="UTF-8" standalone="yes"?>
<Relationships xmlns="http://schemas.openxmlformats.org/package/2006/relationships"><Relationship Id="rId1" Type="http://schemas.openxmlformats.org/officeDocument/2006/relationships/customXmlProps" Target="itemProps27.xml"/></Relationships>
</file>

<file path=customXml/_rels/item28.xml.rels><?xml version="1.0" encoding="UTF-8" standalone="yes"?>
<Relationships xmlns="http://schemas.openxmlformats.org/package/2006/relationships"><Relationship Id="rId1" Type="http://schemas.openxmlformats.org/officeDocument/2006/relationships/customXmlProps" Target="itemProps28.xml"/></Relationships>
</file>

<file path=customXml/_rels/item29.xml.rels><?xml version="1.0" encoding="UTF-8" standalone="yes"?>
<Relationships xmlns="http://schemas.openxmlformats.org/package/2006/relationships"><Relationship Id="rId1" Type="http://schemas.openxmlformats.org/officeDocument/2006/relationships/customXmlProps" Target="itemProps29.xml"/></Relationships>
</file>

<file path=customXml/_rels/item30.xml.rels><?xml version="1.0" encoding="UTF-8" standalone="yes"?>
<Relationships xmlns="http://schemas.openxmlformats.org/package/2006/relationships"><Relationship Id="rId1" Type="http://schemas.openxmlformats.org/officeDocument/2006/relationships/customXmlProps" Target="itemProps30.xml"/></Relationships>
</file>

<file path=customXml/_rels/item31.xml.rels><?xml version="1.0" encoding="UTF-8" standalone="yes"?>
<Relationships xmlns="http://schemas.openxmlformats.org/package/2006/relationships"><Relationship Id="rId1" Type="http://schemas.openxmlformats.org/officeDocument/2006/relationships/customXmlProps" Target="itemProps31.xml"/></Relationships>
</file>

<file path=customXml/_rels/item32.xml.rels><?xml version="1.0" encoding="UTF-8" standalone="yes"?>
<Relationships xmlns="http://schemas.openxmlformats.org/package/2006/relationships"><Relationship Id="rId1" Type="http://schemas.openxmlformats.org/officeDocument/2006/relationships/customXmlProps" Target="itemProps32.xml"/></Relationships>
</file>

<file path=customXml/_rels/item33.xml.rels><?xml version="1.0" encoding="UTF-8" standalone="yes"?>
<Relationships xmlns="http://schemas.openxmlformats.org/package/2006/relationships"><Relationship Id="rId1" Type="http://schemas.openxmlformats.org/officeDocument/2006/relationships/customXmlProps" Target="itemProps33.xml"/></Relationships>
</file>

<file path=customXml/_rels/item34.xml.rels><?xml version="1.0" encoding="UTF-8" standalone="yes"?>
<Relationships xmlns="http://schemas.openxmlformats.org/package/2006/relationships"><Relationship Id="rId1" Type="http://schemas.openxmlformats.org/officeDocument/2006/relationships/customXmlProps" Target="itemProps34.xml"/></Relationships>
</file>

<file path=customXml/_rels/item35.xml.rels><?xml version="1.0" encoding="UTF-8" standalone="yes"?>
<Relationships xmlns="http://schemas.openxmlformats.org/package/2006/relationships"><Relationship Id="rId1" Type="http://schemas.openxmlformats.org/officeDocument/2006/relationships/customXmlProps" Target="itemProps35.xml"/></Relationships>
</file>

<file path=customXml/_rels/item36.xml.rels><?xml version="1.0" encoding="UTF-8" standalone="yes"?>
<Relationships xmlns="http://schemas.openxmlformats.org/package/2006/relationships"><Relationship Id="rId1" Type="http://schemas.openxmlformats.org/officeDocument/2006/relationships/customXmlProps" Target="itemProps36.xml"/></Relationships>
</file>

<file path=customXml/_rels/item37.xml.rels><?xml version="1.0" encoding="UTF-8" standalone="yes"?>
<Relationships xmlns="http://schemas.openxmlformats.org/package/2006/relationships"><Relationship Id="rId1" Type="http://schemas.openxmlformats.org/officeDocument/2006/relationships/customXmlProps" Target="itemProps37.xml"/></Relationships>
</file>

<file path=customXml/_rels/item38.xml.rels><?xml version="1.0" encoding="UTF-8" standalone="yes"?>
<Relationships xmlns="http://schemas.openxmlformats.org/package/2006/relationships"><Relationship Id="rId1" Type="http://schemas.openxmlformats.org/officeDocument/2006/relationships/customXmlProps" Target="itemProps38.xml"/></Relationships>
</file>

<file path=customXml/_rels/item39.xml.rels><?xml version="1.0" encoding="UTF-8" standalone="yes"?>
<Relationships xmlns="http://schemas.openxmlformats.org/package/2006/relationships"><Relationship Id="rId1" Type="http://schemas.openxmlformats.org/officeDocument/2006/relationships/customXmlProps" Target="itemProps39.xml"/></Relationships>
</file>

<file path=customXml/_rels/item40.xml.rels><?xml version="1.0" encoding="UTF-8" standalone="yes"?>
<Relationships xmlns="http://schemas.openxmlformats.org/package/2006/relationships"><Relationship Id="rId1" Type="http://schemas.openxmlformats.org/officeDocument/2006/relationships/customXmlProps" Target="itemProps40.xml"/></Relationships>
</file>

<file path=customXml/_rels/item41.xml.rels><?xml version="1.0" encoding="UTF-8" standalone="yes"?>
<Relationships xmlns="http://schemas.openxmlformats.org/package/2006/relationships"><Relationship Id="rId1" Type="http://schemas.openxmlformats.org/officeDocument/2006/relationships/customXmlProps" Target="itemProps41.xml"/></Relationships>
</file>

<file path=customXml/_rels/item42.xml.rels><?xml version="1.0" encoding="UTF-8" standalone="yes"?>
<Relationships xmlns="http://schemas.openxmlformats.org/package/2006/relationships"><Relationship Id="rId1" Type="http://schemas.openxmlformats.org/officeDocument/2006/relationships/customXmlProps" Target="itemProps42.xml"/></Relationships>
</file>

<file path=customXml/_rels/item43.xml.rels><?xml version="1.0" encoding="UTF-8" standalone="yes"?>
<Relationships xmlns="http://schemas.openxmlformats.org/package/2006/relationships"><Relationship Id="rId1" Type="http://schemas.openxmlformats.org/officeDocument/2006/relationships/customXmlProps" Target="itemProps43.xml"/></Relationships>
</file>

<file path=customXml/_rels/item44.xml.rels><?xml version="1.0" encoding="UTF-8" standalone="yes"?>
<Relationships xmlns="http://schemas.openxmlformats.org/package/2006/relationships"><Relationship Id="rId1" Type="http://schemas.openxmlformats.org/officeDocument/2006/relationships/customXmlProps" Target="itemProps44.xml"/></Relationships>
</file>

<file path=customXml/_rels/item45.xml.rels><?xml version="1.0" encoding="UTF-8" standalone="yes"?>
<Relationships xmlns="http://schemas.openxmlformats.org/package/2006/relationships"><Relationship Id="rId1" Type="http://schemas.openxmlformats.org/officeDocument/2006/relationships/customXmlProps" Target="itemProps45.xml"/></Relationships>
</file>

<file path=customXml/_rels/item46.xml.rels><?xml version="1.0" encoding="UTF-8" standalone="yes"?>
<Relationships xmlns="http://schemas.openxmlformats.org/package/2006/relationships"><Relationship Id="rId1" Type="http://schemas.openxmlformats.org/officeDocument/2006/relationships/customXmlProps" Target="itemProps46.xml"/></Relationships>
</file>

<file path=customXml/_rels/item47.xml.rels><?xml version="1.0" encoding="UTF-8" standalone="yes"?>
<Relationships xmlns="http://schemas.openxmlformats.org/package/2006/relationships"><Relationship Id="rId1" Type="http://schemas.openxmlformats.org/officeDocument/2006/relationships/customXmlProps" Target="itemProps47.xml"/></Relationships>
</file>

<file path=customXml/_rels/item48.xml.rels><?xml version="1.0" encoding="UTF-8" standalone="yes"?>
<Relationships xmlns="http://schemas.openxmlformats.org/package/2006/relationships"><Relationship Id="rId1" Type="http://schemas.openxmlformats.org/officeDocument/2006/relationships/customXmlProps" Target="itemProps48.xml"/></Relationships>
</file>

<file path=customXml/_rels/item49.xml.rels><?xml version="1.0" encoding="UTF-8" standalone="yes"?>
<Relationships xmlns="http://schemas.openxmlformats.org/package/2006/relationships"><Relationship Id="rId1" Type="http://schemas.openxmlformats.org/officeDocument/2006/relationships/customXmlProps" Target="itemProps49.xml"/></Relationships>
</file>

<file path=customXml/_rels/item50.xml.rels><?xml version="1.0" encoding="UTF-8" standalone="yes"?>
<Relationships xmlns="http://schemas.openxmlformats.org/package/2006/relationships"><Relationship Id="rId1" Type="http://schemas.openxmlformats.org/officeDocument/2006/relationships/customXmlProps" Target="itemProps50.xml"/></Relationships>
</file>

<file path=customXml/_rels/item51.xml.rels><?xml version="1.0" encoding="UTF-8" standalone="yes"?>
<Relationships xmlns="http://schemas.openxmlformats.org/package/2006/relationships"><Relationship Id="rId1" Type="http://schemas.openxmlformats.org/officeDocument/2006/relationships/customXmlProps" Target="itemProps51.xml"/></Relationships>
</file>

<file path=customXml/_rels/item52.xml.rels><?xml version="1.0" encoding="UTF-8" standalone="yes"?>
<Relationships xmlns="http://schemas.openxmlformats.org/package/2006/relationships"><Relationship Id="rId1" Type="http://schemas.openxmlformats.org/officeDocument/2006/relationships/customXmlProps" Target="itemProps52.xml"/></Relationships>
</file>

<file path=customXml/_rels/item53.xml.rels><?xml version="1.0" encoding="UTF-8" standalone="yes"?>
<Relationships xmlns="http://schemas.openxmlformats.org/package/2006/relationships"><Relationship Id="rId1" Type="http://schemas.openxmlformats.org/officeDocument/2006/relationships/customXmlProps" Target="itemProps53.xml"/></Relationships>
</file>

<file path=customXml/_rels/item54.xml.rels><?xml version="1.0" encoding="UTF-8" standalone="yes"?>
<Relationships xmlns="http://schemas.openxmlformats.org/package/2006/relationships"><Relationship Id="rId1" Type="http://schemas.openxmlformats.org/officeDocument/2006/relationships/customXmlProps" Target="itemProps54.xml"/></Relationships>
</file>

<file path=customXml/_rels/item55.xml.rels><?xml version="1.0" encoding="UTF-8" standalone="yes"?>
<Relationships xmlns="http://schemas.openxmlformats.org/package/2006/relationships"><Relationship Id="rId1" Type="http://schemas.openxmlformats.org/officeDocument/2006/relationships/customXmlProps" Target="itemProps55.xml"/></Relationships>
</file>

<file path=customXml/_rels/item56.xml.rels><?xml version="1.0" encoding="UTF-8" standalone="yes"?>
<Relationships xmlns="http://schemas.openxmlformats.org/package/2006/relationships"><Relationship Id="rId1" Type="http://schemas.openxmlformats.org/officeDocument/2006/relationships/customXmlProps" Target="itemProps56.xml"/></Relationships>
</file>

<file path=customXml/_rels/item57.xml.rels><?xml version="1.0" encoding="UTF-8" standalone="yes"?>
<Relationships xmlns="http://schemas.openxmlformats.org/package/2006/relationships"><Relationship Id="rId1" Type="http://schemas.openxmlformats.org/officeDocument/2006/relationships/customXmlProps" Target="itemProps57.xml"/></Relationships>
</file>

<file path=customXml/_rels/item58.xml.rels><?xml version="1.0" encoding="UTF-8" standalone="yes"?>
<Relationships xmlns="http://schemas.openxmlformats.org/package/2006/relationships"><Relationship Id="rId1" Type="http://schemas.openxmlformats.org/officeDocument/2006/relationships/customXmlProps" Target="itemProps58.xml"/></Relationships>
</file>

<file path=customXml/_rels/item59.xml.rels><?xml version="1.0" encoding="UTF-8" standalone="yes"?>
<Relationships xmlns="http://schemas.openxmlformats.org/package/2006/relationships"><Relationship Id="rId1" Type="http://schemas.openxmlformats.org/officeDocument/2006/relationships/customXmlProps" Target="itemProps59.xml"/></Relationships>
</file>

<file path=customXml/_rels/item60.xml.rels><?xml version="1.0" encoding="UTF-8" standalone="yes"?>
<Relationships xmlns="http://schemas.openxmlformats.org/package/2006/relationships"><Relationship Id="rId1" Type="http://schemas.openxmlformats.org/officeDocument/2006/relationships/customXmlProps" Target="itemProps60.xml"/></Relationships>
</file>

<file path=customXml/_rels/item61.xml.rels><?xml version="1.0" encoding="UTF-8" standalone="yes"?>
<Relationships xmlns="http://schemas.openxmlformats.org/package/2006/relationships"><Relationship Id="rId1" Type="http://schemas.openxmlformats.org/officeDocument/2006/relationships/customXmlProps" Target="itemProps61.xml"/></Relationships>
</file>

<file path=customXml/_rels/item62.xml.rels><?xml version="1.0" encoding="UTF-8" standalone="yes"?>
<Relationships xmlns="http://schemas.openxmlformats.org/package/2006/relationships"><Relationship Id="rId1" Type="http://schemas.openxmlformats.org/officeDocument/2006/relationships/customXmlProps" Target="itemProps62.xml"/></Relationships>
</file>

<file path=customXml/_rels/item63.xml.rels><?xml version="1.0" encoding="UTF-8" standalone="yes"?>
<Relationships xmlns="http://schemas.openxmlformats.org/package/2006/relationships"><Relationship Id="rId1" Type="http://schemas.openxmlformats.org/officeDocument/2006/relationships/customXmlProps" Target="itemProps63.xml"/></Relationships>
</file>

<file path=customXml/_rels/item64.xml.rels><?xml version="1.0" encoding="UTF-8" standalone="yes"?>
<Relationships xmlns="http://schemas.openxmlformats.org/package/2006/relationships"><Relationship Id="rId1" Type="http://schemas.openxmlformats.org/officeDocument/2006/relationships/customXmlProps" Target="itemProps64.xml"/></Relationships>
</file>

<file path=customXml/_rels/item65.xml.rels><?xml version="1.0" encoding="UTF-8" standalone="yes"?>
<Relationships xmlns="http://schemas.openxmlformats.org/package/2006/relationships"><Relationship Id="rId1" Type="http://schemas.openxmlformats.org/officeDocument/2006/relationships/customXmlProps" Target="itemProps65.xml"/></Relationships>
</file>

<file path=customXml/_rels/item66.xml.rels><?xml version="1.0" encoding="UTF-8" standalone="yes"?>
<Relationships xmlns="http://schemas.openxmlformats.org/package/2006/relationships"><Relationship Id="rId1" Type="http://schemas.openxmlformats.org/officeDocument/2006/relationships/customXmlProps" Target="itemProps66.xml"/></Relationships>
</file>

<file path=customXml/_rels/item67.xml.rels><?xml version="1.0" encoding="UTF-8" standalone="yes"?>
<Relationships xmlns="http://schemas.openxmlformats.org/package/2006/relationships"><Relationship Id="rId1" Type="http://schemas.openxmlformats.org/officeDocument/2006/relationships/customXmlProps" Target="itemProps67.xml"/></Relationships>
</file>

<file path=customXml/_rels/item68.xml.rels><?xml version="1.0" encoding="UTF-8" standalone="yes"?>
<Relationships xmlns="http://schemas.openxmlformats.org/package/2006/relationships"><Relationship Id="rId1" Type="http://schemas.openxmlformats.org/officeDocument/2006/relationships/customXmlProps" Target="itemProps68.xml"/></Relationships>
</file>

<file path=customXml/_rels/item69.xml.rels><?xml version="1.0" encoding="UTF-8" standalone="yes"?>
<Relationships xmlns="http://schemas.openxmlformats.org/package/2006/relationships"><Relationship Id="rId1" Type="http://schemas.openxmlformats.org/officeDocument/2006/relationships/customXmlProps" Target="itemProps69.xml"/></Relationships>
</file>

<file path=customXml/_rels/item70.xml.rels><?xml version="1.0" encoding="UTF-8" standalone="yes"?>
<Relationships xmlns="http://schemas.openxmlformats.org/package/2006/relationships"><Relationship Id="rId1" Type="http://schemas.openxmlformats.org/officeDocument/2006/relationships/customXmlProps" Target="itemProps70.xml"/></Relationships>
</file>

<file path=customXml/_rels/item71.xml.rels><?xml version="1.0" encoding="UTF-8" standalone="yes"?>
<Relationships xmlns="http://schemas.openxmlformats.org/package/2006/relationships"><Relationship Id="rId1" Type="http://schemas.openxmlformats.org/officeDocument/2006/relationships/customXmlProps" Target="itemProps71.xml"/></Relationships>
</file>

<file path=customXml/_rels/item72.xml.rels><?xml version="1.0" encoding="UTF-8" standalone="yes"?>
<Relationships xmlns="http://schemas.openxmlformats.org/package/2006/relationships"><Relationship Id="rId1" Type="http://schemas.openxmlformats.org/officeDocument/2006/relationships/customXmlProps" Target="itemProps72.xml"/></Relationships>
</file>

<file path=customXml/_rels/item73.xml.rels><?xml version="1.0" encoding="UTF-8" standalone="yes"?>
<Relationships xmlns="http://schemas.openxmlformats.org/package/2006/relationships"><Relationship Id="rId1" Type="http://schemas.openxmlformats.org/officeDocument/2006/relationships/customXmlProps" Target="itemProps73.xml"/></Relationships>
</file>

<file path=customXml/_rels/item74.xml.rels><?xml version="1.0" encoding="UTF-8" standalone="yes"?>
<Relationships xmlns="http://schemas.openxmlformats.org/package/2006/relationships"><Relationship Id="rId1" Type="http://schemas.openxmlformats.org/officeDocument/2006/relationships/customXmlProps" Target="itemProps74.xml"/></Relationships>
</file>

<file path=customXml/_rels/item75.xml.rels><?xml version="1.0" encoding="UTF-8" standalone="yes"?>
<Relationships xmlns="http://schemas.openxmlformats.org/package/2006/relationships"><Relationship Id="rId1" Type="http://schemas.openxmlformats.org/officeDocument/2006/relationships/customXmlProps" Target="itemProps75.xml"/></Relationships>
</file>

<file path=customXml/_rels/item76.xml.rels><?xml version="1.0" encoding="UTF-8" standalone="yes"?>
<Relationships xmlns="http://schemas.openxmlformats.org/package/2006/relationships"><Relationship Id="rId1" Type="http://schemas.openxmlformats.org/officeDocument/2006/relationships/customXmlProps" Target="itemProps76.xml"/></Relationships>
</file>

<file path=customXml/_rels/item77.xml.rels><?xml version="1.0" encoding="UTF-8" standalone="yes"?>
<Relationships xmlns="http://schemas.openxmlformats.org/package/2006/relationships"><Relationship Id="rId1" Type="http://schemas.openxmlformats.org/officeDocument/2006/relationships/customXmlProps" Target="itemProps77.xml"/></Relationships>
</file>

<file path=customXml/_rels/item78.xml.rels><?xml version="1.0" encoding="UTF-8" standalone="yes"?>
<Relationships xmlns="http://schemas.openxmlformats.org/package/2006/relationships"><Relationship Id="rId1" Type="http://schemas.openxmlformats.org/officeDocument/2006/relationships/customXmlProps" Target="itemProps78.xml"/></Relationships>
</file>

<file path=customXml/_rels/item79.xml.rels><?xml version="1.0" encoding="UTF-8" standalone="yes"?>
<Relationships xmlns="http://schemas.openxmlformats.org/package/2006/relationships"><Relationship Id="rId1" Type="http://schemas.openxmlformats.org/officeDocument/2006/relationships/customXmlProps" Target="itemProps79.xml"/></Relationships>
</file>

<file path=customXml/_rels/item80.xml.rels><?xml version="1.0" encoding="UTF-8" standalone="yes"?>
<Relationships xmlns="http://schemas.openxmlformats.org/package/2006/relationships"><Relationship Id="rId1" Type="http://schemas.openxmlformats.org/officeDocument/2006/relationships/customXmlProps" Target="itemProps80.xml"/></Relationships>
</file>

<file path=customXml/item1.xml>�� 
</file>

<file path=customXml/item2.xml>�� 
</file>

<file path=customXml/item3.xml>�� 
</file>

<file path=customXml/item4.xml>�� 
</file>

<file path=customXml/item5.xml>�� 
</file>

<file path=customXml/item6.xml>�� 
</file>

<file path=customXml/item7.xml>�� 
</file>

<file path=customXml/item8.xml>�� 
</file>

<file path=customXml/item9.xml>�� 
</file>

<file path=customXml/item10.xml>�� 
</file>

<file path=customXml/item11.xml>�� 
</file>

<file path=customXml/item12.xml>�� 
</file>

<file path=customXml/item13.xml>�� 
</file>

<file path=customXml/item14.xml>�� 
</file>

<file path=customXml/item15.xml>�� 
</file>

<file path=customXml/item16.xml>�� 
</file>

<file path=customXml/item17.xml><?xml version="1.0" encoding="utf-8"?>
<ct:contentTypeSchema xmlns:ct="http://schemas.microsoft.com/office/2006/metadata/contentType" xmlns:ma="http://schemas.microsoft.com/office/2006/metadata/properties/metaAttributes" ct:_="" ma:_="" ma:contentTypeName="Document" ma:contentTypeID="0x01010036361F09B21A804F824D0804817B9451" ma:contentTypeVersion="18" ma:contentTypeDescription="Create a new document." ma:contentTypeScope="" ma:versionID="7f69c01f326d0d40ea89615a662b329e">
  <xsd:schema xmlns:xsd="http://www.w3.org/2001/XMLSchema" xmlns:xs="http://www.w3.org/2001/XMLSchema" xmlns:p="http://schemas.microsoft.com/office/2006/metadata/properties" xmlns:ns2="47dd78af-cfc5-4e7a-8799-591ad7ced2cf" xmlns:ns3="91879da0-9969-4788-bbb1-7f1899c198fe" targetNamespace="http://schemas.microsoft.com/office/2006/metadata/properties" ma:root="true" ma:fieldsID="40584bab82c7f7f85b68a7b827e7c0ec" ns2:_="" ns3:_="">
    <xsd:import namespace="47dd78af-cfc5-4e7a-8799-591ad7ced2cf"/>
    <xsd:import namespace="91879da0-9969-4788-bbb1-7f1899c198fe"/>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2:MediaServiceAutoTags" minOccurs="0"/>
                <xsd:element ref="ns2:MediaServiceGenerationTime" minOccurs="0"/>
                <xsd:element ref="ns2:MediaServiceEventHashCode" minOccurs="0"/>
                <xsd:element ref="ns2:MediaServiceDateTaken" minOccurs="0"/>
                <xsd:element ref="ns2:MediaServiceOCR" minOccurs="0"/>
                <xsd:element ref="ns3:SharedWithUsers" minOccurs="0"/>
                <xsd:element ref="ns3:SharedWithDetails" minOccurs="0"/>
                <xsd:element ref="ns2:MediaLengthInSeconds" minOccurs="0"/>
                <xsd:element ref="ns2:lcf76f155ced4ddcb4097134ff3c332f" minOccurs="0"/>
                <xsd:element ref="ns3:TaxCatchAll" minOccurs="0"/>
                <xsd:element ref="ns2:MediaServiceLocation" minOccurs="0"/>
                <xsd:element ref="ns2:MediaServiceObjectDetectorVersions" minOccurs="0"/>
                <xsd:element ref="ns2: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47dd78af-cfc5-4e7a-8799-591ad7ced2cf"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MediaServiceAutoTags" ma:index="12" nillable="true" ma:displayName="Tags" ma:internalName="MediaServiceAutoTags"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EventHashCode" ma:index="14" nillable="true" ma:displayName="MediaServiceEventHashCode" ma:hidden="true" ma:internalName="MediaServiceEventHashCode" ma:readOnly="true">
      <xsd:simpleType>
        <xsd:restriction base="dms:Text"/>
      </xsd:simpleType>
    </xsd:element>
    <xsd:element name="MediaServiceDateTaken" ma:index="15" nillable="true" ma:displayName="MediaServiceDateTaken" ma:hidden="true" ma:internalName="MediaServiceDateTaken" ma:readOnly="true">
      <xsd:simpleType>
        <xsd:restriction base="dms:Text"/>
      </xsd:simpleType>
    </xsd:element>
    <xsd:element name="MediaServiceOCR" ma:index="16" nillable="true" ma:displayName="Extracted Text" ma:internalName="MediaServiceOCR" ma:readOnly="true">
      <xsd:simpleType>
        <xsd:restriction base="dms:Note">
          <xsd:maxLength value="255"/>
        </xsd:restriction>
      </xsd:simpleType>
    </xsd:element>
    <xsd:element name="MediaLengthInSeconds" ma:index="19" nillable="true" ma:displayName="Length (seconds)" ma:internalName="MediaLengthInSeconds" ma:readOnly="true">
      <xsd:simpleType>
        <xsd:restriction base="dms:Unknown"/>
      </xsd:simpleType>
    </xsd:element>
    <xsd:element name="lcf76f155ced4ddcb4097134ff3c332f" ma:index="21" nillable="true" ma:taxonomy="true" ma:internalName="lcf76f155ced4ddcb4097134ff3c332f" ma:taxonomyFieldName="MediaServiceImageTags" ma:displayName="Image Tags" ma:readOnly="false" ma:fieldId="{5cf76f15-5ced-4ddc-b409-7134ff3c332f}" ma:taxonomyMulti="true" ma:sspId="4beb73b0-c5d4-4c05-b12e-b4108c0f0e2f" ma:termSetId="09814cd3-568e-fe90-9814-8d621ff8fb84" ma:anchorId="fba54fb3-c3e1-fe81-a776-ca4b69148c4d" ma:open="true" ma:isKeyword="false">
      <xsd:complexType>
        <xsd:sequence>
          <xsd:element ref="pc:Terms" minOccurs="0" maxOccurs="1"/>
        </xsd:sequence>
      </xsd:complexType>
    </xsd:element>
    <xsd:element name="MediaServiceLocation" ma:index="23" nillable="true" ma:displayName="Location" ma:description="" ma:indexed="true" ma:internalName="MediaServiceLocation" ma:readOnly="true">
      <xsd:simpleType>
        <xsd:restriction base="dms:Text"/>
      </xsd:simpleType>
    </xsd:element>
    <xsd:element name="MediaServiceObjectDetectorVersions" ma:index="24" nillable="true" ma:displayName="MediaServiceObjectDetectorVersions" ma:description="" ma:hidden="true" ma:indexed="true" ma:internalName="MediaServiceObjectDetectorVersions" ma:readOnly="true">
      <xsd:simpleType>
        <xsd:restriction base="dms:Text"/>
      </xsd:simpleType>
    </xsd:element>
    <xsd:element name="MediaServiceSearchProperties" ma:index="25"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91879da0-9969-4788-bbb1-7f1899c198fe" elementFormDefault="qualified">
    <xsd:import namespace="http://schemas.microsoft.com/office/2006/documentManagement/types"/>
    <xsd:import namespace="http://schemas.microsoft.com/office/infopath/2007/PartnerControls"/>
    <xsd:element name="SharedWithUsers" ma:index="17"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8" nillable="true" ma:displayName="Shared With Details" ma:internalName="SharedWithDetails" ma:readOnly="true">
      <xsd:simpleType>
        <xsd:restriction base="dms:Note">
          <xsd:maxLength value="255"/>
        </xsd:restriction>
      </xsd:simpleType>
    </xsd:element>
    <xsd:element name="TaxCatchAll" ma:index="22" nillable="true" ma:displayName="Taxonomy Catch All Column" ma:hidden="true" ma:list="{7f20fb85-5f3a-4cd4-ad7c-8af0f2b37276}" ma:internalName="TaxCatchAll" ma:showField="CatchAllData" ma:web="91879da0-9969-4788-bbb1-7f1899c198fe">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18.xml>�� 
</file>

<file path=customXml/item19.xml>�� 
</file>

<file path=customXml/item20.xml>�� 
</file>

<file path=customXml/item21.xml>�� 
</file>

<file path=customXml/item22.xml>�� 
</file>

<file path=customXml/item23.xml>�� 
</file>

<file path=customXml/item24.xml>�� 
</file>

<file path=customXml/item25.xml>�� 
</file>

<file path=customXml/item26.xml>�� 
</file>

<file path=customXml/item27.xml>�� 
</file>

<file path=customXml/item28.xml>�� 
</file>

<file path=customXml/item29.xml>�� 
</file>

<file path=customXml/item30.xml>�� 
</file>

<file path=customXml/item31.xml>�� 
</file>

<file path=customXml/item32.xml>�� 
</file>

<file path=customXml/item33.xml>�� 
</file>

<file path=customXml/item34.xml>�� 
</file>

<file path=customXml/item35.xml>�� 
</file>

<file path=customXml/item36.xml>�� 
</file>

<file path=customXml/item37.xml>�� 
</file>

<file path=customXml/item38.xml>�� 
</file>

<file path=customXml/item39.xml>�� 
</file>

<file path=customXml/item40.xml>�� 
</file>

<file path=customXml/item41.xml>�� 
</file>

<file path=customXml/item42.xml>�� 
</file>

<file path=customXml/item43.xml>�� 
</file>

<file path=customXml/item44.xml>�� 
</file>

<file path=customXml/item45.xml>�� 
</file>

<file path=customXml/item46.xml><?xml version="1.0" encoding="utf-8"?>
<p:properties xmlns:p="http://schemas.microsoft.com/office/2006/metadata/properties" xmlns:xsi="http://www.w3.org/2001/XMLSchema-instance" xmlns:pc="http://schemas.microsoft.com/office/infopath/2007/PartnerControls">
  <documentManagement>
    <lcf76f155ced4ddcb4097134ff3c332f xmlns="47dd78af-cfc5-4e7a-8799-591ad7ced2cf">
      <Terms xmlns="http://schemas.microsoft.com/office/infopath/2007/PartnerControls"/>
    </lcf76f155ced4ddcb4097134ff3c332f>
    <TaxCatchAll xmlns="91879da0-9969-4788-bbb1-7f1899c198fe" xsi:nil="true"/>
  </documentManagement>
</p:properties>
</file>

<file path=customXml/item47.xml>�� 
</file>

<file path=customXml/item48.xml>�� 
</file>

<file path=customXml/item49.xml>�� 
</file>

<file path=customXml/item50.xml>�� 
</file>

<file path=customXml/item51.xml>�� 
</file>

<file path=customXml/item52.xml>�� 
</file>

<file path=customXml/item53.xml>�� 
</file>

<file path=customXml/item54.xml>�� 
</file>

<file path=customXml/item55.xml>�� 
</file>

<file path=customXml/item56.xml>�� 
</file>

<file path=customXml/item57.xml>�� 
</file>

<file path=customXml/item58.xml><?xml version="1.0" encoding="utf-8"?>
<?mso-contentType ?>
<FormTemplates xmlns="http://schemas.microsoft.com/sharepoint/v3/contenttype/forms">
  <Display>DocumentLibraryForm</Display>
  <Edit>DocumentLibraryForm</Edit>
  <New>DocumentLibraryForm</New>
</FormTemplates>
</file>

<file path=customXml/item59.xml>�� 
</file>

<file path=customXml/item60.xml>�� 
</file>

<file path=customXml/item61.xml>�� 
</file>

<file path=customXml/item62.xml>�� 
</file>

<file path=customXml/item63.xml>�� 
</file>

<file path=customXml/item64.xml>�� 
</file>

<file path=customXml/item65.xml>�� 
</file>

<file path=customXml/item66.xml>�� 
</file>

<file path=customXml/item67.xml>�� 
</file>

<file path=customXml/item68.xml>�� 
</file>

<file path=customXml/item69.xml>�� 
</file>

<file path=customXml/item70.xml>�� 
</file>

<file path=customXml/item71.xml>�� 
</file>

<file path=customXml/item72.xml>�� 
</file>

<file path=customXml/item73.xml>�� 
</file>

<file path=customXml/item74.xml>�� 
</file>

<file path=customXml/item75.xml>�� 
</file>

<file path=customXml/item76.xml>�� 
</file>

<file path=customXml/item77.xml>�� 
</file>

<file path=customXml/item78.xml>�� 
</file>

<file path=customXml/item79.xml>�� 
</file>

<file path=customXml/item80.xml>�� 
</file>

<file path=customXml/itemProps1.xml><?xml version="1.0" encoding="utf-8"?>
<ds:datastoreItem xmlns:ds="http://schemas.openxmlformats.org/officeDocument/2006/customXml" ds:itemID="{EEA3271A-2C2B-480D-A3BB-F9E1F97218CA}">
  <ds:schemaRefs>
    <ds:schemaRef ds:uri="http://gemini/pivotcustomization/http://gemini/workbookcustomization/MetadataRecoveryInformation"/>
  </ds:schemaRefs>
</ds:datastoreItem>
</file>

<file path=customXml/itemProps2.xml><?xml version="1.0" encoding="utf-8"?>
<ds:datastoreItem xmlns:ds="http://schemas.openxmlformats.org/officeDocument/2006/customXml" ds:itemID="{52C2BF53-62CA-46A5-9D0E-FEBC5FC4A1AC}">
  <ds:schemaRefs>
    <ds:schemaRef ds:uri="http://gemini/pivotcustomization/7cdba49d-4c8e-4517-a4e1-6ff5fedbb3a1"/>
  </ds:schemaRefs>
</ds:datastoreItem>
</file>

<file path=customXml/itemProps3.xml><?xml version="1.0" encoding="utf-8"?>
<ds:datastoreItem xmlns:ds="http://schemas.openxmlformats.org/officeDocument/2006/customXml" ds:itemID="{1F7F5362-E8C6-44FC-883D-CE235AE113EB}">
  <ds:schemaRefs>
    <ds:schemaRef ds:uri="http://gemini/pivotcustomization/http://gemini/workbookcustomization/RelationshipAutoDetectionEnabled"/>
  </ds:schemaRefs>
</ds:datastoreItem>
</file>

<file path=customXml/itemProps4.xml><?xml version="1.0" encoding="utf-8"?>
<ds:datastoreItem xmlns:ds="http://schemas.openxmlformats.org/officeDocument/2006/customXml" ds:itemID="{18A8164D-E151-4DD8-B478-643D9EB33342}">
  <ds:schemaRefs>
    <ds:schemaRef ds:uri="http://gemini/pivotcustomization/ecb01006-d778-4523-bb61-3a857638a5df"/>
  </ds:schemaRefs>
</ds:datastoreItem>
</file>

<file path=customXml/itemProps5.xml><?xml version="1.0" encoding="utf-8"?>
<ds:datastoreItem xmlns:ds="http://schemas.openxmlformats.org/officeDocument/2006/customXml" ds:itemID="{0E5A9411-638E-4F02-B826-0F97C7B19CFA}">
  <ds:schemaRefs>
    <ds:schemaRef ds:uri="http://gemini/pivotcustomization/PreviousDiagram"/>
  </ds:schemaRefs>
</ds:datastoreItem>
</file>

<file path=customXml/itemProps6.xml><?xml version="1.0" encoding="utf-8"?>
<ds:datastoreItem xmlns:ds="http://schemas.openxmlformats.org/officeDocument/2006/customXml" ds:itemID="{C0EC3CD6-A791-4DEE-AE06-7253CFC2F2B9}">
  <ds:schemaRefs>
    <ds:schemaRef ds:uri="http://gemini/pivotcustomization/e2de2b40-f58f-4522-b985-c9b08a98f818"/>
  </ds:schemaRefs>
</ds:datastoreItem>
</file>

<file path=customXml/itemProps7.xml><?xml version="1.0" encoding="utf-8"?>
<ds:datastoreItem xmlns:ds="http://schemas.openxmlformats.org/officeDocument/2006/customXml" ds:itemID="{D805C80B-84E9-4439-8C38-BD5B634D6200}">
  <ds:schemaRefs>
    <ds:schemaRef ds:uri="http://gemini/pivotcustomization/c1fa9d37-cafa-4c6c-bd29-455cc7cea9b3"/>
  </ds:schemaRefs>
</ds:datastoreItem>
</file>

<file path=customXml/itemProps8.xml><?xml version="1.0" encoding="utf-8"?>
<ds:datastoreItem xmlns:ds="http://schemas.openxmlformats.org/officeDocument/2006/customXml" ds:itemID="{2B34BC0C-3669-4F63-BC5D-043CB5179CF1}">
  <ds:schemaRefs>
    <ds:schemaRef ds:uri="http://gemini/pivotcustomization/PowerPivotVersion"/>
  </ds:schemaRefs>
</ds:datastoreItem>
</file>

<file path=customXml/itemProps9.xml><?xml version="1.0" encoding="utf-8"?>
<ds:datastoreItem xmlns:ds="http://schemas.openxmlformats.org/officeDocument/2006/customXml" ds:itemID="{4B69BCB9-714C-4857-B756-80FB6A48126F}">
  <ds:schemaRefs>
    <ds:schemaRef ds:uri="http://gemini/pivotcustomization/e0ec11de-981b-4052-a8fe-1e8cd442aade"/>
  </ds:schemaRefs>
</ds:datastoreItem>
</file>

<file path=customXml/itemProps10.xml><?xml version="1.0" encoding="utf-8"?>
<ds:datastoreItem xmlns:ds="http://schemas.openxmlformats.org/officeDocument/2006/customXml" ds:itemID="{37DE9361-46CF-4D31-8E6C-95D4B9C305A7}">
  <ds:schemaRefs>
    <ds:schemaRef ds:uri="http://gemini/pivotcustomization/dd0981dd-8639-45ae-b501-a497897f676e"/>
  </ds:schemaRefs>
</ds:datastoreItem>
</file>

<file path=customXml/itemProps11.xml><?xml version="1.0" encoding="utf-8"?>
<ds:datastoreItem xmlns:ds="http://schemas.openxmlformats.org/officeDocument/2006/customXml" ds:itemID="{AD9D9238-1778-4A4E-BFFA-64033913E0A1}">
  <ds:schemaRefs>
    <ds:schemaRef ds:uri="http://gemini/pivotcustomization/28dedf1c-92d5-4d53-b4e5-4da17111bb79"/>
  </ds:schemaRefs>
</ds:datastoreItem>
</file>

<file path=customXml/itemProps12.xml><?xml version="1.0" encoding="utf-8"?>
<ds:datastoreItem xmlns:ds="http://schemas.openxmlformats.org/officeDocument/2006/customXml" ds:itemID="{7663031C-D71A-4169-BB00-823E8059BC54}">
  <ds:schemaRefs>
    <ds:schemaRef ds:uri="http://gemini/pivotcustomization/5b115f72-cb91-42b2-9a31-52d9558f75f3"/>
  </ds:schemaRefs>
</ds:datastoreItem>
</file>

<file path=customXml/itemProps13.xml><?xml version="1.0" encoding="utf-8"?>
<ds:datastoreItem xmlns:ds="http://schemas.openxmlformats.org/officeDocument/2006/customXml" ds:itemID="{25FE2F68-7D44-4D74-946B-70B40C0FD695}">
  <ds:schemaRefs>
    <ds:schemaRef ds:uri="http://gemini/pivotcustomization/ba0b1b6b-253c-4af3-8da1-40f03654e889"/>
  </ds:schemaRefs>
</ds:datastoreItem>
</file>

<file path=customXml/itemProps14.xml><?xml version="1.0" encoding="utf-8"?>
<ds:datastoreItem xmlns:ds="http://schemas.openxmlformats.org/officeDocument/2006/customXml" ds:itemID="{6AD1F855-98E8-42BC-980B-751F9A8FA776}">
  <ds:schemaRefs>
    <ds:schemaRef ds:uri="http://gemini/pivotcustomization/63d379ad-3316-4220-96ab-b24ff7ed409f"/>
  </ds:schemaRefs>
</ds:datastoreItem>
</file>

<file path=customXml/itemProps15.xml><?xml version="1.0" encoding="utf-8"?>
<ds:datastoreItem xmlns:ds="http://schemas.openxmlformats.org/officeDocument/2006/customXml" ds:itemID="{86E23B50-0FC9-42C1-B862-A8C8C08FBF5E}">
  <ds:schemaRefs>
    <ds:schemaRef ds:uri="http://gemini/pivotcustomization/9ee8705f-742d-43e2-b9ad-e7b8f313e376"/>
  </ds:schemaRefs>
</ds:datastoreItem>
</file>

<file path=customXml/itemProps16.xml><?xml version="1.0" encoding="utf-8"?>
<ds:datastoreItem xmlns:ds="http://schemas.openxmlformats.org/officeDocument/2006/customXml" ds:itemID="{02861635-600D-42F9-AA8D-E0304149F095}">
  <ds:schemaRefs>
    <ds:schemaRef ds:uri="http://gemini/pivotcustomization/afdf96f3-f6e1-4fc1-9fbc-aee97dbc541a"/>
  </ds:schemaRefs>
</ds:datastoreItem>
</file>

<file path=customXml/itemProps17.xml><?xml version="1.0" encoding="utf-8"?>
<ds:datastoreItem xmlns:ds="http://schemas.openxmlformats.org/officeDocument/2006/customXml" ds:itemID="{0F612EF6-396A-4076-A65E-493C96FEC986}">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47dd78af-cfc5-4e7a-8799-591ad7ced2cf"/>
    <ds:schemaRef ds:uri="91879da0-9969-4788-bbb1-7f1899c198fe"/>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18.xml><?xml version="1.0" encoding="utf-8"?>
<ds:datastoreItem xmlns:ds="http://schemas.openxmlformats.org/officeDocument/2006/customXml" ds:itemID="{EDBF0907-1BA8-4737-9766-4C4A40495BDB}">
  <ds:schemaRefs>
    <ds:schemaRef ds:uri="http://gemini/pivotcustomization/b88f89d5-55a0-4a8a-b4b8-db6a2bc9949d"/>
  </ds:schemaRefs>
</ds:datastoreItem>
</file>

<file path=customXml/itemProps19.xml><?xml version="1.0" encoding="utf-8"?>
<ds:datastoreItem xmlns:ds="http://schemas.openxmlformats.org/officeDocument/2006/customXml" ds:itemID="{58297270-56D4-4B0A-8308-0AA37BA2CEFD}">
  <ds:schemaRefs>
    <ds:schemaRef ds:uri="http://gemini/pivotcustomization/61ac615e-4002-46a2-afd6-5601e05c1057"/>
  </ds:schemaRefs>
</ds:datastoreItem>
</file>

<file path=customXml/itemProps20.xml><?xml version="1.0" encoding="utf-8"?>
<ds:datastoreItem xmlns:ds="http://schemas.openxmlformats.org/officeDocument/2006/customXml" ds:itemID="{E26FD759-B7C8-42C2-8DF1-A49A0530BBC0}">
  <ds:schemaRefs>
    <ds:schemaRef ds:uri="http://gemini/pivotcustomization/6a6694bf-2579-4d47-ad99-0cf669c79fb5"/>
  </ds:schemaRefs>
</ds:datastoreItem>
</file>

<file path=customXml/itemProps21.xml><?xml version="1.0" encoding="utf-8"?>
<ds:datastoreItem xmlns:ds="http://schemas.openxmlformats.org/officeDocument/2006/customXml" ds:itemID="{43E60C76-C999-42D9-82CF-7347A3B05709}">
  <ds:schemaRefs>
    <ds:schemaRef ds:uri="http://gemini/pivotcustomization/TableXML_Winter daily sitreps_1df812bb-9fc3-4674-8d41-60c6726a8ef3"/>
  </ds:schemaRefs>
</ds:datastoreItem>
</file>

<file path=customXml/itemProps22.xml><?xml version="1.0" encoding="utf-8"?>
<ds:datastoreItem xmlns:ds="http://schemas.openxmlformats.org/officeDocument/2006/customXml" ds:itemID="{3DFABED9-ACEC-4131-AA05-97A21103AB5F}">
  <ds:schemaRefs>
    <ds:schemaRef ds:uri="http://gemini/pivotcustomization/cb83e953-d3a9-4433-84e3-86f132084549"/>
  </ds:schemaRefs>
</ds:datastoreItem>
</file>

<file path=customXml/itemProps23.xml><?xml version="1.0" encoding="utf-8"?>
<ds:datastoreItem xmlns:ds="http://schemas.openxmlformats.org/officeDocument/2006/customXml" ds:itemID="{2B120E71-B618-4E34-AEE1-1ECF88F32B22}">
  <ds:schemaRefs>
    <ds:schemaRef ds:uri="http://gemini/pivotcustomization/FormulaBarState"/>
  </ds:schemaRefs>
</ds:datastoreItem>
</file>

<file path=customXml/itemProps24.xml><?xml version="1.0" encoding="utf-8"?>
<ds:datastoreItem xmlns:ds="http://schemas.openxmlformats.org/officeDocument/2006/customXml" ds:itemID="{6C63CBFC-C471-40AA-AB3C-3CC27C79ED76}">
  <ds:schemaRefs>
    <ds:schemaRef ds:uri="http://gemini/pivotcustomization/ed642629-01ce-41a1-89dc-5dcfa0219d0f"/>
  </ds:schemaRefs>
</ds:datastoreItem>
</file>

<file path=customXml/itemProps25.xml><?xml version="1.0" encoding="utf-8"?>
<ds:datastoreItem xmlns:ds="http://schemas.openxmlformats.org/officeDocument/2006/customXml" ds:itemID="{22E12C5F-18BE-4256-A755-1900869F9BD9}">
  <ds:schemaRefs>
    <ds:schemaRef ds:uri="http://gemini/pivotcustomization/4c22a14f-62ef-455b-972d-914729223058"/>
  </ds:schemaRefs>
</ds:datastoreItem>
</file>

<file path=customXml/itemProps26.xml><?xml version="1.0" encoding="utf-8"?>
<ds:datastoreItem xmlns:ds="http://schemas.openxmlformats.org/officeDocument/2006/customXml" ds:itemID="{ECF68148-52A4-403A-8B3B-41DE9F6B6290}">
  <ds:schemaRefs>
    <ds:schemaRef ds:uri="http://gemini/pivotcustomization/Diagrams"/>
  </ds:schemaRefs>
</ds:datastoreItem>
</file>

<file path=customXml/itemProps27.xml><?xml version="1.0" encoding="utf-8"?>
<ds:datastoreItem xmlns:ds="http://schemas.openxmlformats.org/officeDocument/2006/customXml" ds:itemID="{5D9F281B-7465-4451-9F8F-3EABA3D6876C}">
  <ds:schemaRefs>
    <ds:schemaRef ds:uri="http://gemini/pivotcustomization/33689785-b65f-4d09-8f69-70383ef188d2"/>
  </ds:schemaRefs>
</ds:datastoreItem>
</file>

<file path=customXml/itemProps28.xml><?xml version="1.0" encoding="utf-8"?>
<ds:datastoreItem xmlns:ds="http://schemas.openxmlformats.org/officeDocument/2006/customXml" ds:itemID="{EC89010C-D6AD-41F4-8118-3EE80625C55B}">
  <ds:schemaRefs>
    <ds:schemaRef ds:uri="http://gemini/pivotcustomization/a352aa7b-46c6-4630-a505-e65dd965d25a"/>
  </ds:schemaRefs>
</ds:datastoreItem>
</file>

<file path=customXml/itemProps29.xml><?xml version="1.0" encoding="utf-8"?>
<ds:datastoreItem xmlns:ds="http://schemas.openxmlformats.org/officeDocument/2006/customXml" ds:itemID="{82749D56-2707-4D10-B130-D6473AA6B880}">
  <ds:schemaRefs>
    <ds:schemaRef ds:uri="http://gemini/pivotcustomization/f735e7c4-c917-477e-b71c-97e37308f16d"/>
  </ds:schemaRefs>
</ds:datastoreItem>
</file>

<file path=customXml/itemProps30.xml><?xml version="1.0" encoding="utf-8"?>
<ds:datastoreItem xmlns:ds="http://schemas.openxmlformats.org/officeDocument/2006/customXml" ds:itemID="{24732C04-8A0D-4A50-9A9D-B07C1D4D11AE}">
  <ds:schemaRefs>
    <ds:schemaRef ds:uri="http://gemini/pivotcustomization/d5ee9bef-4bb4-4aff-b8f7-116d3be602b7"/>
  </ds:schemaRefs>
</ds:datastoreItem>
</file>

<file path=customXml/itemProps31.xml><?xml version="1.0" encoding="utf-8"?>
<ds:datastoreItem xmlns:ds="http://schemas.openxmlformats.org/officeDocument/2006/customXml" ds:itemID="{4E3301A2-9727-440D-85C6-696FB0E7F54D}">
  <ds:schemaRefs>
    <ds:schemaRef ds:uri="http://gemini/pivotcustomization/a2bb9c2e-6606-40c6-8988-4a0b49a15b1b"/>
  </ds:schemaRefs>
</ds:datastoreItem>
</file>

<file path=customXml/itemProps32.xml><?xml version="1.0" encoding="utf-8"?>
<ds:datastoreItem xmlns:ds="http://schemas.openxmlformats.org/officeDocument/2006/customXml" ds:itemID="{1E6669E7-D566-4933-888D-4B54D5A0FBEE}">
  <ds:schemaRefs>
    <ds:schemaRef ds:uri="http://gemini/pivotcustomization/TableXML_Ambulance - Winter Sitreps_6e4e8eb1-5366-41cb-b761-c809773328aa"/>
  </ds:schemaRefs>
</ds:datastoreItem>
</file>

<file path=customXml/itemProps33.xml><?xml version="1.0" encoding="utf-8"?>
<ds:datastoreItem xmlns:ds="http://schemas.openxmlformats.org/officeDocument/2006/customXml" ds:itemID="{3DCD007C-6252-4EB4-BDC2-B1B6E627EB76}">
  <ds:schemaRefs>
    <ds:schemaRef ds:uri="http://gemini/pivotcustomization/b9575012-05ef-4632-bede-b87d05a4d489"/>
  </ds:schemaRefs>
</ds:datastoreItem>
</file>

<file path=customXml/itemProps34.xml><?xml version="1.0" encoding="utf-8"?>
<ds:datastoreItem xmlns:ds="http://schemas.openxmlformats.org/officeDocument/2006/customXml" ds:itemID="{61B91757-504E-47D1-9913-9749BD5D9FF5}">
  <ds:schemaRefs>
    <ds:schemaRef ds:uri="http://gemini/pivotcustomization/3cb5cdca-36b5-486f-a20e-39ce49e1e44d"/>
  </ds:schemaRefs>
</ds:datastoreItem>
</file>

<file path=customXml/itemProps35.xml><?xml version="1.0" encoding="utf-8"?>
<ds:datastoreItem xmlns:ds="http://schemas.openxmlformats.org/officeDocument/2006/customXml" ds:itemID="{53EBC557-F6DF-4604-84D2-C78DE6177F62}">
  <ds:schemaRefs>
    <ds:schemaRef ds:uri="http://gemini/pivotcustomization/798d9cdc-aaf5-46d1-add3-335d5597e4aa"/>
  </ds:schemaRefs>
</ds:datastoreItem>
</file>

<file path=customXml/itemProps36.xml><?xml version="1.0" encoding="utf-8"?>
<ds:datastoreItem xmlns:ds="http://schemas.openxmlformats.org/officeDocument/2006/customXml" ds:itemID="{62E87B9D-202D-4157-A517-AA6F883BCDC2}">
  <ds:schemaRefs>
    <ds:schemaRef ds:uri="http://gemini/pivotcustomization/a1b5bd0c-f0ff-43a7-a42c-24bbf71dc7ea"/>
  </ds:schemaRefs>
</ds:datastoreItem>
</file>

<file path=customXml/itemProps37.xml><?xml version="1.0" encoding="utf-8"?>
<ds:datastoreItem xmlns:ds="http://schemas.openxmlformats.org/officeDocument/2006/customXml" ds:itemID="{488490C3-6A44-4021-B300-F3C4C2F96E97}">
  <ds:schemaRefs>
    <ds:schemaRef ds:uri="http://gemini/pivotcustomization/9d06cd80-18ab-4970-aab5-c7eca71eb3db"/>
  </ds:schemaRefs>
</ds:datastoreItem>
</file>

<file path=customXml/itemProps38.xml><?xml version="1.0" encoding="utf-8"?>
<ds:datastoreItem xmlns:ds="http://schemas.openxmlformats.org/officeDocument/2006/customXml" ds:itemID="{0898AF70-1039-42EA-9473-FFFF8EB95ED6}">
  <ds:schemaRefs>
    <ds:schemaRef ds:uri="http://gemini/pivotcustomization/c1f45b27-5377-4b85-a5cc-8347f81f52db"/>
  </ds:schemaRefs>
</ds:datastoreItem>
</file>

<file path=customXml/itemProps39.xml><?xml version="1.0" encoding="utf-8"?>
<ds:datastoreItem xmlns:ds="http://schemas.openxmlformats.org/officeDocument/2006/customXml" ds:itemID="{5F8FB8D9-E3DC-4DF2-B8E8-86C918EC8703}">
  <ds:schemaRefs>
    <ds:schemaRef ds:uri="http://gemini/pivotcustomization/f6e7f0b5-4ed5-4fba-bac3-7097d79e854c"/>
  </ds:schemaRefs>
</ds:datastoreItem>
</file>

<file path=customXml/itemProps40.xml><?xml version="1.0" encoding="utf-8"?>
<ds:datastoreItem xmlns:ds="http://schemas.openxmlformats.org/officeDocument/2006/customXml" ds:itemID="{43EDB738-F962-461A-8CA7-7047A36D80A0}">
  <ds:schemaRefs>
    <ds:schemaRef ds:uri="http://gemini/pivotcustomization/f1c602ad-333d-4d3a-b1cc-ee301941376f"/>
  </ds:schemaRefs>
</ds:datastoreItem>
</file>

<file path=customXml/itemProps41.xml><?xml version="1.0" encoding="utf-8"?>
<ds:datastoreItem xmlns:ds="http://schemas.openxmlformats.org/officeDocument/2006/customXml" ds:itemID="{2DAFAB23-7EB1-4658-9B6A-40B596A3791D}">
  <ds:schemaRefs>
    <ds:schemaRef ds:uri="http://gemini/pivotcustomization/ShowHidden"/>
  </ds:schemaRefs>
</ds:datastoreItem>
</file>

<file path=customXml/itemProps42.xml><?xml version="1.0" encoding="utf-8"?>
<ds:datastoreItem xmlns:ds="http://schemas.openxmlformats.org/officeDocument/2006/customXml" ds:itemID="{5D8A9A8B-E3BB-4F4E-8157-AB25A9F68AFB}">
  <ds:schemaRefs>
    <ds:schemaRef ds:uri="http://gemini/pivotcustomization/TableXML_Winter bed occ over 14 days"/>
  </ds:schemaRefs>
</ds:datastoreItem>
</file>

<file path=customXml/itemProps43.xml><?xml version="1.0" encoding="utf-8"?>
<ds:datastoreItem xmlns:ds="http://schemas.openxmlformats.org/officeDocument/2006/customXml" ds:itemID="{45DB164D-4FDD-44B0-B0FC-5069CF060512}">
  <ds:schemaRefs>
    <ds:schemaRef ds:uri="http://schemas.microsoft.com/DataMashup"/>
  </ds:schemaRefs>
</ds:datastoreItem>
</file>

<file path=customXml/itemProps44.xml><?xml version="1.0" encoding="utf-8"?>
<ds:datastoreItem xmlns:ds="http://schemas.openxmlformats.org/officeDocument/2006/customXml" ds:itemID="{E1B90C43-3F11-4884-94F2-22E161C921F1}">
  <ds:schemaRefs>
    <ds:schemaRef ds:uri="http://gemini/pivotcustomization/8602e907-ddc4-40bb-89ca-8369de914bb2"/>
  </ds:schemaRefs>
</ds:datastoreItem>
</file>

<file path=customXml/itemProps45.xml><?xml version="1.0" encoding="utf-8"?>
<ds:datastoreItem xmlns:ds="http://schemas.openxmlformats.org/officeDocument/2006/customXml" ds:itemID="{29B6F931-8ED7-4600-A045-3C213D789072}">
  <ds:schemaRefs>
    <ds:schemaRef ds:uri="http://gemini/pivotcustomization/97b77543-1b1d-432f-8c12-86d5d61267bb"/>
  </ds:schemaRefs>
</ds:datastoreItem>
</file>

<file path=customXml/itemProps46.xml><?xml version="1.0" encoding="utf-8"?>
<ds:datastoreItem xmlns:ds="http://schemas.openxmlformats.org/officeDocument/2006/customXml" ds:itemID="{39187127-1762-4E30-9388-6202F67346C9}">
  <ds:schemaRefs>
    <ds:schemaRef ds:uri="http://schemas.microsoft.com/office/2006/metadata/properties"/>
    <ds:schemaRef ds:uri="http://schemas.microsoft.com/office/infopath/2007/PartnerControls"/>
    <ds:schemaRef ds:uri="47dd78af-cfc5-4e7a-8799-591ad7ced2cf"/>
    <ds:schemaRef ds:uri="91879da0-9969-4788-bbb1-7f1899c198fe"/>
  </ds:schemaRefs>
</ds:datastoreItem>
</file>

<file path=customXml/itemProps47.xml><?xml version="1.0" encoding="utf-8"?>
<ds:datastoreItem xmlns:ds="http://schemas.openxmlformats.org/officeDocument/2006/customXml" ds:itemID="{83FBE6D3-A150-4B3B-B53C-BE06D756911D}">
  <ds:schemaRefs>
    <ds:schemaRef ds:uri="http://gemini/pivotcustomization/b0ef4df9-2980-427c-9277-09e19a1bf0e0"/>
  </ds:schemaRefs>
</ds:datastoreItem>
</file>

<file path=customXml/itemProps48.xml><?xml version="1.0" encoding="utf-8"?>
<ds:datastoreItem xmlns:ds="http://schemas.openxmlformats.org/officeDocument/2006/customXml" ds:itemID="{1C070444-C7BA-4D6E-9DC7-A292B435E4FB}">
  <ds:schemaRefs>
    <ds:schemaRef ds:uri="http://gemini/pivotcustomization/SandboxNonEmpty"/>
  </ds:schemaRefs>
</ds:datastoreItem>
</file>

<file path=customXml/itemProps49.xml><?xml version="1.0" encoding="utf-8"?>
<ds:datastoreItem xmlns:ds="http://schemas.openxmlformats.org/officeDocument/2006/customXml" ds:itemID="{25FDA765-D8FD-4D7D-BE05-7D81C9864108}">
  <ds:schemaRefs>
    <ds:schemaRef ds:uri="http://gemini/pivotcustomization/TableWidget"/>
  </ds:schemaRefs>
</ds:datastoreItem>
</file>

<file path=customXml/itemProps50.xml><?xml version="1.0" encoding="utf-8"?>
<ds:datastoreItem xmlns:ds="http://schemas.openxmlformats.org/officeDocument/2006/customXml" ds:itemID="{274B6DFD-3C67-4831-A7F7-A88920E52580}">
  <ds:schemaRefs>
    <ds:schemaRef ds:uri="http://gemini/pivotcustomization/fb069d29-b488-44cf-b4dd-a64c1834045e"/>
  </ds:schemaRefs>
</ds:datastoreItem>
</file>

<file path=customXml/itemProps51.xml><?xml version="1.0" encoding="utf-8"?>
<ds:datastoreItem xmlns:ds="http://schemas.openxmlformats.org/officeDocument/2006/customXml" ds:itemID="{98B5B038-C6D5-4B44-84C0-91A0576D16D9}">
  <ds:schemaRefs>
    <ds:schemaRef ds:uri="http://gemini/pivotcustomization/IsSandboxEmbedded"/>
  </ds:schemaRefs>
</ds:datastoreItem>
</file>

<file path=customXml/itemProps52.xml><?xml version="1.0" encoding="utf-8"?>
<ds:datastoreItem xmlns:ds="http://schemas.openxmlformats.org/officeDocument/2006/customXml" ds:itemID="{3A4BB920-A419-4DE8-BE01-22867ADC8299}">
  <ds:schemaRefs>
    <ds:schemaRef ds:uri="http://gemini/pivotcustomization/70907dcb-9db8-4617-8784-43e18385953c"/>
  </ds:schemaRefs>
</ds:datastoreItem>
</file>

<file path=customXml/itemProps53.xml><?xml version="1.0" encoding="utf-8"?>
<ds:datastoreItem xmlns:ds="http://schemas.openxmlformats.org/officeDocument/2006/customXml" ds:itemID="{FBA84DCC-7FE9-418F-BD60-FC0195BE739B}">
  <ds:schemaRefs>
    <ds:schemaRef ds:uri="http://gemini/pivotcustomization/adfc440e-7866-4953-bb1b-eb581333be63"/>
  </ds:schemaRefs>
</ds:datastoreItem>
</file>

<file path=customXml/itemProps54.xml><?xml version="1.0" encoding="utf-8"?>
<ds:datastoreItem xmlns:ds="http://schemas.openxmlformats.org/officeDocument/2006/customXml" ds:itemID="{8412ABF9-AFAA-4221-9369-11047CCE7ECA}">
  <ds:schemaRefs>
    <ds:schemaRef ds:uri="http://gemini/pivotcustomization/e4c6a31b-3472-4b1b-a76c-eae1d357c6bc"/>
  </ds:schemaRefs>
</ds:datastoreItem>
</file>

<file path=customXml/itemProps55.xml><?xml version="1.0" encoding="utf-8"?>
<ds:datastoreItem xmlns:ds="http://schemas.openxmlformats.org/officeDocument/2006/customXml" ds:itemID="{93153E2E-4BCF-42F5-8672-F627E16B8B1B}">
  <ds:schemaRefs>
    <ds:schemaRef ds:uri="http://gemini/pivotcustomization/e4f2c472-a146-4ee5-be49-5287088b7209"/>
  </ds:schemaRefs>
</ds:datastoreItem>
</file>

<file path=customXml/itemProps56.xml><?xml version="1.0" encoding="utf-8"?>
<ds:datastoreItem xmlns:ds="http://schemas.openxmlformats.org/officeDocument/2006/customXml" ds:itemID="{19C4850A-8EFC-4519-9396-55CB1B48EA43}">
  <ds:schemaRefs>
    <ds:schemaRef ds:uri="http://gemini/pivotcustomization/75108420-684c-4036-bdfe-dfd1f973e47b"/>
  </ds:schemaRefs>
</ds:datastoreItem>
</file>

<file path=customXml/itemProps57.xml><?xml version="1.0" encoding="utf-8"?>
<ds:datastoreItem xmlns:ds="http://schemas.openxmlformats.org/officeDocument/2006/customXml" ds:itemID="{F6114698-DA48-4D91-B629-02E63F97879B}">
  <ds:schemaRefs>
    <ds:schemaRef ds:uri="http://gemini/pivotcustomization/ErrorCache"/>
  </ds:schemaRefs>
</ds:datastoreItem>
</file>

<file path=customXml/itemProps58.xml><?xml version="1.0" encoding="utf-8"?>
<ds:datastoreItem xmlns:ds="http://schemas.openxmlformats.org/officeDocument/2006/customXml" ds:itemID="{9187B132-2414-4E6E-BBBF-7D189E6D3E3E}">
  <ds:schemaRefs>
    <ds:schemaRef ds:uri="http://schemas.microsoft.com/sharepoint/v3/contenttype/forms"/>
  </ds:schemaRefs>
</ds:datastoreItem>
</file>

<file path=customXml/itemProps59.xml><?xml version="1.0" encoding="utf-8"?>
<ds:datastoreItem xmlns:ds="http://schemas.openxmlformats.org/officeDocument/2006/customXml" ds:itemID="{1CAEF166-7BE4-4288-8471-8562A061DEB7}">
  <ds:schemaRefs>
    <ds:schemaRef ds:uri="http://gemini/pivotcustomization/TableOrder"/>
  </ds:schemaRefs>
</ds:datastoreItem>
</file>

<file path=customXml/itemProps60.xml><?xml version="1.0" encoding="utf-8"?>
<ds:datastoreItem xmlns:ds="http://schemas.openxmlformats.org/officeDocument/2006/customXml" ds:itemID="{54071676-1F3E-451B-AC59-33973A18017D}">
  <ds:schemaRefs>
    <ds:schemaRef ds:uri="http://gemini/pivotcustomization/ClientWindowXML"/>
  </ds:schemaRefs>
</ds:datastoreItem>
</file>

<file path=customXml/itemProps61.xml><?xml version="1.0" encoding="utf-8"?>
<ds:datastoreItem xmlns:ds="http://schemas.openxmlformats.org/officeDocument/2006/customXml" ds:itemID="{9C9BD1FC-380A-4FFA-B957-35571D09BF17}">
  <ds:schemaRefs>
    <ds:schemaRef ds:uri="http://gemini/pivotcustomization/ManualCalcMode"/>
  </ds:schemaRefs>
</ds:datastoreItem>
</file>

<file path=customXml/itemProps62.xml><?xml version="1.0" encoding="utf-8"?>
<ds:datastoreItem xmlns:ds="http://schemas.openxmlformats.org/officeDocument/2006/customXml" ds:itemID="{A9BF1C25-CB97-4E5D-8F31-56D3C2800851}">
  <ds:schemaRefs>
    <ds:schemaRef ds:uri="http://gemini/pivotcustomization/8eedc978-07e8-48d8-81c4-2d336553a92f"/>
  </ds:schemaRefs>
</ds:datastoreItem>
</file>

<file path=customXml/itemProps63.xml><?xml version="1.0" encoding="utf-8"?>
<ds:datastoreItem xmlns:ds="http://schemas.openxmlformats.org/officeDocument/2006/customXml" ds:itemID="{0BB3FFF8-FBBD-46E2-ACD5-AC859949AB69}">
  <ds:schemaRefs>
    <ds:schemaRef ds:uri="http://gemini/pivotcustomization/f3125be8-0268-4aab-a20c-9359a97ff270"/>
  </ds:schemaRefs>
</ds:datastoreItem>
</file>

<file path=customXml/itemProps64.xml><?xml version="1.0" encoding="utf-8"?>
<ds:datastoreItem xmlns:ds="http://schemas.openxmlformats.org/officeDocument/2006/customXml" ds:itemID="{E7D26C60-69B7-4412-A51A-707C1699A24D}">
  <ds:schemaRefs>
    <ds:schemaRef ds:uri="http://gemini/pivotcustomization/442be530-2bb4-402f-8e52-cb60fa276076"/>
  </ds:schemaRefs>
</ds:datastoreItem>
</file>

<file path=customXml/itemProps65.xml><?xml version="1.0" encoding="utf-8"?>
<ds:datastoreItem xmlns:ds="http://schemas.openxmlformats.org/officeDocument/2006/customXml" ds:itemID="{0BE93BEB-38BD-462F-9845-19F722CB1257}">
  <ds:schemaRefs>
    <ds:schemaRef ds:uri="http://gemini/pivotcustomization/eaf9b400-a2bd-43d0-8ba9-4bd3d8b1e3c8"/>
  </ds:schemaRefs>
</ds:datastoreItem>
</file>

<file path=customXml/itemProps66.xml><?xml version="1.0" encoding="utf-8"?>
<ds:datastoreItem xmlns:ds="http://schemas.openxmlformats.org/officeDocument/2006/customXml" ds:itemID="{330CE50E-5D38-4882-859C-85D9DA86EC70}">
  <ds:schemaRefs>
    <ds:schemaRef ds:uri="http://gemini/pivotcustomization/8092ca98-d055-401c-855a-87a650e1589b"/>
  </ds:schemaRefs>
</ds:datastoreItem>
</file>

<file path=customXml/itemProps67.xml><?xml version="1.0" encoding="utf-8"?>
<ds:datastoreItem xmlns:ds="http://schemas.openxmlformats.org/officeDocument/2006/customXml" ds:itemID="{767F5FAD-931C-4324-A5A7-4FF06B136D45}">
  <ds:schemaRefs>
    <ds:schemaRef ds:uri="http://gemini/pivotcustomization/358dad61-fa71-44e8-8354-35ea41b29d4d"/>
  </ds:schemaRefs>
</ds:datastoreItem>
</file>

<file path=customXml/itemProps68.xml><?xml version="1.0" encoding="utf-8"?>
<ds:datastoreItem xmlns:ds="http://schemas.openxmlformats.org/officeDocument/2006/customXml" ds:itemID="{786E5A72-53DF-4B3E-AFC6-DA3ABB1AC8B2}">
  <ds:schemaRefs>
    <ds:schemaRef ds:uri="http://gemini/pivotcustomization/68ce7bb5-b9a1-4618-b6f2-2507f223e533"/>
  </ds:schemaRefs>
</ds:datastoreItem>
</file>

<file path=customXml/itemProps69.xml><?xml version="1.0" encoding="utf-8"?>
<ds:datastoreItem xmlns:ds="http://schemas.openxmlformats.org/officeDocument/2006/customXml" ds:itemID="{01B37C36-F026-4D12-A3D3-E4F10E0760A4}">
  <ds:schemaRefs>
    <ds:schemaRef ds:uri="http://gemini/pivotcustomization/TableXML_Discharge weekly winter sitreps_08a83ec6-a6c8-4b5e-a72f-c3805cae97b6"/>
  </ds:schemaRefs>
</ds:datastoreItem>
</file>

<file path=customXml/itemProps70.xml><?xml version="1.0" encoding="utf-8"?>
<ds:datastoreItem xmlns:ds="http://schemas.openxmlformats.org/officeDocument/2006/customXml" ds:itemID="{EF54DE1E-338A-4634-B24B-F6D76CA1BEA6}">
  <ds:schemaRefs>
    <ds:schemaRef ds:uri="http://gemini/pivotcustomization/2d9d57d6-241a-4b7d-8007-23756dbf9354"/>
  </ds:schemaRefs>
</ds:datastoreItem>
</file>

<file path=customXml/itemProps71.xml><?xml version="1.0" encoding="utf-8"?>
<ds:datastoreItem xmlns:ds="http://schemas.openxmlformats.org/officeDocument/2006/customXml" ds:itemID="{692BEAFB-9810-4653-B063-A2902C8EC437}">
  <ds:schemaRefs>
    <ds:schemaRef ds:uri="http://gemini/pivotcustomization/ShowImplicitMeasures"/>
  </ds:schemaRefs>
</ds:datastoreItem>
</file>

<file path=customXml/itemProps72.xml><?xml version="1.0" encoding="utf-8"?>
<ds:datastoreItem xmlns:ds="http://schemas.openxmlformats.org/officeDocument/2006/customXml" ds:itemID="{171E5AEC-F308-49B9-8466-77141A8BE55A}">
  <ds:schemaRefs>
    <ds:schemaRef ds:uri="http://gemini/pivotcustomization/TableXML_Table"/>
  </ds:schemaRefs>
</ds:datastoreItem>
</file>

<file path=customXml/itemProps73.xml><?xml version="1.0" encoding="utf-8"?>
<ds:datastoreItem xmlns:ds="http://schemas.openxmlformats.org/officeDocument/2006/customXml" ds:itemID="{F72F776A-546E-4E92-912A-302AA15EE702}">
  <ds:schemaRefs>
    <ds:schemaRef ds:uri="http://gemini/pivotcustomization/http://gemini/workbookcustomization/LinkedTables"/>
  </ds:schemaRefs>
</ds:datastoreItem>
</file>

<file path=customXml/itemProps74.xml><?xml version="1.0" encoding="utf-8"?>
<ds:datastoreItem xmlns:ds="http://schemas.openxmlformats.org/officeDocument/2006/customXml" ds:itemID="{FF99B828-C572-4CE0-B475-35BA829FC75F}">
  <ds:schemaRefs>
    <ds:schemaRef ds:uri="http://gemini/pivotcustomization/RelationshipAutoDetectionEnabled"/>
  </ds:schemaRefs>
</ds:datastoreItem>
</file>

<file path=customXml/itemProps75.xml><?xml version="1.0" encoding="utf-8"?>
<ds:datastoreItem xmlns:ds="http://schemas.openxmlformats.org/officeDocument/2006/customXml" ds:itemID="{4ADA2096-3D17-4EAD-9346-59EABD20C9C4}">
  <ds:schemaRefs>
    <ds:schemaRef ds:uri="http://gemini/pivotcustomization/MeasureGridState"/>
  </ds:schemaRefs>
</ds:datastoreItem>
</file>

<file path=customXml/itemProps76.xml><?xml version="1.0" encoding="utf-8"?>
<ds:datastoreItem xmlns:ds="http://schemas.openxmlformats.org/officeDocument/2006/customXml" ds:itemID="{1152A237-13EE-4193-82D2-B23C628239F6}">
  <ds:schemaRefs>
    <ds:schemaRef ds:uri="http://gemini/pivotcustomization/7ec86bb0-3bf3-4944-b894-a8057789e36b"/>
  </ds:schemaRefs>
</ds:datastoreItem>
</file>

<file path=customXml/itemProps77.xml><?xml version="1.0" encoding="utf-8"?>
<ds:datastoreItem xmlns:ds="http://schemas.openxmlformats.org/officeDocument/2006/customXml" ds:itemID="{A58DB6FD-6B95-43BD-AA92-BC4BD260F3B2}">
  <ds:schemaRefs>
    <ds:schemaRef ds:uri="http://gemini/pivotcustomization/bdfaae4a-1813-42df-926f-de8e898872ac"/>
  </ds:schemaRefs>
</ds:datastoreItem>
</file>

<file path=customXml/itemProps78.xml><?xml version="1.0" encoding="utf-8"?>
<ds:datastoreItem xmlns:ds="http://schemas.openxmlformats.org/officeDocument/2006/customXml" ds:itemID="{6C967261-03D3-4378-B87D-A1A295A9557F}">
  <ds:schemaRefs>
    <ds:schemaRef ds:uri="http://gemini/pivotcustomization/LinkedTableUpdateMode"/>
  </ds:schemaRefs>
</ds:datastoreItem>
</file>

<file path=customXml/itemProps79.xml><?xml version="1.0" encoding="utf-8"?>
<ds:datastoreItem xmlns:ds="http://schemas.openxmlformats.org/officeDocument/2006/customXml" ds:itemID="{A1F2208B-3D12-4DF8-B0F5-3EFF3E045ACE}">
  <ds:schemaRefs>
    <ds:schemaRef ds:uri="http://gemini/pivotcustomization/164ea269-92fe-49b9-9646-baab7f3a2050"/>
  </ds:schemaRefs>
</ds:datastoreItem>
</file>

<file path=customXml/itemProps80.xml><?xml version="1.0" encoding="utf-8"?>
<ds:datastoreItem xmlns:ds="http://schemas.openxmlformats.org/officeDocument/2006/customXml" ds:itemID="{855853F3-3884-4021-BECE-2B5A516C9BD5}">
  <ds:schemaRefs>
    <ds:schemaRef ds:uri="http://gemini/pivotcustomization/a9afcb06-cf47-42c4-84cf-8695c1330152"/>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17</vt:i4>
      </vt:variant>
    </vt:vector>
  </HeadingPairs>
  <TitlesOfParts>
    <vt:vector size="17" baseType="lpstr">
      <vt:lpstr>Summary</vt:lpstr>
      <vt:lpstr>A&amp;E diverts</vt:lpstr>
      <vt:lpstr>G&amp;A bed avail.</vt:lpstr>
      <vt:lpstr>G&amp;A bed occ.</vt:lpstr>
      <vt:lpstr>Long stay</vt:lpstr>
      <vt:lpstr>D&amp;V</vt:lpstr>
      <vt:lpstr>Critical care</vt:lpstr>
      <vt:lpstr>PICU</vt:lpstr>
      <vt:lpstr>NICU</vt:lpstr>
      <vt:lpstr>Ambulance</vt:lpstr>
      <vt:lpstr>Covid patients in hospital</vt:lpstr>
      <vt:lpstr>Covid MV beds</vt:lpstr>
      <vt:lpstr>Covid new admissions</vt:lpstr>
      <vt:lpstr>Delayed discharges</vt:lpstr>
      <vt:lpstr>Flu</vt:lpstr>
      <vt:lpstr>RSV</vt:lpstr>
      <vt:lpstr>Sheet2</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Deborah Gulliver</dc:creator>
  <cp:keywords/>
  <dc:description/>
  <cp:lastModifiedBy>Rory Wood</cp:lastModifiedBy>
  <cp:revision/>
  <dcterms:created xsi:type="dcterms:W3CDTF">2017-12-11T11:20:09Z</dcterms:created>
  <dcterms:modified xsi:type="dcterms:W3CDTF">2025-01-23T16:04:35Z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0x01010036361F09B21A804F824D0804817B9451</vt:lpwstr>
  </property>
  <property fmtid="{D5CDD505-2E9C-101B-9397-08002B2CF9AE}" pid="3" name="Order">
    <vt:r8>3064800</vt:r8>
  </property>
  <property fmtid="{D5CDD505-2E9C-101B-9397-08002B2CF9AE}" pid="4" name="MediaServiceImageTags">
    <vt:lpwstr/>
  </property>
</Properties>
</file>