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binary"/>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pivotCache/pivotCacheDefinition34.xml" ContentType="application/vnd.openxmlformats-officedocument.spreadsheetml.pivotCacheDefinition+xml"/>
  <Override PartName="/xl/pivotCache/pivotCacheDefinition35.xml" ContentType="application/vnd.openxmlformats-officedocument.spreadsheetml.pivotCacheDefinition+xml"/>
  <Override PartName="/xl/pivotCache/pivotCacheDefinition36.xml" ContentType="application/vnd.openxmlformats-officedocument.spreadsheetml.pivotCacheDefinition+xml"/>
  <Override PartName="/xl/pivotCache/pivotCacheDefinition37.xml" ContentType="application/vnd.openxmlformats-officedocument.spreadsheetml.pivotCacheDefinition+xml"/>
  <Override PartName="/xl/pivotCache/pivotCacheDefinition38.xml" ContentType="application/vnd.openxmlformats-officedocument.spreadsheetml.pivotCacheDefinition+xml"/>
  <Override PartName="/xl/pivotCache/pivotCacheDefinition39.xml" ContentType="application/vnd.openxmlformats-officedocument.spreadsheetml.pivotCacheDefinition+xml"/>
  <Override PartName="/xl/pivotCache/pivotCacheDefinition40.xml" ContentType="application/vnd.openxmlformats-officedocument.spreadsheetml.pivotCacheDefinition+xml"/>
  <Override PartName="/xl/pivotCache/pivotCacheDefinition4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Data/itemProps1.xml" ContentType="application/vnd.ms-excel.customDataPropertie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2.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3.xml" ContentType="application/vnd.openxmlformats-officedocument.drawingml.chartshapes+xml"/>
  <Override PartName="/xl/charts/chart5.xml" ContentType="application/vnd.openxmlformats-officedocument.drawingml.chart+xml"/>
  <Override PartName="/xl/theme/themeOverride5.xml" ContentType="application/vnd.openxmlformats-officedocument.themeOverride+xml"/>
  <Override PartName="/xl/drawings/drawing4.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5.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drawings/drawing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8.xml" ContentType="application/vnd.openxmlformats-officedocument.drawingml.chartshapes+xml"/>
  <Override PartName="/xl/charts/chart13.xml" ContentType="application/vnd.openxmlformats-officedocument.drawingml.chart+xml"/>
  <Override PartName="/xl/theme/themeOverride13.xml" ContentType="application/vnd.openxmlformats-officedocument.themeOverride+xml"/>
  <Override PartName="/xl/drawings/drawing9.xml" ContentType="application/vnd.openxmlformats-officedocument.drawingml.chartshapes+xml"/>
  <Override PartName="/xl/charts/chart14.xml" ContentType="application/vnd.openxmlformats-officedocument.drawingml.chart+xml"/>
  <Override PartName="/xl/theme/themeOverride14.xml" ContentType="application/vnd.openxmlformats-officedocument.themeOverride+xml"/>
  <Override PartName="/xl/drawings/drawing10.xml" ContentType="application/vnd.openxmlformats-officedocument.drawingml.chartshapes+xml"/>
  <Override PartName="/xl/charts/chart15.xml" ContentType="application/vnd.openxmlformats-officedocument.drawingml.chart+xml"/>
  <Override PartName="/xl/theme/themeOverride15.xml" ContentType="application/vnd.openxmlformats-officedocument.themeOverride+xml"/>
  <Override PartName="/xl/drawings/drawing11.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2.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drawings/drawing13.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workbookProtection workbookPassword="E879" lockStructure="1"/>
  <bookViews>
    <workbookView xWindow="0" yWindow="0" windowWidth="19200" windowHeight="6735"/>
  </bookViews>
  <sheets>
    <sheet name="Summary" sheetId="1" r:id="rId1"/>
    <sheet name="A&amp;E diverts" sheetId="3" state="hidden" r:id="rId2"/>
    <sheet name="G&amp;A bed avail." sheetId="12" state="hidden" r:id="rId3"/>
    <sheet name="G&amp;A bed occ." sheetId="4" state="hidden" r:id="rId4"/>
    <sheet name="Long stay" sheetId="5" state="hidden" r:id="rId5"/>
    <sheet name="D&amp;V" sheetId="6" state="hidden" r:id="rId6"/>
    <sheet name="Critical care" sheetId="8" state="hidden" r:id="rId7"/>
    <sheet name="PICU" sheetId="10" state="hidden" r:id="rId8"/>
    <sheet name="NICU" sheetId="11" state="hidden" r:id="rId9"/>
    <sheet name="Ambulance" sheetId="7" state="hidden" r:id="rId10"/>
    <sheet name="Sheet1" sheetId="13" state="hidden" r:id="rId11"/>
    <sheet name="Sheet2" sheetId="14" state="hidden" r:id="rId12"/>
    <sheet name="Sheet3" sheetId="15" state="hidden" r:id="rId13"/>
  </sheets>
  <calcPr calcId="145621"/>
  <pivotCaches>
    <pivotCache cacheId="840" r:id="rId14"/>
    <pivotCache cacheId="841" r:id="rId15"/>
    <pivotCache cacheId="842" r:id="rId16"/>
    <pivotCache cacheId="843" r:id="rId17"/>
    <pivotCache cacheId="844" r:id="rId18"/>
    <pivotCache cacheId="845" r:id="rId19"/>
    <pivotCache cacheId="846" r:id="rId20"/>
    <pivotCache cacheId="847" r:id="rId21"/>
    <pivotCache cacheId="848" r:id="rId22"/>
    <pivotCache cacheId="849" r:id="rId23"/>
    <pivotCache cacheId="850" r:id="rId24"/>
    <pivotCache cacheId="851" r:id="rId25"/>
    <pivotCache cacheId="852" r:id="rId26"/>
    <pivotCache cacheId="853" r:id="rId27"/>
    <pivotCache cacheId="854" r:id="rId28"/>
    <pivotCache cacheId="855" r:id="rId29"/>
    <pivotCache cacheId="856" r:id="rId30"/>
    <pivotCache cacheId="857" r:id="rId31"/>
    <pivotCache cacheId="858" r:id="rId32"/>
    <pivotCache cacheId="859" r:id="rId33"/>
    <pivotCache cacheId="860" r:id="rId34"/>
    <pivotCache cacheId="861" r:id="rId35"/>
    <pivotCache cacheId="862" r:id="rId36"/>
    <pivotCache cacheId="863" r:id="rId37"/>
    <pivotCache cacheId="864" r:id="rId38"/>
    <pivotCache cacheId="865" r:id="rId39"/>
    <pivotCache cacheId="866" r:id="rId40"/>
    <pivotCache cacheId="867" r:id="rId41"/>
    <pivotCache cacheId="868" r:id="rId42"/>
    <pivotCache cacheId="869" r:id="rId43"/>
    <pivotCache cacheId="870" r:id="rId44"/>
    <pivotCache cacheId="871" r:id="rId45"/>
    <pivotCache cacheId="872" r:id="rId46"/>
    <pivotCache cacheId="873" r:id="rId47"/>
    <pivotCache cacheId="874" r:id="rId48"/>
    <pivotCache cacheId="875" r:id="rId49"/>
    <pivotCache cacheId="876" r:id="rId50"/>
    <pivotCache cacheId="877" r:id="rId51"/>
    <pivotCache cacheId="878" r:id="rId52"/>
    <pivotCache cacheId="879" r:id="rId53"/>
    <pivotCache cacheId="880" r:id="rId54"/>
  </pivotCaches>
</workbook>
</file>

<file path=xl/calcChain.xml><?xml version="1.0" encoding="utf-8"?>
<calcChain xmlns="http://schemas.openxmlformats.org/spreadsheetml/2006/main">
  <c r="AM150" i="4" l="1"/>
  <c r="AL434" i="4" l="1"/>
  <c r="AL435" i="4"/>
  <c r="AL436" i="4"/>
  <c r="AL437" i="4"/>
  <c r="AL438" i="4"/>
  <c r="AL439" i="4"/>
  <c r="AL440" i="4"/>
  <c r="AL441" i="4"/>
  <c r="AL442" i="4"/>
  <c r="AL443" i="4"/>
  <c r="AL444" i="4"/>
  <c r="AL445" i="4"/>
  <c r="AL446" i="4"/>
  <c r="AL447" i="4"/>
  <c r="AL448" i="4"/>
  <c r="AL449" i="4"/>
  <c r="AL450" i="4"/>
  <c r="AL451" i="4"/>
  <c r="AL452" i="4"/>
  <c r="AL453" i="4"/>
  <c r="AL454" i="4"/>
  <c r="AL455" i="4"/>
  <c r="AL456" i="4"/>
  <c r="AL457" i="4"/>
  <c r="AL458" i="4"/>
  <c r="AL459" i="4"/>
  <c r="AL460" i="4"/>
  <c r="AL461" i="4"/>
  <c r="AL462" i="4"/>
  <c r="AL463" i="4"/>
  <c r="AL464" i="4"/>
  <c r="AL465" i="4"/>
  <c r="AL466" i="4"/>
  <c r="AL467" i="4"/>
  <c r="AL468" i="4"/>
  <c r="AL469" i="4"/>
  <c r="AL470" i="4"/>
  <c r="AL471" i="4"/>
  <c r="AL472" i="4"/>
  <c r="AL473" i="4"/>
  <c r="AL474" i="4"/>
  <c r="AL475" i="4"/>
  <c r="AL476" i="4"/>
  <c r="AL477" i="4"/>
  <c r="AL478" i="4"/>
  <c r="AL479" i="4"/>
  <c r="AL480" i="4"/>
  <c r="AL481" i="4"/>
  <c r="AL482" i="4"/>
  <c r="AL483" i="4"/>
  <c r="AL484" i="4"/>
  <c r="AL485" i="4"/>
  <c r="AL486" i="4"/>
  <c r="AL487" i="4"/>
  <c r="AL488" i="4"/>
  <c r="AL489" i="4"/>
  <c r="AL490" i="4"/>
  <c r="AL491" i="4"/>
  <c r="AL492" i="4"/>
  <c r="AL493" i="4"/>
  <c r="AL494" i="4"/>
  <c r="AL495" i="4"/>
  <c r="AL496" i="4"/>
  <c r="AL497" i="4"/>
  <c r="AL498" i="4"/>
  <c r="AL499" i="4"/>
  <c r="AL500" i="4"/>
  <c r="AL501" i="4"/>
  <c r="AL502" i="4"/>
  <c r="AL503" i="4"/>
  <c r="AL504" i="4"/>
  <c r="AL505" i="4"/>
  <c r="AL506" i="4"/>
  <c r="AL507" i="4"/>
  <c r="AL508" i="4"/>
  <c r="AL509" i="4"/>
  <c r="AL510" i="4"/>
  <c r="AL511" i="4"/>
  <c r="AL512" i="4"/>
  <c r="AL513" i="4"/>
  <c r="AL514" i="4"/>
  <c r="AL515" i="4"/>
  <c r="AL516" i="4"/>
  <c r="AL517" i="4"/>
  <c r="AL518" i="4"/>
  <c r="AL519" i="4"/>
  <c r="AL520" i="4"/>
  <c r="AL521" i="4"/>
  <c r="AL522" i="4"/>
  <c r="AL523" i="4"/>
  <c r="AL524" i="4"/>
  <c r="AL525" i="4"/>
  <c r="AL526" i="4"/>
  <c r="AL527" i="4"/>
  <c r="AL528" i="4"/>
  <c r="AL529" i="4"/>
  <c r="AL530" i="4"/>
  <c r="AL531" i="4"/>
  <c r="AL532" i="4"/>
  <c r="AL533" i="4"/>
  <c r="AL534" i="4"/>
  <c r="AL535" i="4"/>
  <c r="AL536" i="4"/>
  <c r="AL537" i="4"/>
  <c r="AL538" i="4"/>
  <c r="AL539" i="4"/>
  <c r="AL540" i="4"/>
  <c r="AL541" i="4"/>
  <c r="AL542" i="4"/>
  <c r="AL543" i="4"/>
  <c r="AL544" i="4"/>
  <c r="AL545" i="4"/>
  <c r="AL546" i="4"/>
  <c r="AL547" i="4"/>
  <c r="AL548" i="4"/>
  <c r="AL549" i="4"/>
  <c r="AL550" i="4"/>
  <c r="AL551" i="4"/>
  <c r="AL552" i="4"/>
  <c r="AL553" i="4"/>
  <c r="AL554" i="4"/>
  <c r="AL555" i="4"/>
  <c r="AL556" i="4"/>
  <c r="AL557" i="4"/>
  <c r="AL558" i="4"/>
  <c r="AL559" i="4"/>
  <c r="AL560" i="4"/>
  <c r="AL561" i="4"/>
  <c r="AL562" i="4"/>
  <c r="AL563" i="4"/>
  <c r="AL564" i="4"/>
  <c r="AL565" i="4"/>
  <c r="AL566" i="4"/>
  <c r="AL433" i="4"/>
  <c r="AJ434" i="4"/>
  <c r="AJ435" i="4"/>
  <c r="AJ436" i="4"/>
  <c r="AJ437" i="4"/>
  <c r="AJ438" i="4"/>
  <c r="AJ439" i="4"/>
  <c r="AJ440" i="4"/>
  <c r="AJ441" i="4"/>
  <c r="AJ442" i="4"/>
  <c r="AJ443" i="4"/>
  <c r="AJ444" i="4"/>
  <c r="AJ445" i="4"/>
  <c r="AJ446" i="4"/>
  <c r="AJ447" i="4"/>
  <c r="AJ448" i="4"/>
  <c r="AJ449" i="4"/>
  <c r="AJ450" i="4"/>
  <c r="AJ451" i="4"/>
  <c r="AJ452" i="4"/>
  <c r="AJ453" i="4"/>
  <c r="AJ454" i="4"/>
  <c r="AJ455" i="4"/>
  <c r="AJ456" i="4"/>
  <c r="AJ457" i="4"/>
  <c r="AJ458" i="4"/>
  <c r="AJ459" i="4"/>
  <c r="AJ460" i="4"/>
  <c r="AJ461" i="4"/>
  <c r="AJ462" i="4"/>
  <c r="AJ463" i="4"/>
  <c r="AJ464" i="4"/>
  <c r="AJ465" i="4"/>
  <c r="AJ466" i="4"/>
  <c r="AJ467" i="4"/>
  <c r="AJ468" i="4"/>
  <c r="AJ469" i="4"/>
  <c r="AJ470" i="4"/>
  <c r="AJ471" i="4"/>
  <c r="AJ472" i="4"/>
  <c r="AJ473" i="4"/>
  <c r="AJ474" i="4"/>
  <c r="AJ475" i="4"/>
  <c r="AJ476" i="4"/>
  <c r="AJ477" i="4"/>
  <c r="AJ478" i="4"/>
  <c r="AJ479" i="4"/>
  <c r="AJ480" i="4"/>
  <c r="AJ481" i="4"/>
  <c r="AJ482" i="4"/>
  <c r="AJ483" i="4"/>
  <c r="AJ484" i="4"/>
  <c r="AJ485" i="4"/>
  <c r="AJ486" i="4"/>
  <c r="AJ487" i="4"/>
  <c r="AJ488" i="4"/>
  <c r="AJ489" i="4"/>
  <c r="AJ490" i="4"/>
  <c r="AJ491" i="4"/>
  <c r="AJ492" i="4"/>
  <c r="AJ493" i="4"/>
  <c r="AJ494" i="4"/>
  <c r="AJ495" i="4"/>
  <c r="AJ496" i="4"/>
  <c r="AJ497" i="4"/>
  <c r="AJ498" i="4"/>
  <c r="AJ499" i="4"/>
  <c r="AJ500" i="4"/>
  <c r="AJ501" i="4"/>
  <c r="AJ502" i="4"/>
  <c r="AJ503" i="4"/>
  <c r="AJ504" i="4"/>
  <c r="AJ505" i="4"/>
  <c r="AJ506" i="4"/>
  <c r="AJ507" i="4"/>
  <c r="AJ508" i="4"/>
  <c r="AJ509" i="4"/>
  <c r="AJ510" i="4"/>
  <c r="AJ511" i="4"/>
  <c r="AJ512" i="4"/>
  <c r="AJ513" i="4"/>
  <c r="AJ514" i="4"/>
  <c r="AJ515" i="4"/>
  <c r="AJ516" i="4"/>
  <c r="AJ517" i="4"/>
  <c r="AJ518" i="4"/>
  <c r="AJ519" i="4"/>
  <c r="AJ520" i="4"/>
  <c r="AJ521" i="4"/>
  <c r="AJ522" i="4"/>
  <c r="AJ523" i="4"/>
  <c r="AJ524" i="4"/>
  <c r="AJ525" i="4"/>
  <c r="AJ526" i="4"/>
  <c r="AJ527" i="4"/>
  <c r="AJ528" i="4"/>
  <c r="AJ529" i="4"/>
  <c r="AJ530" i="4"/>
  <c r="AJ531" i="4"/>
  <c r="AJ532" i="4"/>
  <c r="AJ533" i="4"/>
  <c r="AJ534" i="4"/>
  <c r="AJ535" i="4"/>
  <c r="AJ536" i="4"/>
  <c r="AJ537" i="4"/>
  <c r="AJ538" i="4"/>
  <c r="AJ539" i="4"/>
  <c r="AJ540" i="4"/>
  <c r="AJ541" i="4"/>
  <c r="AJ542" i="4"/>
  <c r="AJ543" i="4"/>
  <c r="AJ544" i="4"/>
  <c r="AJ545" i="4"/>
  <c r="AJ546" i="4"/>
  <c r="AJ547" i="4"/>
  <c r="AJ548" i="4"/>
  <c r="AJ549" i="4"/>
  <c r="AJ550" i="4"/>
  <c r="AJ551" i="4"/>
  <c r="AJ552" i="4"/>
  <c r="AJ553" i="4"/>
  <c r="AJ554" i="4"/>
  <c r="AJ555" i="4"/>
  <c r="AJ556" i="4"/>
  <c r="AJ557" i="4"/>
  <c r="AJ558" i="4"/>
  <c r="AJ559" i="4"/>
  <c r="AJ560" i="4"/>
  <c r="AJ561" i="4"/>
  <c r="AJ562" i="4"/>
  <c r="AJ563" i="4"/>
  <c r="AJ564" i="4"/>
  <c r="AJ565" i="4"/>
  <c r="AJ566" i="4"/>
  <c r="AJ433" i="4"/>
  <c r="AK434" i="4"/>
  <c r="AK435" i="4"/>
  <c r="AK436" i="4"/>
  <c r="AK437" i="4"/>
  <c r="AK438" i="4"/>
  <c r="AK439" i="4"/>
  <c r="AK440" i="4"/>
  <c r="AK441" i="4"/>
  <c r="AK442" i="4"/>
  <c r="AK443" i="4"/>
  <c r="AK444" i="4"/>
  <c r="AK445" i="4"/>
  <c r="AK446" i="4"/>
  <c r="AK447" i="4"/>
  <c r="AK448" i="4"/>
  <c r="AK449" i="4"/>
  <c r="AK450" i="4"/>
  <c r="AK451" i="4"/>
  <c r="AK452" i="4"/>
  <c r="AK453" i="4"/>
  <c r="AK454" i="4"/>
  <c r="AK455" i="4"/>
  <c r="AK456" i="4"/>
  <c r="AK457" i="4"/>
  <c r="AK458" i="4"/>
  <c r="AK459" i="4"/>
  <c r="AK460" i="4"/>
  <c r="AK461" i="4"/>
  <c r="AK462" i="4"/>
  <c r="AK463" i="4"/>
  <c r="AK464" i="4"/>
  <c r="AK465" i="4"/>
  <c r="AK466" i="4"/>
  <c r="AK467" i="4"/>
  <c r="AK468" i="4"/>
  <c r="AK469" i="4"/>
  <c r="AK470" i="4"/>
  <c r="AK471" i="4"/>
  <c r="AK472" i="4"/>
  <c r="AK473" i="4"/>
  <c r="AK474" i="4"/>
  <c r="AK475" i="4"/>
  <c r="AK476" i="4"/>
  <c r="AK477" i="4"/>
  <c r="AK478" i="4"/>
  <c r="AK479" i="4"/>
  <c r="AK480" i="4"/>
  <c r="AK481" i="4"/>
  <c r="AK482" i="4"/>
  <c r="AK483" i="4"/>
  <c r="AK484" i="4"/>
  <c r="AK485" i="4"/>
  <c r="AK486" i="4"/>
  <c r="AK487" i="4"/>
  <c r="AK488" i="4"/>
  <c r="AK489" i="4"/>
  <c r="AK490" i="4"/>
  <c r="AK491" i="4"/>
  <c r="AK492" i="4"/>
  <c r="AK493" i="4"/>
  <c r="AK494" i="4"/>
  <c r="AK495" i="4"/>
  <c r="AK496" i="4"/>
  <c r="AK497" i="4"/>
  <c r="AK498" i="4"/>
  <c r="AK499" i="4"/>
  <c r="AK500" i="4"/>
  <c r="AK501" i="4"/>
  <c r="AK502" i="4"/>
  <c r="AK503" i="4"/>
  <c r="AK504" i="4"/>
  <c r="AK505" i="4"/>
  <c r="AK506" i="4"/>
  <c r="AK507" i="4"/>
  <c r="AK508" i="4"/>
  <c r="AK509" i="4"/>
  <c r="AK510" i="4"/>
  <c r="AK511" i="4"/>
  <c r="AK512" i="4"/>
  <c r="AK513" i="4"/>
  <c r="AK514" i="4"/>
  <c r="AK515" i="4"/>
  <c r="AK516" i="4"/>
  <c r="AK517" i="4"/>
  <c r="AK518" i="4"/>
  <c r="AK519" i="4"/>
  <c r="AK520" i="4"/>
  <c r="AK521" i="4"/>
  <c r="AK522" i="4"/>
  <c r="AK523" i="4"/>
  <c r="AK524" i="4"/>
  <c r="AK525" i="4"/>
  <c r="AK526" i="4"/>
  <c r="AK527" i="4"/>
  <c r="AK528" i="4"/>
  <c r="AK529" i="4"/>
  <c r="AK530" i="4"/>
  <c r="AK531" i="4"/>
  <c r="AK532" i="4"/>
  <c r="AK533" i="4"/>
  <c r="AK534" i="4"/>
  <c r="AK535" i="4"/>
  <c r="AK536" i="4"/>
  <c r="AK537" i="4"/>
  <c r="AK538" i="4"/>
  <c r="AK539" i="4"/>
  <c r="AK540" i="4"/>
  <c r="AK541" i="4"/>
  <c r="AK542" i="4"/>
  <c r="AK543" i="4"/>
  <c r="AK544" i="4"/>
  <c r="AK545" i="4"/>
  <c r="AK546" i="4"/>
  <c r="AK547" i="4"/>
  <c r="AK548" i="4"/>
  <c r="AK549" i="4"/>
  <c r="AK550" i="4"/>
  <c r="AK551" i="4"/>
  <c r="AK552" i="4"/>
  <c r="AK553" i="4"/>
  <c r="AK554" i="4"/>
  <c r="AK555" i="4"/>
  <c r="AK556" i="4"/>
  <c r="AK557" i="4"/>
  <c r="AK558" i="4"/>
  <c r="AK559" i="4"/>
  <c r="AK560" i="4"/>
  <c r="AK561" i="4"/>
  <c r="AK562" i="4"/>
  <c r="AK563" i="4"/>
  <c r="AK564" i="4"/>
  <c r="AK565" i="4"/>
  <c r="AK566" i="4"/>
  <c r="AK433" i="4"/>
  <c r="AL293" i="4"/>
  <c r="AL294" i="4"/>
  <c r="AL295" i="4"/>
  <c r="AL296" i="4"/>
  <c r="AL297" i="4"/>
  <c r="AL298" i="4"/>
  <c r="AL299" i="4"/>
  <c r="AL300" i="4"/>
  <c r="AL301" i="4"/>
  <c r="AL302" i="4"/>
  <c r="AL303" i="4"/>
  <c r="AL304" i="4"/>
  <c r="AL305" i="4"/>
  <c r="AL306" i="4"/>
  <c r="AL307" i="4"/>
  <c r="AL308" i="4"/>
  <c r="AL309" i="4"/>
  <c r="AL310" i="4"/>
  <c r="AL311" i="4"/>
  <c r="AL312" i="4"/>
  <c r="AL313" i="4"/>
  <c r="AL314" i="4"/>
  <c r="AL315" i="4"/>
  <c r="AL316" i="4"/>
  <c r="AL317" i="4"/>
  <c r="AL318" i="4"/>
  <c r="AL319" i="4"/>
  <c r="AL320" i="4"/>
  <c r="AL321" i="4"/>
  <c r="AL322" i="4"/>
  <c r="AL323" i="4"/>
  <c r="AL324" i="4"/>
  <c r="AL325" i="4"/>
  <c r="AL326" i="4"/>
  <c r="AL327" i="4"/>
  <c r="AL328" i="4"/>
  <c r="AL329" i="4"/>
  <c r="AL330" i="4"/>
  <c r="AL331" i="4"/>
  <c r="AL332" i="4"/>
  <c r="AL333" i="4"/>
  <c r="AL334" i="4"/>
  <c r="AL335" i="4"/>
  <c r="AL336" i="4"/>
  <c r="AL337" i="4"/>
  <c r="AL338" i="4"/>
  <c r="AL339" i="4"/>
  <c r="AL340" i="4"/>
  <c r="AL341" i="4"/>
  <c r="AL342" i="4"/>
  <c r="AL343" i="4"/>
  <c r="AL344" i="4"/>
  <c r="AL345" i="4"/>
  <c r="AL346" i="4"/>
  <c r="AL347" i="4"/>
  <c r="AL348" i="4"/>
  <c r="AL349" i="4"/>
  <c r="AL350" i="4"/>
  <c r="AL351" i="4"/>
  <c r="AL352" i="4"/>
  <c r="AL353" i="4"/>
  <c r="AL354" i="4"/>
  <c r="AL355" i="4"/>
  <c r="AL356" i="4"/>
  <c r="AL357" i="4"/>
  <c r="AL358" i="4"/>
  <c r="AL359" i="4"/>
  <c r="AL360" i="4"/>
  <c r="AL361" i="4"/>
  <c r="AL362" i="4"/>
  <c r="AL363" i="4"/>
  <c r="AL364" i="4"/>
  <c r="AL365" i="4"/>
  <c r="AL366" i="4"/>
  <c r="AL367" i="4"/>
  <c r="AL368" i="4"/>
  <c r="AL369" i="4"/>
  <c r="AL370" i="4"/>
  <c r="AL371" i="4"/>
  <c r="AL372" i="4"/>
  <c r="AL373" i="4"/>
  <c r="AL374" i="4"/>
  <c r="AL375" i="4"/>
  <c r="AL376" i="4"/>
  <c r="AL377" i="4"/>
  <c r="AL378" i="4"/>
  <c r="AL379" i="4"/>
  <c r="AL380" i="4"/>
  <c r="AL381" i="4"/>
  <c r="AL382" i="4"/>
  <c r="AL383" i="4"/>
  <c r="AL384" i="4"/>
  <c r="AL385" i="4"/>
  <c r="AL386" i="4"/>
  <c r="AL387" i="4"/>
  <c r="AL388" i="4"/>
  <c r="AL389" i="4"/>
  <c r="AL390" i="4"/>
  <c r="AL391" i="4"/>
  <c r="AL392" i="4"/>
  <c r="AL393" i="4"/>
  <c r="AL394" i="4"/>
  <c r="AL395" i="4"/>
  <c r="AL396" i="4"/>
  <c r="AL397" i="4"/>
  <c r="AL398" i="4"/>
  <c r="AL399" i="4"/>
  <c r="AL400" i="4"/>
  <c r="AL401" i="4"/>
  <c r="AL402" i="4"/>
  <c r="AL403" i="4"/>
  <c r="AL404" i="4"/>
  <c r="AL405" i="4"/>
  <c r="AL406" i="4"/>
  <c r="AL407" i="4"/>
  <c r="AL408" i="4"/>
  <c r="AL409" i="4"/>
  <c r="AL410" i="4"/>
  <c r="AL411" i="4"/>
  <c r="AL412" i="4"/>
  <c r="AL413" i="4"/>
  <c r="AL414" i="4"/>
  <c r="AL415" i="4"/>
  <c r="AL416" i="4"/>
  <c r="AL417" i="4"/>
  <c r="AL418" i="4"/>
  <c r="AL419" i="4"/>
  <c r="AL420" i="4"/>
  <c r="AL421" i="4"/>
  <c r="AL422" i="4"/>
  <c r="AL423" i="4"/>
  <c r="AL424" i="4"/>
  <c r="AL425" i="4"/>
  <c r="AL292" i="4"/>
  <c r="AK293" i="4"/>
  <c r="AK294" i="4"/>
  <c r="AK295" i="4"/>
  <c r="AK296" i="4"/>
  <c r="AK297" i="4"/>
  <c r="AK298" i="4"/>
  <c r="AK299" i="4"/>
  <c r="AK300" i="4"/>
  <c r="AK301" i="4"/>
  <c r="AK302" i="4"/>
  <c r="AK303" i="4"/>
  <c r="AK304" i="4"/>
  <c r="AK305" i="4"/>
  <c r="AK306" i="4"/>
  <c r="AK307" i="4"/>
  <c r="AK308" i="4"/>
  <c r="AK309" i="4"/>
  <c r="AK310" i="4"/>
  <c r="AK311" i="4"/>
  <c r="AK312" i="4"/>
  <c r="AK313" i="4"/>
  <c r="AK314" i="4"/>
  <c r="AK315" i="4"/>
  <c r="AK316" i="4"/>
  <c r="AK317" i="4"/>
  <c r="AK318" i="4"/>
  <c r="AK319" i="4"/>
  <c r="AK320" i="4"/>
  <c r="AK321" i="4"/>
  <c r="AK322" i="4"/>
  <c r="AK323" i="4"/>
  <c r="AK324" i="4"/>
  <c r="AK325" i="4"/>
  <c r="AK326" i="4"/>
  <c r="AK327" i="4"/>
  <c r="AK328" i="4"/>
  <c r="AK329" i="4"/>
  <c r="AK330" i="4"/>
  <c r="AK331" i="4"/>
  <c r="AK332" i="4"/>
  <c r="AK333" i="4"/>
  <c r="AK334" i="4"/>
  <c r="AK335" i="4"/>
  <c r="AK336" i="4"/>
  <c r="AK337" i="4"/>
  <c r="AK338" i="4"/>
  <c r="AK339" i="4"/>
  <c r="AK340" i="4"/>
  <c r="AK341" i="4"/>
  <c r="AK342" i="4"/>
  <c r="AK343" i="4"/>
  <c r="AK344" i="4"/>
  <c r="AK345" i="4"/>
  <c r="AK346" i="4"/>
  <c r="AK347" i="4"/>
  <c r="AK348" i="4"/>
  <c r="AK349" i="4"/>
  <c r="AK350" i="4"/>
  <c r="AK351" i="4"/>
  <c r="AK352" i="4"/>
  <c r="AK353" i="4"/>
  <c r="AK354" i="4"/>
  <c r="AK355" i="4"/>
  <c r="AK356" i="4"/>
  <c r="AK357" i="4"/>
  <c r="AK358" i="4"/>
  <c r="AK359" i="4"/>
  <c r="AK360" i="4"/>
  <c r="AK361" i="4"/>
  <c r="AK362" i="4"/>
  <c r="AK363" i="4"/>
  <c r="AK364" i="4"/>
  <c r="AK365" i="4"/>
  <c r="AK366" i="4"/>
  <c r="AK367" i="4"/>
  <c r="AK368" i="4"/>
  <c r="AK369" i="4"/>
  <c r="AK370" i="4"/>
  <c r="AK371" i="4"/>
  <c r="AK372" i="4"/>
  <c r="AK373" i="4"/>
  <c r="AK374" i="4"/>
  <c r="AK375" i="4"/>
  <c r="AK376" i="4"/>
  <c r="AK377" i="4"/>
  <c r="AK378" i="4"/>
  <c r="AK379" i="4"/>
  <c r="AK380" i="4"/>
  <c r="AK381" i="4"/>
  <c r="AK382" i="4"/>
  <c r="AK383" i="4"/>
  <c r="AK384" i="4"/>
  <c r="AK385" i="4"/>
  <c r="AK386" i="4"/>
  <c r="AK387" i="4"/>
  <c r="AK388" i="4"/>
  <c r="AK389" i="4"/>
  <c r="AK390" i="4"/>
  <c r="AK391" i="4"/>
  <c r="AK392" i="4"/>
  <c r="AK393" i="4"/>
  <c r="AK394" i="4"/>
  <c r="AK395" i="4"/>
  <c r="AK396" i="4"/>
  <c r="AK397" i="4"/>
  <c r="AK398" i="4"/>
  <c r="AK399" i="4"/>
  <c r="AK400" i="4"/>
  <c r="AK401" i="4"/>
  <c r="AK402" i="4"/>
  <c r="AK403" i="4"/>
  <c r="AK404" i="4"/>
  <c r="AK405" i="4"/>
  <c r="AK406" i="4"/>
  <c r="AK407" i="4"/>
  <c r="AK408" i="4"/>
  <c r="AK409" i="4"/>
  <c r="AK410" i="4"/>
  <c r="AK411" i="4"/>
  <c r="AK412" i="4"/>
  <c r="AK413" i="4"/>
  <c r="AK414" i="4"/>
  <c r="AK415" i="4"/>
  <c r="AK416" i="4"/>
  <c r="AK417" i="4"/>
  <c r="AK418" i="4"/>
  <c r="AK419" i="4"/>
  <c r="AK420" i="4"/>
  <c r="AK421" i="4"/>
  <c r="AK422" i="4"/>
  <c r="AK423" i="4"/>
  <c r="AK424" i="4"/>
  <c r="AK425" i="4"/>
  <c r="AK292" i="4"/>
  <c r="AJ293" i="4"/>
  <c r="AJ294" i="4"/>
  <c r="AJ295" i="4"/>
  <c r="AJ296" i="4"/>
  <c r="AJ297" i="4"/>
  <c r="AJ298" i="4"/>
  <c r="AJ299" i="4"/>
  <c r="AJ300" i="4"/>
  <c r="AJ301" i="4"/>
  <c r="AJ302" i="4"/>
  <c r="AJ303" i="4"/>
  <c r="AJ304" i="4"/>
  <c r="AJ305" i="4"/>
  <c r="AJ306" i="4"/>
  <c r="AJ307" i="4"/>
  <c r="AJ308" i="4"/>
  <c r="AJ309" i="4"/>
  <c r="AJ310" i="4"/>
  <c r="AJ311" i="4"/>
  <c r="AJ312" i="4"/>
  <c r="AJ313" i="4"/>
  <c r="AJ314" i="4"/>
  <c r="AJ315" i="4"/>
  <c r="AJ316" i="4"/>
  <c r="AJ317" i="4"/>
  <c r="AJ318" i="4"/>
  <c r="AJ319" i="4"/>
  <c r="AJ320" i="4"/>
  <c r="AJ321" i="4"/>
  <c r="AJ322" i="4"/>
  <c r="AJ323" i="4"/>
  <c r="AJ324" i="4"/>
  <c r="AJ325" i="4"/>
  <c r="AJ326" i="4"/>
  <c r="AJ327" i="4"/>
  <c r="AJ328" i="4"/>
  <c r="AJ329" i="4"/>
  <c r="AJ330" i="4"/>
  <c r="AJ331" i="4"/>
  <c r="AJ332" i="4"/>
  <c r="AJ333" i="4"/>
  <c r="AJ334" i="4"/>
  <c r="AJ335" i="4"/>
  <c r="AJ336" i="4"/>
  <c r="AJ337" i="4"/>
  <c r="AJ338" i="4"/>
  <c r="AJ339" i="4"/>
  <c r="AJ340" i="4"/>
  <c r="AJ341" i="4"/>
  <c r="AJ342" i="4"/>
  <c r="AJ343" i="4"/>
  <c r="AJ344" i="4"/>
  <c r="AJ345" i="4"/>
  <c r="AJ346" i="4"/>
  <c r="AJ347" i="4"/>
  <c r="AJ348" i="4"/>
  <c r="AJ349" i="4"/>
  <c r="AJ350" i="4"/>
  <c r="AJ351" i="4"/>
  <c r="AJ352" i="4"/>
  <c r="AJ353" i="4"/>
  <c r="AJ354" i="4"/>
  <c r="AJ355" i="4"/>
  <c r="AJ356" i="4"/>
  <c r="AJ357" i="4"/>
  <c r="AJ358" i="4"/>
  <c r="AJ359" i="4"/>
  <c r="AJ360" i="4"/>
  <c r="AJ361" i="4"/>
  <c r="AJ362" i="4"/>
  <c r="AJ363" i="4"/>
  <c r="AJ364" i="4"/>
  <c r="AJ365" i="4"/>
  <c r="AJ366" i="4"/>
  <c r="AJ367" i="4"/>
  <c r="AJ368" i="4"/>
  <c r="AJ369" i="4"/>
  <c r="AJ370" i="4"/>
  <c r="AJ371" i="4"/>
  <c r="AJ372" i="4"/>
  <c r="AJ373" i="4"/>
  <c r="AJ374" i="4"/>
  <c r="AJ375" i="4"/>
  <c r="AJ376" i="4"/>
  <c r="AJ377" i="4"/>
  <c r="AJ378" i="4"/>
  <c r="AJ379" i="4"/>
  <c r="AJ380" i="4"/>
  <c r="AJ381" i="4"/>
  <c r="AJ382" i="4"/>
  <c r="AJ383" i="4"/>
  <c r="AJ384" i="4"/>
  <c r="AJ385" i="4"/>
  <c r="AJ386" i="4"/>
  <c r="AJ387" i="4"/>
  <c r="AJ388" i="4"/>
  <c r="AJ389" i="4"/>
  <c r="AJ390" i="4"/>
  <c r="AJ391" i="4"/>
  <c r="AJ392" i="4"/>
  <c r="AJ393" i="4"/>
  <c r="AJ394" i="4"/>
  <c r="AJ395" i="4"/>
  <c r="AJ396" i="4"/>
  <c r="AJ397" i="4"/>
  <c r="AJ398" i="4"/>
  <c r="AJ399" i="4"/>
  <c r="AJ400" i="4"/>
  <c r="AJ401" i="4"/>
  <c r="AJ402" i="4"/>
  <c r="AJ403" i="4"/>
  <c r="AJ404" i="4"/>
  <c r="AJ405" i="4"/>
  <c r="AJ406" i="4"/>
  <c r="AJ407" i="4"/>
  <c r="AJ408" i="4"/>
  <c r="AJ409" i="4"/>
  <c r="AJ410" i="4"/>
  <c r="AJ411" i="4"/>
  <c r="AJ412" i="4"/>
  <c r="AJ413" i="4"/>
  <c r="AJ414" i="4"/>
  <c r="AJ415" i="4"/>
  <c r="AJ416" i="4"/>
  <c r="AJ417" i="4"/>
  <c r="AJ418" i="4"/>
  <c r="AJ419" i="4"/>
  <c r="AJ420" i="4"/>
  <c r="AJ421" i="4"/>
  <c r="AJ422" i="4"/>
  <c r="AJ423" i="4"/>
  <c r="AJ424" i="4"/>
  <c r="AJ425" i="4"/>
  <c r="AJ292" i="4"/>
  <c r="AL150" i="4"/>
  <c r="AH152" i="4"/>
  <c r="AH153" i="4"/>
  <c r="AH154" i="4"/>
  <c r="AH155" i="4"/>
  <c r="AH156" i="4"/>
  <c r="AH157" i="4"/>
  <c r="AH158" i="4"/>
  <c r="AH159" i="4"/>
  <c r="AH160" i="4"/>
  <c r="AH161" i="4"/>
  <c r="AH162" i="4"/>
  <c r="AH163" i="4"/>
  <c r="AH164" i="4"/>
  <c r="AH165" i="4"/>
  <c r="AH166" i="4"/>
  <c r="AH167" i="4"/>
  <c r="AH168" i="4"/>
  <c r="AH169" i="4"/>
  <c r="AH170" i="4"/>
  <c r="AH171" i="4"/>
  <c r="AH172" i="4"/>
  <c r="AH173" i="4"/>
  <c r="AH174" i="4"/>
  <c r="AH175" i="4"/>
  <c r="AH176" i="4"/>
  <c r="AH177" i="4"/>
  <c r="AH178" i="4"/>
  <c r="AH179" i="4"/>
  <c r="AH180" i="4"/>
  <c r="AH181" i="4"/>
  <c r="AH182" i="4"/>
  <c r="AH183" i="4"/>
  <c r="AH184" i="4"/>
  <c r="AH185" i="4"/>
  <c r="AH186" i="4"/>
  <c r="AH187" i="4"/>
  <c r="AH188" i="4"/>
  <c r="AH189" i="4"/>
  <c r="AH190" i="4"/>
  <c r="AH191" i="4"/>
  <c r="AH192" i="4"/>
  <c r="AH193" i="4"/>
  <c r="AH194" i="4"/>
  <c r="AH195" i="4"/>
  <c r="AH196" i="4"/>
  <c r="AH197" i="4"/>
  <c r="AH198" i="4"/>
  <c r="AH199" i="4"/>
  <c r="AH200" i="4"/>
  <c r="AH201" i="4"/>
  <c r="AH202" i="4"/>
  <c r="AH203" i="4"/>
  <c r="AH204" i="4"/>
  <c r="AH205" i="4"/>
  <c r="AH206" i="4"/>
  <c r="AH207" i="4"/>
  <c r="AH208" i="4"/>
  <c r="AH209" i="4"/>
  <c r="AH210" i="4"/>
  <c r="AH211" i="4"/>
  <c r="AH212" i="4"/>
  <c r="AH213" i="4"/>
  <c r="AH214" i="4"/>
  <c r="AH215" i="4"/>
  <c r="AH216" i="4"/>
  <c r="AH217" i="4"/>
  <c r="AH218" i="4"/>
  <c r="AH219" i="4"/>
  <c r="AH220" i="4"/>
  <c r="AH221" i="4"/>
  <c r="AH222" i="4"/>
  <c r="AH223" i="4"/>
  <c r="AH224" i="4"/>
  <c r="AH225" i="4"/>
  <c r="AH226" i="4"/>
  <c r="AH227" i="4"/>
  <c r="AH228" i="4"/>
  <c r="AH229" i="4"/>
  <c r="AH230" i="4"/>
  <c r="AH231" i="4"/>
  <c r="AH232" i="4"/>
  <c r="AH233" i="4"/>
  <c r="AH234" i="4"/>
  <c r="AH235" i="4"/>
  <c r="AH236" i="4"/>
  <c r="AH237" i="4"/>
  <c r="AH238" i="4"/>
  <c r="AH239" i="4"/>
  <c r="AH240" i="4"/>
  <c r="AH241" i="4"/>
  <c r="AH242" i="4"/>
  <c r="AH243" i="4"/>
  <c r="AH244" i="4"/>
  <c r="AH245" i="4"/>
  <c r="AH246" i="4"/>
  <c r="AH247" i="4"/>
  <c r="AH248" i="4"/>
  <c r="AH249" i="4"/>
  <c r="AH250" i="4"/>
  <c r="AH251" i="4"/>
  <c r="AH252" i="4"/>
  <c r="AH253" i="4"/>
  <c r="AH254" i="4"/>
  <c r="AH255" i="4"/>
  <c r="AH256" i="4"/>
  <c r="AH257" i="4"/>
  <c r="AH258" i="4"/>
  <c r="AH259" i="4"/>
  <c r="AH260" i="4"/>
  <c r="AH261" i="4"/>
  <c r="AH262" i="4"/>
  <c r="AH263" i="4"/>
  <c r="AH264" i="4"/>
  <c r="AH265" i="4"/>
  <c r="AH266" i="4"/>
  <c r="AH267" i="4"/>
  <c r="AH268" i="4"/>
  <c r="AH269" i="4"/>
  <c r="AH270" i="4"/>
  <c r="AH271" i="4"/>
  <c r="AH272" i="4"/>
  <c r="AH273" i="4"/>
  <c r="AH274" i="4"/>
  <c r="AH275" i="4"/>
  <c r="AH276" i="4"/>
  <c r="AH277" i="4"/>
  <c r="AH278" i="4"/>
  <c r="AH279" i="4"/>
  <c r="AH280" i="4"/>
  <c r="AH281" i="4"/>
  <c r="AH282" i="4"/>
  <c r="AH283" i="4"/>
  <c r="AH284" i="4"/>
  <c r="AI152" i="4"/>
  <c r="AI153" i="4"/>
  <c r="AI154" i="4"/>
  <c r="AI155" i="4"/>
  <c r="AI156" i="4"/>
  <c r="AI157" i="4"/>
  <c r="AI158" i="4"/>
  <c r="AI159" i="4"/>
  <c r="AI160" i="4"/>
  <c r="AI161" i="4"/>
  <c r="AI162" i="4"/>
  <c r="AI163" i="4"/>
  <c r="AI164" i="4"/>
  <c r="AI165" i="4"/>
  <c r="AI166" i="4"/>
  <c r="AI167" i="4"/>
  <c r="AI168" i="4"/>
  <c r="AI169" i="4"/>
  <c r="AI170" i="4"/>
  <c r="AI171" i="4"/>
  <c r="AI172" i="4"/>
  <c r="AI173" i="4"/>
  <c r="AI174" i="4"/>
  <c r="AI175" i="4"/>
  <c r="AI176" i="4"/>
  <c r="AI177" i="4"/>
  <c r="AI178" i="4"/>
  <c r="AI179" i="4"/>
  <c r="AI180" i="4"/>
  <c r="AI181" i="4"/>
  <c r="AI182" i="4"/>
  <c r="AI183" i="4"/>
  <c r="AI184" i="4"/>
  <c r="AI185" i="4"/>
  <c r="AI186" i="4"/>
  <c r="AI187" i="4"/>
  <c r="AI188" i="4"/>
  <c r="AI189" i="4"/>
  <c r="AI190" i="4"/>
  <c r="AI191" i="4"/>
  <c r="AI192" i="4"/>
  <c r="AI193" i="4"/>
  <c r="AI194" i="4"/>
  <c r="AI195" i="4"/>
  <c r="AI196" i="4"/>
  <c r="AI197" i="4"/>
  <c r="AI198" i="4"/>
  <c r="AI199" i="4"/>
  <c r="AI200" i="4"/>
  <c r="AI201" i="4"/>
  <c r="AI202" i="4"/>
  <c r="AI203" i="4"/>
  <c r="AI204" i="4"/>
  <c r="AI205" i="4"/>
  <c r="AI206" i="4"/>
  <c r="AI207" i="4"/>
  <c r="AI208" i="4"/>
  <c r="AI209" i="4"/>
  <c r="AI210" i="4"/>
  <c r="AI211" i="4"/>
  <c r="AI212" i="4"/>
  <c r="AI213" i="4"/>
  <c r="AI214" i="4"/>
  <c r="AI215" i="4"/>
  <c r="AI216" i="4"/>
  <c r="AI217" i="4"/>
  <c r="AI218" i="4"/>
  <c r="AI219" i="4"/>
  <c r="AI220" i="4"/>
  <c r="AI221" i="4"/>
  <c r="AI222" i="4"/>
  <c r="AI223" i="4"/>
  <c r="AI224" i="4"/>
  <c r="AI225" i="4"/>
  <c r="AI226" i="4"/>
  <c r="AI227" i="4"/>
  <c r="AI228" i="4"/>
  <c r="AI229" i="4"/>
  <c r="AI230" i="4"/>
  <c r="AI231" i="4"/>
  <c r="AI232" i="4"/>
  <c r="AI233" i="4"/>
  <c r="AI234" i="4"/>
  <c r="AI235" i="4"/>
  <c r="AI236" i="4"/>
  <c r="AI237" i="4"/>
  <c r="AI238" i="4"/>
  <c r="AI239" i="4"/>
  <c r="AI240" i="4"/>
  <c r="AI241" i="4"/>
  <c r="AI242" i="4"/>
  <c r="AI243" i="4"/>
  <c r="AI244" i="4"/>
  <c r="AI245" i="4"/>
  <c r="AI246" i="4"/>
  <c r="AI247" i="4"/>
  <c r="AI248" i="4"/>
  <c r="AI249" i="4"/>
  <c r="AI250" i="4"/>
  <c r="AI251" i="4"/>
  <c r="AI252" i="4"/>
  <c r="AI253" i="4"/>
  <c r="AI254" i="4"/>
  <c r="AI255" i="4"/>
  <c r="AI256" i="4"/>
  <c r="AI257" i="4"/>
  <c r="AI258" i="4"/>
  <c r="AI259" i="4"/>
  <c r="AI260" i="4"/>
  <c r="AI261" i="4"/>
  <c r="AI262" i="4"/>
  <c r="AI263" i="4"/>
  <c r="AI264" i="4"/>
  <c r="AI265" i="4"/>
  <c r="AI266" i="4"/>
  <c r="AI267" i="4"/>
  <c r="AI268" i="4"/>
  <c r="AI269" i="4"/>
  <c r="AI270" i="4"/>
  <c r="AI271" i="4"/>
  <c r="AI272" i="4"/>
  <c r="AI273" i="4"/>
  <c r="AI274" i="4"/>
  <c r="AI275" i="4"/>
  <c r="AI276" i="4"/>
  <c r="AI277" i="4"/>
  <c r="AI278" i="4"/>
  <c r="AI279" i="4"/>
  <c r="AI280" i="4"/>
  <c r="AI281" i="4"/>
  <c r="AI282" i="4"/>
  <c r="AI283" i="4"/>
  <c r="AI284" i="4"/>
  <c r="AJ152" i="4"/>
  <c r="AJ153" i="4"/>
  <c r="AJ154" i="4"/>
  <c r="AJ155" i="4"/>
  <c r="AJ156" i="4"/>
  <c r="AJ157" i="4"/>
  <c r="AJ158" i="4"/>
  <c r="AJ159" i="4"/>
  <c r="AJ160" i="4"/>
  <c r="AJ161" i="4"/>
  <c r="AJ162" i="4"/>
  <c r="AJ163" i="4"/>
  <c r="AJ164" i="4"/>
  <c r="AJ165" i="4"/>
  <c r="AJ166" i="4"/>
  <c r="AJ167" i="4"/>
  <c r="AJ168" i="4"/>
  <c r="AJ169" i="4"/>
  <c r="AJ170" i="4"/>
  <c r="AJ171" i="4"/>
  <c r="AJ172" i="4"/>
  <c r="AJ173" i="4"/>
  <c r="AJ174" i="4"/>
  <c r="AJ175" i="4"/>
  <c r="AJ176" i="4"/>
  <c r="AJ177" i="4"/>
  <c r="AJ178" i="4"/>
  <c r="AJ179" i="4"/>
  <c r="AJ180" i="4"/>
  <c r="AJ181" i="4"/>
  <c r="AJ182" i="4"/>
  <c r="AJ183" i="4"/>
  <c r="AJ184" i="4"/>
  <c r="AJ185" i="4"/>
  <c r="AJ186" i="4"/>
  <c r="AJ187" i="4"/>
  <c r="AJ188" i="4"/>
  <c r="AJ189" i="4"/>
  <c r="AJ190" i="4"/>
  <c r="AJ191" i="4"/>
  <c r="AJ192" i="4"/>
  <c r="AJ193" i="4"/>
  <c r="AJ194"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22" i="4"/>
  <c r="AJ223" i="4"/>
  <c r="AJ224" i="4"/>
  <c r="AJ225" i="4"/>
  <c r="AJ226" i="4"/>
  <c r="AJ227" i="4"/>
  <c r="AJ228" i="4"/>
  <c r="AJ229" i="4"/>
  <c r="AJ230" i="4"/>
  <c r="AJ231" i="4"/>
  <c r="AJ232" i="4"/>
  <c r="AJ233" i="4"/>
  <c r="AJ234" i="4"/>
  <c r="AJ235" i="4"/>
  <c r="AJ236" i="4"/>
  <c r="AJ237" i="4"/>
  <c r="AJ238" i="4"/>
  <c r="AJ239" i="4"/>
  <c r="AJ240" i="4"/>
  <c r="AJ241" i="4"/>
  <c r="AJ242" i="4"/>
  <c r="AJ243" i="4"/>
  <c r="AJ244" i="4"/>
  <c r="AJ245" i="4"/>
  <c r="AJ246" i="4"/>
  <c r="AJ247" i="4"/>
  <c r="AJ248" i="4"/>
  <c r="AJ249" i="4"/>
  <c r="AJ250" i="4"/>
  <c r="AJ251" i="4"/>
  <c r="AJ252" i="4"/>
  <c r="AJ253" i="4"/>
  <c r="AJ254" i="4"/>
  <c r="AJ255" i="4"/>
  <c r="AJ256" i="4"/>
  <c r="AJ257" i="4"/>
  <c r="AJ258" i="4"/>
  <c r="AJ259" i="4"/>
  <c r="AJ260" i="4"/>
  <c r="AJ261" i="4"/>
  <c r="AJ262" i="4"/>
  <c r="AJ263" i="4"/>
  <c r="AJ264" i="4"/>
  <c r="AJ265" i="4"/>
  <c r="AJ266" i="4"/>
  <c r="AJ267" i="4"/>
  <c r="AJ268" i="4"/>
  <c r="AJ269" i="4"/>
  <c r="AJ270" i="4"/>
  <c r="AJ271" i="4"/>
  <c r="AJ272" i="4"/>
  <c r="AJ273" i="4"/>
  <c r="AJ274" i="4"/>
  <c r="AJ275" i="4"/>
  <c r="AJ276" i="4"/>
  <c r="AJ277" i="4"/>
  <c r="AJ278" i="4"/>
  <c r="AJ279" i="4"/>
  <c r="AJ280" i="4"/>
  <c r="AJ281" i="4"/>
  <c r="AJ282" i="4"/>
  <c r="AJ283" i="4"/>
  <c r="AJ284" i="4"/>
  <c r="AK152" i="4"/>
  <c r="AK153" i="4"/>
  <c r="AK154" i="4"/>
  <c r="AK155" i="4"/>
  <c r="AK156" i="4"/>
  <c r="AK157" i="4"/>
  <c r="AK158" i="4"/>
  <c r="AK159" i="4"/>
  <c r="AK160" i="4"/>
  <c r="AK161" i="4"/>
  <c r="AK162" i="4"/>
  <c r="AK163" i="4"/>
  <c r="AK164" i="4"/>
  <c r="AK165" i="4"/>
  <c r="AK166" i="4"/>
  <c r="AK167" i="4"/>
  <c r="AK168" i="4"/>
  <c r="AK169" i="4"/>
  <c r="AK170" i="4"/>
  <c r="AK171" i="4"/>
  <c r="AK172" i="4"/>
  <c r="AK173" i="4"/>
  <c r="AK174" i="4"/>
  <c r="AK175" i="4"/>
  <c r="AK176" i="4"/>
  <c r="AK177" i="4"/>
  <c r="AK178" i="4"/>
  <c r="AK179" i="4"/>
  <c r="AK180" i="4"/>
  <c r="AK181" i="4"/>
  <c r="AK182" i="4"/>
  <c r="AK183" i="4"/>
  <c r="AK184" i="4"/>
  <c r="AK185" i="4"/>
  <c r="AK186" i="4"/>
  <c r="AK187" i="4"/>
  <c r="AK188" i="4"/>
  <c r="AK189" i="4"/>
  <c r="AK190" i="4"/>
  <c r="AK191" i="4"/>
  <c r="AK192" i="4"/>
  <c r="AK193" i="4"/>
  <c r="AK194" i="4"/>
  <c r="AK195" i="4"/>
  <c r="AK196" i="4"/>
  <c r="AK197" i="4"/>
  <c r="AK198" i="4"/>
  <c r="AK199" i="4"/>
  <c r="AK200" i="4"/>
  <c r="AK201" i="4"/>
  <c r="AK202" i="4"/>
  <c r="AK203" i="4"/>
  <c r="AK204" i="4"/>
  <c r="AK205" i="4"/>
  <c r="AK206" i="4"/>
  <c r="AK207" i="4"/>
  <c r="AK208" i="4"/>
  <c r="AK209" i="4"/>
  <c r="AK210" i="4"/>
  <c r="AK211" i="4"/>
  <c r="AK212" i="4"/>
  <c r="AK213" i="4"/>
  <c r="AK214" i="4"/>
  <c r="AK215" i="4"/>
  <c r="AK216" i="4"/>
  <c r="AK217" i="4"/>
  <c r="AK218" i="4"/>
  <c r="AK219" i="4"/>
  <c r="AK220" i="4"/>
  <c r="AK221" i="4"/>
  <c r="AK222" i="4"/>
  <c r="AK223" i="4"/>
  <c r="AK224" i="4"/>
  <c r="AK225" i="4"/>
  <c r="AK226" i="4"/>
  <c r="AK227" i="4"/>
  <c r="AK228" i="4"/>
  <c r="AK229" i="4"/>
  <c r="AK230" i="4"/>
  <c r="AK231" i="4"/>
  <c r="AK232" i="4"/>
  <c r="AK233" i="4"/>
  <c r="AK234" i="4"/>
  <c r="AK235" i="4"/>
  <c r="AK236" i="4"/>
  <c r="AK237" i="4"/>
  <c r="AK238" i="4"/>
  <c r="AK239" i="4"/>
  <c r="AK240" i="4"/>
  <c r="AK241" i="4"/>
  <c r="AK242" i="4"/>
  <c r="AK243" i="4"/>
  <c r="AK244" i="4"/>
  <c r="AK245" i="4"/>
  <c r="AK246" i="4"/>
  <c r="AK247" i="4"/>
  <c r="AK248" i="4"/>
  <c r="AK249" i="4"/>
  <c r="AK250" i="4"/>
  <c r="AK251" i="4"/>
  <c r="AK252" i="4"/>
  <c r="AK253" i="4"/>
  <c r="AK254" i="4"/>
  <c r="AK255" i="4"/>
  <c r="AK256" i="4"/>
  <c r="AK257" i="4"/>
  <c r="AK258" i="4"/>
  <c r="AK259" i="4"/>
  <c r="AK260" i="4"/>
  <c r="AK261" i="4"/>
  <c r="AK262" i="4"/>
  <c r="AK263" i="4"/>
  <c r="AK264" i="4"/>
  <c r="AK265" i="4"/>
  <c r="AK266" i="4"/>
  <c r="AK267" i="4"/>
  <c r="AK268" i="4"/>
  <c r="AK269" i="4"/>
  <c r="AK270" i="4"/>
  <c r="AK271" i="4"/>
  <c r="AK272" i="4"/>
  <c r="AK273" i="4"/>
  <c r="AK274" i="4"/>
  <c r="AK275" i="4"/>
  <c r="AK276" i="4"/>
  <c r="AK277" i="4"/>
  <c r="AK278" i="4"/>
  <c r="AK279" i="4"/>
  <c r="AK280" i="4"/>
  <c r="AK281" i="4"/>
  <c r="AK282" i="4"/>
  <c r="AK283" i="4"/>
  <c r="AK284" i="4"/>
  <c r="AL152" i="4"/>
  <c r="AL153" i="4"/>
  <c r="AL154" i="4"/>
  <c r="AL155" i="4"/>
  <c r="AL156" i="4"/>
  <c r="AL157" i="4"/>
  <c r="AL158" i="4"/>
  <c r="AL159" i="4"/>
  <c r="AL160" i="4"/>
  <c r="AL161" i="4"/>
  <c r="AL162" i="4"/>
  <c r="AL163" i="4"/>
  <c r="AL164" i="4"/>
  <c r="AL165" i="4"/>
  <c r="AL166" i="4"/>
  <c r="AL167" i="4"/>
  <c r="AL168" i="4"/>
  <c r="AL169" i="4"/>
  <c r="AL170" i="4"/>
  <c r="AL171" i="4"/>
  <c r="AL172" i="4"/>
  <c r="AL173" i="4"/>
  <c r="AL174" i="4"/>
  <c r="AL175" i="4"/>
  <c r="AL176" i="4"/>
  <c r="AL177" i="4"/>
  <c r="AL178" i="4"/>
  <c r="AL179" i="4"/>
  <c r="AL180" i="4"/>
  <c r="AL181" i="4"/>
  <c r="AL182" i="4"/>
  <c r="AL183" i="4"/>
  <c r="AL184" i="4"/>
  <c r="AL185" i="4"/>
  <c r="AL186" i="4"/>
  <c r="AL187" i="4"/>
  <c r="AL188" i="4"/>
  <c r="AL189" i="4"/>
  <c r="AL190" i="4"/>
  <c r="AL191" i="4"/>
  <c r="AL192" i="4"/>
  <c r="AL193" i="4"/>
  <c r="AL194" i="4"/>
  <c r="AL195" i="4"/>
  <c r="AL196" i="4"/>
  <c r="AL197" i="4"/>
  <c r="AL198" i="4"/>
  <c r="AL199" i="4"/>
  <c r="AL200" i="4"/>
  <c r="AL201" i="4"/>
  <c r="AL202" i="4"/>
  <c r="AL203" i="4"/>
  <c r="AL204" i="4"/>
  <c r="AL205" i="4"/>
  <c r="AL206" i="4"/>
  <c r="AL207" i="4"/>
  <c r="AL208" i="4"/>
  <c r="AL209" i="4"/>
  <c r="AL210" i="4"/>
  <c r="AL211" i="4"/>
  <c r="AL212" i="4"/>
  <c r="AL213" i="4"/>
  <c r="AL214" i="4"/>
  <c r="AL215" i="4"/>
  <c r="AL216" i="4"/>
  <c r="AL217" i="4"/>
  <c r="AL218" i="4"/>
  <c r="AL219" i="4"/>
  <c r="AL220" i="4"/>
  <c r="AL221" i="4"/>
  <c r="AL222" i="4"/>
  <c r="AL223" i="4"/>
  <c r="AL224" i="4"/>
  <c r="AL225" i="4"/>
  <c r="AL226" i="4"/>
  <c r="AL227" i="4"/>
  <c r="AL228" i="4"/>
  <c r="AL229" i="4"/>
  <c r="AL230" i="4"/>
  <c r="AL231" i="4"/>
  <c r="AL232" i="4"/>
  <c r="AL233" i="4"/>
  <c r="AL234" i="4"/>
  <c r="AL235" i="4"/>
  <c r="AL236" i="4"/>
  <c r="AL237" i="4"/>
  <c r="AL238" i="4"/>
  <c r="AL239" i="4"/>
  <c r="AL240" i="4"/>
  <c r="AL241" i="4"/>
  <c r="AL242" i="4"/>
  <c r="AL243" i="4"/>
  <c r="AL244" i="4"/>
  <c r="AL245" i="4"/>
  <c r="AL246" i="4"/>
  <c r="AL247" i="4"/>
  <c r="AL248" i="4"/>
  <c r="AL249" i="4"/>
  <c r="AL250" i="4"/>
  <c r="AL251" i="4"/>
  <c r="AL252" i="4"/>
  <c r="AL253" i="4"/>
  <c r="AL254" i="4"/>
  <c r="AL255" i="4"/>
  <c r="AL256" i="4"/>
  <c r="AL257" i="4"/>
  <c r="AL258" i="4"/>
  <c r="AL259" i="4"/>
  <c r="AL260" i="4"/>
  <c r="AL261" i="4"/>
  <c r="AL262" i="4"/>
  <c r="AL263" i="4"/>
  <c r="AL264" i="4"/>
  <c r="AL265" i="4"/>
  <c r="AL266" i="4"/>
  <c r="AL267" i="4"/>
  <c r="AL268" i="4"/>
  <c r="AL269" i="4"/>
  <c r="AL270" i="4"/>
  <c r="AL271" i="4"/>
  <c r="AL272" i="4"/>
  <c r="AL273" i="4"/>
  <c r="AL274" i="4"/>
  <c r="AL275" i="4"/>
  <c r="AL276" i="4"/>
  <c r="AL277" i="4"/>
  <c r="AL278" i="4"/>
  <c r="AL279" i="4"/>
  <c r="AL280" i="4"/>
  <c r="AL281" i="4"/>
  <c r="AL282" i="4"/>
  <c r="AL283" i="4"/>
  <c r="AL284" i="4"/>
  <c r="AL151" i="4"/>
  <c r="AK151" i="4"/>
  <c r="AJ151" i="4"/>
  <c r="AL291" i="4" l="1"/>
  <c r="H83" i="1"/>
  <c r="H64" i="1"/>
  <c r="AM432" i="4" l="1"/>
  <c r="AN432" i="4"/>
  <c r="AO432" i="4"/>
  <c r="AP432" i="4"/>
  <c r="AQ432" i="4"/>
  <c r="AR432" i="4"/>
  <c r="AS432" i="4"/>
  <c r="AT432" i="4"/>
  <c r="AU432" i="4"/>
  <c r="AL432" i="4"/>
  <c r="AN291" i="4"/>
  <c r="AO291" i="4"/>
  <c r="AP291" i="4"/>
  <c r="AQ291" i="4"/>
  <c r="AR291" i="4"/>
  <c r="AS291" i="4"/>
  <c r="AT291" i="4"/>
  <c r="AU291" i="4"/>
  <c r="AR150" i="4"/>
  <c r="AU150" i="4"/>
  <c r="AP150" i="4"/>
  <c r="AO150" i="4"/>
  <c r="AT150" i="4"/>
  <c r="AS150" i="4"/>
  <c r="AQ150" i="4"/>
  <c r="AN150" i="4"/>
  <c r="AW26" i="12"/>
  <c r="AW25" i="12" l="1"/>
  <c r="AW24" i="12"/>
  <c r="BC143" i="7" l="1"/>
  <c r="BB143" i="7"/>
  <c r="BA143" i="7"/>
  <c r="AZ143" i="7"/>
  <c r="AY143" i="7"/>
  <c r="AI11" i="11"/>
  <c r="E20" i="10"/>
  <c r="CL6" i="6"/>
  <c r="CL7" i="6" s="1"/>
  <c r="CL8" i="6" s="1"/>
  <c r="BS144" i="6"/>
  <c r="BT144" i="6"/>
  <c r="BU144" i="6"/>
  <c r="BR144" i="6"/>
  <c r="AW8" i="6"/>
  <c r="AB143" i="6"/>
  <c r="AA143" i="6"/>
  <c r="Z143" i="6"/>
  <c r="Y143" i="6"/>
  <c r="U10" i="6"/>
  <c r="T11" i="6"/>
  <c r="S12" i="6"/>
  <c r="R6" i="6"/>
  <c r="Q9" i="6"/>
  <c r="E8" i="6"/>
  <c r="E7" i="6"/>
  <c r="E6" i="6"/>
  <c r="AR6" i="6"/>
  <c r="AI297" i="4"/>
  <c r="AI433" i="4"/>
  <c r="AI151" i="4"/>
  <c r="AK150" i="4"/>
  <c r="AI434" i="4"/>
  <c r="AI435" i="4"/>
  <c r="AI436" i="4"/>
  <c r="AI437" i="4"/>
  <c r="AI438" i="4"/>
  <c r="AI439" i="4"/>
  <c r="AI440" i="4"/>
  <c r="AI441" i="4"/>
  <c r="AI442" i="4"/>
  <c r="AI443" i="4"/>
  <c r="AI444" i="4"/>
  <c r="AI445" i="4"/>
  <c r="AI446" i="4"/>
  <c r="AI447" i="4"/>
  <c r="AI448" i="4"/>
  <c r="AI449" i="4"/>
  <c r="AI450" i="4"/>
  <c r="AI451" i="4"/>
  <c r="AI452" i="4"/>
  <c r="AI453" i="4"/>
  <c r="AI454" i="4"/>
  <c r="AI455" i="4"/>
  <c r="AI456" i="4"/>
  <c r="AI457" i="4"/>
  <c r="AI458" i="4"/>
  <c r="AI459" i="4"/>
  <c r="AI460" i="4"/>
  <c r="AI461" i="4"/>
  <c r="AI462" i="4"/>
  <c r="AI463" i="4"/>
  <c r="AI464" i="4"/>
  <c r="AI465" i="4"/>
  <c r="AI466" i="4"/>
  <c r="AI467" i="4"/>
  <c r="AI468" i="4"/>
  <c r="AI469" i="4"/>
  <c r="AI470" i="4"/>
  <c r="AI471" i="4"/>
  <c r="AI472" i="4"/>
  <c r="AI473" i="4"/>
  <c r="AI474" i="4"/>
  <c r="AI475" i="4"/>
  <c r="AI476" i="4"/>
  <c r="AI477" i="4"/>
  <c r="AI478" i="4"/>
  <c r="AI479" i="4"/>
  <c r="AI480" i="4"/>
  <c r="AI481" i="4"/>
  <c r="AI482" i="4"/>
  <c r="AI483" i="4"/>
  <c r="AI484" i="4"/>
  <c r="AI485" i="4"/>
  <c r="AI486" i="4"/>
  <c r="AI487" i="4"/>
  <c r="AI488" i="4"/>
  <c r="AI489" i="4"/>
  <c r="AI490" i="4"/>
  <c r="AI491" i="4"/>
  <c r="AI492" i="4"/>
  <c r="AI493" i="4"/>
  <c r="AI494" i="4"/>
  <c r="AI495" i="4"/>
  <c r="AI496" i="4"/>
  <c r="AI497" i="4"/>
  <c r="AI498" i="4"/>
  <c r="AI499" i="4"/>
  <c r="AI500" i="4"/>
  <c r="AI501" i="4"/>
  <c r="AI502" i="4"/>
  <c r="AI503" i="4"/>
  <c r="AI504" i="4"/>
  <c r="AI505" i="4"/>
  <c r="AI506" i="4"/>
  <c r="AI507" i="4"/>
  <c r="AI508" i="4"/>
  <c r="AI509" i="4"/>
  <c r="AI510" i="4"/>
  <c r="AI511" i="4"/>
  <c r="AI512" i="4"/>
  <c r="AI513" i="4"/>
  <c r="AI514" i="4"/>
  <c r="AI515" i="4"/>
  <c r="AI516" i="4"/>
  <c r="AI517" i="4"/>
  <c r="AI518" i="4"/>
  <c r="AI519" i="4"/>
  <c r="AI520" i="4"/>
  <c r="AI521" i="4"/>
  <c r="AI522" i="4"/>
  <c r="AI523" i="4"/>
  <c r="AI524" i="4"/>
  <c r="AI525" i="4"/>
  <c r="AI526" i="4"/>
  <c r="AI527" i="4"/>
  <c r="AI528" i="4"/>
  <c r="AI529" i="4"/>
  <c r="AI530" i="4"/>
  <c r="AI531" i="4"/>
  <c r="AI532" i="4"/>
  <c r="AI533" i="4"/>
  <c r="AI534" i="4"/>
  <c r="AI535" i="4"/>
  <c r="AI536" i="4"/>
  <c r="AI537" i="4"/>
  <c r="AI538" i="4"/>
  <c r="AI539" i="4"/>
  <c r="AI540" i="4"/>
  <c r="AI541" i="4"/>
  <c r="AI542" i="4"/>
  <c r="AI543" i="4"/>
  <c r="AI544" i="4"/>
  <c r="AI545" i="4"/>
  <c r="AI546" i="4"/>
  <c r="AI547" i="4"/>
  <c r="AI548" i="4"/>
  <c r="AI549" i="4"/>
  <c r="AI550" i="4"/>
  <c r="AI551" i="4"/>
  <c r="AI552" i="4"/>
  <c r="AI553" i="4"/>
  <c r="AI554" i="4"/>
  <c r="AI555" i="4"/>
  <c r="AI556" i="4"/>
  <c r="AI557" i="4"/>
  <c r="AI558" i="4"/>
  <c r="AI559" i="4"/>
  <c r="AI560" i="4"/>
  <c r="AI561" i="4"/>
  <c r="AI562" i="4"/>
  <c r="AI563" i="4"/>
  <c r="AI564" i="4"/>
  <c r="AI565" i="4"/>
  <c r="AI566" i="4"/>
  <c r="AI335" i="4"/>
  <c r="AI415" i="4"/>
  <c r="AI414" i="4"/>
  <c r="AI413" i="4"/>
  <c r="AI412" i="4"/>
  <c r="AH412" i="4"/>
  <c r="AH411" i="4"/>
  <c r="AI410" i="4"/>
  <c r="AH410" i="4"/>
  <c r="AH354" i="4"/>
  <c r="AI354" i="4"/>
  <c r="AI293" i="4"/>
  <c r="AI294" i="4"/>
  <c r="AI295" i="4"/>
  <c r="AI296" i="4"/>
  <c r="AI298" i="4"/>
  <c r="AI299" i="4"/>
  <c r="AI300" i="4"/>
  <c r="AI301" i="4"/>
  <c r="AI302" i="4"/>
  <c r="AI303" i="4"/>
  <c r="AI304" i="4"/>
  <c r="AI305" i="4"/>
  <c r="AI306" i="4"/>
  <c r="AI307" i="4"/>
  <c r="AI308" i="4"/>
  <c r="AI309" i="4"/>
  <c r="AI310" i="4"/>
  <c r="AI311" i="4"/>
  <c r="AI312" i="4"/>
  <c r="AI313" i="4"/>
  <c r="AI314" i="4"/>
  <c r="AI315" i="4"/>
  <c r="AI316" i="4"/>
  <c r="AI317" i="4"/>
  <c r="AI318" i="4"/>
  <c r="AI319" i="4"/>
  <c r="AI320" i="4"/>
  <c r="AI321" i="4"/>
  <c r="AI322" i="4"/>
  <c r="AI323" i="4"/>
  <c r="AI324" i="4"/>
  <c r="AI325" i="4"/>
  <c r="AI326" i="4"/>
  <c r="AI327" i="4"/>
  <c r="AI328" i="4"/>
  <c r="AI329" i="4"/>
  <c r="AI330" i="4"/>
  <c r="AI331" i="4"/>
  <c r="AI332" i="4"/>
  <c r="AI333" i="4"/>
  <c r="AI334" i="4"/>
  <c r="AI336" i="4"/>
  <c r="AI337" i="4"/>
  <c r="AI338" i="4"/>
  <c r="AI339" i="4"/>
  <c r="AI340" i="4"/>
  <c r="AI341" i="4"/>
  <c r="AI342" i="4"/>
  <c r="AI343" i="4"/>
  <c r="AI344" i="4"/>
  <c r="AI345" i="4"/>
  <c r="AI346" i="4"/>
  <c r="AI347" i="4"/>
  <c r="AI348" i="4"/>
  <c r="AI349" i="4"/>
  <c r="AI350" i="4"/>
  <c r="AI351" i="4"/>
  <c r="AI352" i="4"/>
  <c r="AI353" i="4"/>
  <c r="AI355" i="4"/>
  <c r="AI356" i="4"/>
  <c r="AI357" i="4"/>
  <c r="AI358" i="4"/>
  <c r="AI359" i="4"/>
  <c r="AI360" i="4"/>
  <c r="AI361" i="4"/>
  <c r="AI362" i="4"/>
  <c r="AI363" i="4"/>
  <c r="AI364" i="4"/>
  <c r="AI365" i="4"/>
  <c r="AI366" i="4"/>
  <c r="AI367" i="4"/>
  <c r="AI368" i="4"/>
  <c r="AI369" i="4"/>
  <c r="AI370" i="4"/>
  <c r="AI371" i="4"/>
  <c r="AI372" i="4"/>
  <c r="AI373" i="4"/>
  <c r="AI374" i="4"/>
  <c r="AI375" i="4"/>
  <c r="AI376" i="4"/>
  <c r="AI377" i="4"/>
  <c r="AI378" i="4"/>
  <c r="AI379" i="4"/>
  <c r="AI380" i="4"/>
  <c r="AI381" i="4"/>
  <c r="AI382" i="4"/>
  <c r="AI383" i="4"/>
  <c r="AI384" i="4"/>
  <c r="AI385" i="4"/>
  <c r="AI386" i="4"/>
  <c r="AI387" i="4"/>
  <c r="AI388" i="4"/>
  <c r="AI389" i="4"/>
  <c r="AI390" i="4"/>
  <c r="AI391" i="4"/>
  <c r="AI392" i="4"/>
  <c r="AI393" i="4"/>
  <c r="AI394" i="4"/>
  <c r="AI395" i="4"/>
  <c r="AI396" i="4"/>
  <c r="AI397" i="4"/>
  <c r="AI398" i="4"/>
  <c r="AI399" i="4"/>
  <c r="AI400" i="4"/>
  <c r="AI401" i="4"/>
  <c r="AI402" i="4"/>
  <c r="AI403" i="4"/>
  <c r="AI404" i="4"/>
  <c r="AI405" i="4"/>
  <c r="AI406" i="4"/>
  <c r="AI407" i="4"/>
  <c r="AI408" i="4"/>
  <c r="AI409" i="4"/>
  <c r="AI411" i="4"/>
  <c r="AI416" i="4"/>
  <c r="AI417" i="4"/>
  <c r="AI418" i="4"/>
  <c r="AI419" i="4"/>
  <c r="AI420" i="4"/>
  <c r="AI421" i="4"/>
  <c r="AI422" i="4"/>
  <c r="AI423" i="4"/>
  <c r="AI424" i="4"/>
  <c r="AI425" i="4"/>
  <c r="AH292" i="4"/>
  <c r="AI292" i="4"/>
  <c r="AH151" i="4"/>
  <c r="BG8" i="12"/>
  <c r="BH8" i="12" s="1"/>
  <c r="BI8" i="12" s="1"/>
  <c r="BG7" i="12"/>
  <c r="BH7" i="12" s="1"/>
  <c r="BI7" i="12" s="1"/>
  <c r="BG6" i="12"/>
  <c r="BH6" i="12" s="1"/>
  <c r="BI6" i="12" s="1"/>
  <c r="R3" i="12"/>
  <c r="S3" i="12" s="1"/>
  <c r="T3" i="12" s="1"/>
  <c r="R5" i="12"/>
  <c r="S5" i="12" s="1"/>
  <c r="T5" i="12" s="1"/>
  <c r="R4" i="12"/>
  <c r="S4" i="12" s="1"/>
  <c r="T4" i="12" s="1"/>
  <c r="I6" i="12"/>
  <c r="I5" i="12"/>
  <c r="H5" i="12"/>
  <c r="G6" i="12"/>
  <c r="G5" i="12"/>
  <c r="AE6" i="3"/>
  <c r="AE5" i="3"/>
  <c r="Z5" i="3"/>
  <c r="P17" i="7"/>
  <c r="P16" i="7"/>
  <c r="P15" i="7"/>
  <c r="P14" i="7"/>
  <c r="P13" i="7"/>
  <c r="P12" i="7"/>
  <c r="P11" i="7"/>
  <c r="P10" i="7"/>
  <c r="P9" i="7"/>
  <c r="P8" i="7"/>
  <c r="P7" i="7"/>
  <c r="P6" i="7"/>
  <c r="P5" i="7"/>
  <c r="P4" i="7"/>
  <c r="O17" i="7"/>
  <c r="O16" i="7"/>
  <c r="O15" i="7"/>
  <c r="O14" i="7"/>
  <c r="O13" i="7"/>
  <c r="O12" i="7"/>
  <c r="O11" i="7"/>
  <c r="O10" i="7"/>
  <c r="O9" i="7"/>
  <c r="O8" i="7"/>
  <c r="O7" i="7"/>
  <c r="O6" i="7"/>
  <c r="O5" i="7"/>
  <c r="O4" i="7"/>
  <c r="N5" i="7"/>
  <c r="N17" i="7"/>
  <c r="N16" i="7"/>
  <c r="N15" i="7"/>
  <c r="N14" i="7"/>
  <c r="N13" i="7"/>
  <c r="N12" i="7"/>
  <c r="N11" i="7"/>
  <c r="N10" i="7"/>
  <c r="N9" i="7"/>
  <c r="N8" i="7"/>
  <c r="N7" i="7"/>
  <c r="N6" i="7"/>
  <c r="N4" i="7"/>
  <c r="M17" i="7"/>
  <c r="M16" i="7"/>
  <c r="M15" i="7"/>
  <c r="M14" i="7"/>
  <c r="M13" i="7"/>
  <c r="M12" i="7"/>
  <c r="M11" i="7"/>
  <c r="M10" i="7"/>
  <c r="M9" i="7"/>
  <c r="M8" i="7"/>
  <c r="M7" i="7"/>
  <c r="M6" i="7"/>
  <c r="M5" i="7"/>
  <c r="M4" i="7"/>
  <c r="L17" i="7"/>
  <c r="L16" i="7"/>
  <c r="L15" i="7"/>
  <c r="L14" i="7"/>
  <c r="L13" i="7"/>
  <c r="L12" i="7"/>
  <c r="L11" i="7"/>
  <c r="L10" i="7"/>
  <c r="L9" i="7"/>
  <c r="L8" i="7"/>
  <c r="L7" i="7"/>
  <c r="L6" i="7"/>
  <c r="L5" i="7"/>
  <c r="E191" i="1" s="1"/>
  <c r="L4" i="7"/>
  <c r="K8" i="7"/>
  <c r="K5" i="7"/>
  <c r="K4" i="7"/>
  <c r="AX10" i="5"/>
  <c r="AX11" i="5"/>
  <c r="AX12" i="5"/>
  <c r="AX13" i="5"/>
  <c r="AX14" i="5"/>
  <c r="AX15" i="5"/>
  <c r="AX16" i="5"/>
  <c r="AX17" i="5"/>
  <c r="AX18" i="5"/>
  <c r="AW6" i="5"/>
  <c r="AX6" i="5" s="1"/>
  <c r="AW7" i="5"/>
  <c r="AW8" i="5"/>
  <c r="AW9" i="5"/>
  <c r="AW10" i="5"/>
  <c r="AW11" i="5"/>
  <c r="AW12" i="5"/>
  <c r="AW13" i="5"/>
  <c r="AW14" i="5"/>
  <c r="AW15" i="5"/>
  <c r="AW16" i="5"/>
  <c r="AW17" i="5"/>
  <c r="AW18" i="5"/>
  <c r="AW5" i="5"/>
  <c r="AU5" i="5"/>
  <c r="AV6" i="5"/>
  <c r="AV7" i="5"/>
  <c r="AV8" i="5"/>
  <c r="AV9" i="5"/>
  <c r="AX9" i="5" s="1"/>
  <c r="AV10" i="5"/>
  <c r="AV11" i="5"/>
  <c r="AV12" i="5"/>
  <c r="AV13" i="5"/>
  <c r="AV14" i="5"/>
  <c r="AV15" i="5"/>
  <c r="AV16" i="5"/>
  <c r="AV17" i="5"/>
  <c r="AV18" i="5"/>
  <c r="AV5" i="5"/>
  <c r="AU6" i="5"/>
  <c r="AU7" i="5"/>
  <c r="AU8" i="5"/>
  <c r="AU9" i="5"/>
  <c r="AU10" i="5"/>
  <c r="AU11" i="5"/>
  <c r="AU12" i="5"/>
  <c r="AU13" i="5"/>
  <c r="AU14" i="5"/>
  <c r="AU15" i="5"/>
  <c r="AU16" i="5"/>
  <c r="AU17" i="5"/>
  <c r="AU18" i="5"/>
  <c r="AT6" i="5"/>
  <c r="AT7" i="5"/>
  <c r="AT8" i="5"/>
  <c r="AT9" i="5"/>
  <c r="AT10" i="5"/>
  <c r="AT11" i="5"/>
  <c r="AT12" i="5"/>
  <c r="AT13" i="5"/>
  <c r="AT14" i="5"/>
  <c r="AT15" i="5"/>
  <c r="AT16" i="5"/>
  <c r="AT17" i="5"/>
  <c r="AT18" i="5"/>
  <c r="AT5" i="5"/>
  <c r="AS7" i="5"/>
  <c r="AS6" i="5"/>
  <c r="AS8" i="5"/>
  <c r="AS9" i="5"/>
  <c r="AS10" i="5"/>
  <c r="AS11" i="5"/>
  <c r="AS12" i="5"/>
  <c r="AS13" i="5"/>
  <c r="AS14" i="5"/>
  <c r="AS15" i="5"/>
  <c r="AS16" i="5"/>
  <c r="AS17" i="5"/>
  <c r="AS18" i="5"/>
  <c r="AS5" i="5"/>
  <c r="AR18" i="5"/>
  <c r="AR6" i="5"/>
  <c r="E83" i="1" s="1"/>
  <c r="AR7" i="5"/>
  <c r="F83" i="1" s="1"/>
  <c r="AR8" i="5"/>
  <c r="G83" i="1" s="1"/>
  <c r="AR9" i="5"/>
  <c r="AR10" i="5"/>
  <c r="AR11" i="5"/>
  <c r="AR12" i="5"/>
  <c r="AR13" i="5"/>
  <c r="AR14" i="5"/>
  <c r="AR15" i="5"/>
  <c r="AR16" i="5"/>
  <c r="AR17" i="5"/>
  <c r="AR5" i="5"/>
  <c r="AA13" i="5"/>
  <c r="AF17" i="5"/>
  <c r="AE13" i="5"/>
  <c r="O16" i="5"/>
  <c r="N13" i="5"/>
  <c r="O18" i="5"/>
  <c r="N18" i="5"/>
  <c r="M18" i="5"/>
  <c r="L18" i="5"/>
  <c r="O17" i="5"/>
  <c r="N17" i="5"/>
  <c r="M17" i="5"/>
  <c r="L17" i="5"/>
  <c r="N16" i="5"/>
  <c r="M16" i="5"/>
  <c r="L16" i="5"/>
  <c r="O15" i="5"/>
  <c r="N15" i="5"/>
  <c r="M15" i="5"/>
  <c r="L15" i="5"/>
  <c r="O14" i="5"/>
  <c r="N14" i="5"/>
  <c r="M14" i="5"/>
  <c r="L14" i="5"/>
  <c r="O13" i="5"/>
  <c r="M13" i="5"/>
  <c r="L13" i="5"/>
  <c r="O12" i="5"/>
  <c r="N12" i="5"/>
  <c r="M12" i="5"/>
  <c r="L12" i="5"/>
  <c r="O11" i="5"/>
  <c r="N11" i="5"/>
  <c r="M11" i="5"/>
  <c r="L11" i="5"/>
  <c r="O10" i="5"/>
  <c r="N10" i="5"/>
  <c r="M10" i="5"/>
  <c r="L10" i="5"/>
  <c r="O9" i="5"/>
  <c r="N9" i="5"/>
  <c r="M9" i="5"/>
  <c r="L9" i="5"/>
  <c r="O8" i="5"/>
  <c r="N8" i="5"/>
  <c r="M8" i="5"/>
  <c r="L8" i="5"/>
  <c r="O7" i="5"/>
  <c r="N7" i="5"/>
  <c r="M7" i="5"/>
  <c r="L7" i="5"/>
  <c r="O6" i="5"/>
  <c r="N6" i="5"/>
  <c r="M6" i="5"/>
  <c r="L6" i="5"/>
  <c r="K6" i="5"/>
  <c r="O5" i="5"/>
  <c r="N5" i="5"/>
  <c r="M5" i="5"/>
  <c r="L5" i="5"/>
  <c r="K18" i="5"/>
  <c r="K17" i="5"/>
  <c r="K16" i="5"/>
  <c r="K15" i="5"/>
  <c r="K14" i="5"/>
  <c r="K13" i="5"/>
  <c r="K12" i="5"/>
  <c r="K11" i="5"/>
  <c r="K10" i="5"/>
  <c r="K9" i="5"/>
  <c r="K8" i="5"/>
  <c r="K7" i="5"/>
  <c r="K5" i="5"/>
  <c r="J18" i="5"/>
  <c r="J17" i="5"/>
  <c r="J16" i="5"/>
  <c r="J15" i="5"/>
  <c r="J14" i="5"/>
  <c r="J13" i="5"/>
  <c r="J12" i="5"/>
  <c r="J11" i="5"/>
  <c r="J10" i="5"/>
  <c r="J9" i="5"/>
  <c r="J8" i="5"/>
  <c r="J7" i="5"/>
  <c r="J6" i="5"/>
  <c r="E73" i="1" s="1"/>
  <c r="J5" i="5"/>
  <c r="P6" i="5" l="1"/>
  <c r="AX5" i="5"/>
  <c r="AX7" i="5"/>
  <c r="Q5" i="7"/>
  <c r="Q17" i="7"/>
  <c r="AX8" i="5"/>
  <c r="AI150" i="4"/>
  <c r="E88" i="1"/>
  <c r="AE7" i="3"/>
  <c r="AJ150" i="4"/>
  <c r="F64" i="1" s="1"/>
  <c r="D83" i="1"/>
  <c r="E84" i="1"/>
  <c r="E85" i="1"/>
  <c r="E86" i="1"/>
  <c r="E87" i="1"/>
  <c r="D88" i="1"/>
  <c r="D87" i="1"/>
  <c r="D86" i="1"/>
  <c r="D85" i="1"/>
  <c r="D84" i="1"/>
  <c r="AC143" i="6" l="1"/>
  <c r="AD143" i="6"/>
  <c r="AE143" i="6"/>
  <c r="AF143" i="6"/>
  <c r="AG143" i="6"/>
  <c r="AH143" i="6"/>
  <c r="AI143" i="6"/>
  <c r="AJ143" i="6"/>
  <c r="AK143" i="6"/>
  <c r="AL143" i="6"/>
  <c r="BK6" i="6"/>
  <c r="Q191" i="1"/>
  <c r="Q192" i="1"/>
  <c r="Q193" i="1"/>
  <c r="Q195" i="1"/>
  <c r="K17" i="7"/>
  <c r="P191" i="1"/>
  <c r="P192" i="1"/>
  <c r="P193" i="1"/>
  <c r="P194" i="1"/>
  <c r="P195" i="1"/>
  <c r="K16" i="7"/>
  <c r="P190" i="1" s="1"/>
  <c r="O191" i="1"/>
  <c r="O192" i="1"/>
  <c r="O193" i="1"/>
  <c r="O194" i="1"/>
  <c r="K15" i="7"/>
  <c r="O190" i="1" s="1"/>
  <c r="N191" i="1"/>
  <c r="N192" i="1"/>
  <c r="N193" i="1"/>
  <c r="N194" i="1"/>
  <c r="K14" i="7"/>
  <c r="N190" i="1" s="1"/>
  <c r="M191" i="1"/>
  <c r="M192" i="1"/>
  <c r="M193" i="1"/>
  <c r="M194" i="1"/>
  <c r="K13" i="7"/>
  <c r="M190" i="1" s="1"/>
  <c r="L191" i="1"/>
  <c r="L192" i="1"/>
  <c r="L193" i="1"/>
  <c r="L194" i="1"/>
  <c r="L195" i="1"/>
  <c r="K12" i="7"/>
  <c r="L190" i="1" s="1"/>
  <c r="K191" i="1"/>
  <c r="K192" i="1"/>
  <c r="K193" i="1"/>
  <c r="K194" i="1"/>
  <c r="K11" i="7"/>
  <c r="K190" i="1" s="1"/>
  <c r="J191" i="1"/>
  <c r="J192" i="1"/>
  <c r="J193" i="1"/>
  <c r="J194" i="1"/>
  <c r="J195" i="1"/>
  <c r="K10" i="7"/>
  <c r="J190" i="1" s="1"/>
  <c r="I191" i="1"/>
  <c r="I192" i="1"/>
  <c r="I193" i="1"/>
  <c r="I195" i="1"/>
  <c r="K9" i="7"/>
  <c r="I190" i="1" s="1"/>
  <c r="H191" i="1"/>
  <c r="H192" i="1"/>
  <c r="H193" i="1"/>
  <c r="H194" i="1"/>
  <c r="H195" i="1"/>
  <c r="H190" i="1"/>
  <c r="G191" i="1"/>
  <c r="G192" i="1"/>
  <c r="G193" i="1"/>
  <c r="G194" i="1"/>
  <c r="K7" i="7"/>
  <c r="G190" i="1" s="1"/>
  <c r="F191" i="1"/>
  <c r="F192" i="1"/>
  <c r="F193" i="1"/>
  <c r="F194" i="1"/>
  <c r="F195" i="1"/>
  <c r="K6" i="7"/>
  <c r="F190" i="1" s="1"/>
  <c r="E192" i="1"/>
  <c r="E193" i="1"/>
  <c r="E194" i="1"/>
  <c r="E190" i="1"/>
  <c r="D190" i="1"/>
  <c r="Q12" i="7"/>
  <c r="D195" i="1"/>
  <c r="D194" i="1"/>
  <c r="D193" i="1"/>
  <c r="D192" i="1"/>
  <c r="D191" i="1"/>
  <c r="AO23" i="7"/>
  <c r="D210" i="1" s="1"/>
  <c r="D118" i="1"/>
  <c r="E78" i="1"/>
  <c r="F78" i="1"/>
  <c r="G78" i="1"/>
  <c r="H78" i="1"/>
  <c r="I78" i="1"/>
  <c r="J78" i="1"/>
  <c r="K78" i="1"/>
  <c r="L78" i="1"/>
  <c r="M78" i="1"/>
  <c r="N78" i="1"/>
  <c r="O78" i="1"/>
  <c r="P78" i="1"/>
  <c r="Q78" i="1"/>
  <c r="E77" i="1"/>
  <c r="F77" i="1"/>
  <c r="H77" i="1"/>
  <c r="J77" i="1"/>
  <c r="L77" i="1"/>
  <c r="M77" i="1"/>
  <c r="N77" i="1"/>
  <c r="P77" i="1"/>
  <c r="Q77" i="1"/>
  <c r="D78" i="1"/>
  <c r="P12" i="5" l="1"/>
  <c r="P5" i="5"/>
  <c r="P15" i="5"/>
  <c r="P18" i="5"/>
  <c r="Q7" i="7"/>
  <c r="Q11" i="7"/>
  <c r="Q13" i="7"/>
  <c r="Q14" i="7"/>
  <c r="Q15" i="7"/>
  <c r="P16" i="5"/>
  <c r="P10" i="5"/>
  <c r="D77" i="1"/>
  <c r="P9" i="5"/>
  <c r="P7" i="5"/>
  <c r="P14" i="5"/>
  <c r="P8" i="5"/>
  <c r="G77" i="1"/>
  <c r="K77" i="1"/>
  <c r="P13" i="5"/>
  <c r="I77" i="1"/>
  <c r="O77" i="1"/>
  <c r="Q6" i="7"/>
  <c r="K195" i="1"/>
  <c r="E195" i="1"/>
  <c r="Q8" i="7"/>
  <c r="Q9" i="7"/>
  <c r="Q10" i="7"/>
  <c r="Q16" i="7"/>
  <c r="I194" i="1"/>
  <c r="O195" i="1"/>
  <c r="Q4" i="7"/>
  <c r="N195" i="1"/>
  <c r="M195" i="1"/>
  <c r="G195" i="1"/>
  <c r="Q194" i="1"/>
  <c r="P17" i="5"/>
  <c r="P11" i="5"/>
  <c r="E217" i="1" l="1"/>
  <c r="F217" i="1"/>
  <c r="G217" i="1"/>
  <c r="H217" i="1"/>
  <c r="BD143" i="7"/>
  <c r="I217" i="1" s="1"/>
  <c r="BE143" i="7"/>
  <c r="J217" i="1" s="1"/>
  <c r="BF143" i="7"/>
  <c r="K217" i="1" s="1"/>
  <c r="BG143" i="7"/>
  <c r="L217" i="1" s="1"/>
  <c r="BH143" i="7"/>
  <c r="M217" i="1" s="1"/>
  <c r="BI143" i="7"/>
  <c r="N217" i="1" s="1"/>
  <c r="BJ143" i="7"/>
  <c r="O217" i="1" s="1"/>
  <c r="BK143" i="7"/>
  <c r="P217" i="1" s="1"/>
  <c r="BL143" i="7"/>
  <c r="D217" i="1"/>
  <c r="AO24" i="7" l="1"/>
  <c r="E210" i="1" s="1"/>
  <c r="AO25" i="7"/>
  <c r="F210" i="1" s="1"/>
  <c r="AO26" i="7"/>
  <c r="G210" i="1" s="1"/>
  <c r="AO27" i="7"/>
  <c r="H210" i="1" s="1"/>
  <c r="AO28" i="7"/>
  <c r="I210" i="1" s="1"/>
  <c r="AO29" i="7"/>
  <c r="J210" i="1" s="1"/>
  <c r="AO30" i="7"/>
  <c r="K210" i="1" s="1"/>
  <c r="AO31" i="7"/>
  <c r="L210" i="1" s="1"/>
  <c r="AO32" i="7"/>
  <c r="M210" i="1" s="1"/>
  <c r="AO33" i="7"/>
  <c r="N210" i="1" s="1"/>
  <c r="AO34" i="7"/>
  <c r="O210" i="1" s="1"/>
  <c r="AO35" i="7"/>
  <c r="P210" i="1" s="1"/>
  <c r="AO36" i="7"/>
  <c r="Q210" i="1" s="1"/>
  <c r="AP24" i="7"/>
  <c r="E211" i="1" s="1"/>
  <c r="AP25" i="7"/>
  <c r="F211" i="1" s="1"/>
  <c r="AP26" i="7"/>
  <c r="G211" i="1" s="1"/>
  <c r="AP27" i="7"/>
  <c r="H211" i="1" s="1"/>
  <c r="AP28" i="7"/>
  <c r="I211" i="1" s="1"/>
  <c r="AP29" i="7"/>
  <c r="J211" i="1" s="1"/>
  <c r="AP30" i="7"/>
  <c r="K211" i="1" s="1"/>
  <c r="AP31" i="7"/>
  <c r="L211" i="1" s="1"/>
  <c r="AP32" i="7"/>
  <c r="M211" i="1" s="1"/>
  <c r="AP33" i="7"/>
  <c r="N211" i="1" s="1"/>
  <c r="AP34" i="7"/>
  <c r="O211" i="1" s="1"/>
  <c r="AP35" i="7"/>
  <c r="P211" i="1" s="1"/>
  <c r="AP36" i="7"/>
  <c r="Q211" i="1" s="1"/>
  <c r="AQ24" i="7"/>
  <c r="E212" i="1" s="1"/>
  <c r="AQ25" i="7"/>
  <c r="F212" i="1" s="1"/>
  <c r="AQ26" i="7"/>
  <c r="G212" i="1" s="1"/>
  <c r="AQ27" i="7"/>
  <c r="H212" i="1" s="1"/>
  <c r="AQ28" i="7"/>
  <c r="I212" i="1" s="1"/>
  <c r="AQ29" i="7"/>
  <c r="J212" i="1" s="1"/>
  <c r="AQ30" i="7"/>
  <c r="K212" i="1" s="1"/>
  <c r="AQ31" i="7"/>
  <c r="L212" i="1" s="1"/>
  <c r="AQ32" i="7"/>
  <c r="M212" i="1" s="1"/>
  <c r="AQ33" i="7"/>
  <c r="N212" i="1" s="1"/>
  <c r="AQ34" i="7"/>
  <c r="O212" i="1" s="1"/>
  <c r="AQ35" i="7"/>
  <c r="P212" i="1" s="1"/>
  <c r="AQ36" i="7"/>
  <c r="Q212" i="1" s="1"/>
  <c r="AR24" i="7"/>
  <c r="E213" i="1" s="1"/>
  <c r="AR25" i="7"/>
  <c r="F213" i="1" s="1"/>
  <c r="AR26" i="7"/>
  <c r="G213" i="1" s="1"/>
  <c r="AR27" i="7"/>
  <c r="H213" i="1" s="1"/>
  <c r="AR28" i="7"/>
  <c r="I213" i="1" s="1"/>
  <c r="AR29" i="7"/>
  <c r="J213" i="1" s="1"/>
  <c r="AR30" i="7"/>
  <c r="K213" i="1" s="1"/>
  <c r="AR31" i="7"/>
  <c r="L213" i="1" s="1"/>
  <c r="AR32" i="7"/>
  <c r="M213" i="1" s="1"/>
  <c r="AR33" i="7"/>
  <c r="N213" i="1" s="1"/>
  <c r="AR34" i="7"/>
  <c r="O213" i="1" s="1"/>
  <c r="AR35" i="7"/>
  <c r="P213" i="1" s="1"/>
  <c r="AR36" i="7"/>
  <c r="Q213" i="1" s="1"/>
  <c r="AS24" i="7"/>
  <c r="E214" i="1" s="1"/>
  <c r="AS25" i="7"/>
  <c r="F214" i="1" s="1"/>
  <c r="AS26" i="7"/>
  <c r="G214" i="1" s="1"/>
  <c r="AS27" i="7"/>
  <c r="AS28" i="7"/>
  <c r="I214" i="1" s="1"/>
  <c r="AS29" i="7"/>
  <c r="J214" i="1" s="1"/>
  <c r="AS30" i="7"/>
  <c r="K214" i="1" s="1"/>
  <c r="AS31" i="7"/>
  <c r="L214" i="1" s="1"/>
  <c r="AS32" i="7"/>
  <c r="M214" i="1" s="1"/>
  <c r="AS33" i="7"/>
  <c r="AS34" i="7"/>
  <c r="O214" i="1" s="1"/>
  <c r="AS35" i="7"/>
  <c r="P214" i="1" s="1"/>
  <c r="AS36" i="7"/>
  <c r="Q214" i="1" s="1"/>
  <c r="AT24" i="7"/>
  <c r="AT25" i="7"/>
  <c r="F215" i="1" s="1"/>
  <c r="AT26" i="7"/>
  <c r="G215" i="1" s="1"/>
  <c r="AT27" i="7"/>
  <c r="H215" i="1" s="1"/>
  <c r="AT28" i="7"/>
  <c r="I215" i="1" s="1"/>
  <c r="AT29" i="7"/>
  <c r="J215" i="1" s="1"/>
  <c r="AT30" i="7"/>
  <c r="AT31" i="7"/>
  <c r="L215" i="1" s="1"/>
  <c r="AT32" i="7"/>
  <c r="AT33" i="7"/>
  <c r="N215" i="1" s="1"/>
  <c r="AT34" i="7"/>
  <c r="O215" i="1" s="1"/>
  <c r="AT35" i="7"/>
  <c r="P215" i="1" s="1"/>
  <c r="AT36" i="7"/>
  <c r="Q215" i="1" s="1"/>
  <c r="AT23" i="7"/>
  <c r="AS23" i="7"/>
  <c r="D214" i="1" s="1"/>
  <c r="AQ23" i="7"/>
  <c r="D212" i="1" s="1"/>
  <c r="AR23" i="7"/>
  <c r="D213" i="1" s="1"/>
  <c r="AP23" i="7"/>
  <c r="D211" i="1" s="1"/>
  <c r="AO7" i="7"/>
  <c r="E200" i="1" s="1"/>
  <c r="AO8" i="7"/>
  <c r="F200" i="1" s="1"/>
  <c r="AO9" i="7"/>
  <c r="G200" i="1" s="1"/>
  <c r="AO10" i="7"/>
  <c r="H200" i="1" s="1"/>
  <c r="AO11" i="7"/>
  <c r="I200" i="1" s="1"/>
  <c r="AO12" i="7"/>
  <c r="J200" i="1" s="1"/>
  <c r="AO13" i="7"/>
  <c r="K200" i="1" s="1"/>
  <c r="AO14" i="7"/>
  <c r="L200" i="1" s="1"/>
  <c r="AO15" i="7"/>
  <c r="M200" i="1" s="1"/>
  <c r="AO16" i="7"/>
  <c r="N200" i="1" s="1"/>
  <c r="AO17" i="7"/>
  <c r="O200" i="1" s="1"/>
  <c r="AO18" i="7"/>
  <c r="P200" i="1" s="1"/>
  <c r="AO19" i="7"/>
  <c r="Q200" i="1" s="1"/>
  <c r="AP7" i="7"/>
  <c r="E201" i="1" s="1"/>
  <c r="AP8" i="7"/>
  <c r="F201" i="1" s="1"/>
  <c r="AP9" i="7"/>
  <c r="G201" i="1" s="1"/>
  <c r="AP10" i="7"/>
  <c r="H201" i="1" s="1"/>
  <c r="AP11" i="7"/>
  <c r="I201" i="1" s="1"/>
  <c r="AP12" i="7"/>
  <c r="J201" i="1" s="1"/>
  <c r="AP13" i="7"/>
  <c r="K201" i="1" s="1"/>
  <c r="AP14" i="7"/>
  <c r="L201" i="1" s="1"/>
  <c r="AP15" i="7"/>
  <c r="M201" i="1" s="1"/>
  <c r="AP16" i="7"/>
  <c r="N201" i="1" s="1"/>
  <c r="AP17" i="7"/>
  <c r="O201" i="1" s="1"/>
  <c r="AP18" i="7"/>
  <c r="P201" i="1" s="1"/>
  <c r="AP19" i="7"/>
  <c r="Q201" i="1" s="1"/>
  <c r="AQ7" i="7"/>
  <c r="E202" i="1" s="1"/>
  <c r="AQ8" i="7"/>
  <c r="F202" i="1" s="1"/>
  <c r="AQ9" i="7"/>
  <c r="G202" i="1" s="1"/>
  <c r="AQ10" i="7"/>
  <c r="H202" i="1" s="1"/>
  <c r="AQ11" i="7"/>
  <c r="I202" i="1" s="1"/>
  <c r="AQ12" i="7"/>
  <c r="J202" i="1" s="1"/>
  <c r="AQ13" i="7"/>
  <c r="K202" i="1" s="1"/>
  <c r="AQ14" i="7"/>
  <c r="L202" i="1" s="1"/>
  <c r="AQ15" i="7"/>
  <c r="M202" i="1" s="1"/>
  <c r="AQ16" i="7"/>
  <c r="N202" i="1" s="1"/>
  <c r="AQ17" i="7"/>
  <c r="O202" i="1" s="1"/>
  <c r="AQ18" i="7"/>
  <c r="P202" i="1" s="1"/>
  <c r="AQ19" i="7"/>
  <c r="Q202" i="1" s="1"/>
  <c r="AR7" i="7"/>
  <c r="E203" i="1" s="1"/>
  <c r="AR8" i="7"/>
  <c r="F203" i="1" s="1"/>
  <c r="AR9" i="7"/>
  <c r="G203" i="1" s="1"/>
  <c r="AR10" i="7"/>
  <c r="H203" i="1" s="1"/>
  <c r="AR11" i="7"/>
  <c r="I203" i="1" s="1"/>
  <c r="AR12" i="7"/>
  <c r="J203" i="1" s="1"/>
  <c r="AR13" i="7"/>
  <c r="K203" i="1" s="1"/>
  <c r="AR14" i="7"/>
  <c r="L203" i="1" s="1"/>
  <c r="AR15" i="7"/>
  <c r="M203" i="1" s="1"/>
  <c r="AR16" i="7"/>
  <c r="N203" i="1" s="1"/>
  <c r="AR17" i="7"/>
  <c r="O203" i="1" s="1"/>
  <c r="AR18" i="7"/>
  <c r="P203" i="1" s="1"/>
  <c r="AR19" i="7"/>
  <c r="Q203" i="1" s="1"/>
  <c r="AS7" i="7"/>
  <c r="AS8" i="7"/>
  <c r="AS9" i="7"/>
  <c r="AS10" i="7"/>
  <c r="H204" i="1" s="1"/>
  <c r="AS11" i="7"/>
  <c r="I204" i="1" s="1"/>
  <c r="AS12" i="7"/>
  <c r="J204" i="1" s="1"/>
  <c r="AS13" i="7"/>
  <c r="AS14" i="7"/>
  <c r="L204" i="1" s="1"/>
  <c r="AS15" i="7"/>
  <c r="M204" i="1" s="1"/>
  <c r="AS16" i="7"/>
  <c r="N204" i="1" s="1"/>
  <c r="AS17" i="7"/>
  <c r="O204" i="1" s="1"/>
  <c r="AS18" i="7"/>
  <c r="P204" i="1" s="1"/>
  <c r="AS19" i="7"/>
  <c r="Q204" i="1" s="1"/>
  <c r="AT7" i="7"/>
  <c r="E205" i="1" s="1"/>
  <c r="AT8" i="7"/>
  <c r="F205" i="1" s="1"/>
  <c r="AT9" i="7"/>
  <c r="G205" i="1" s="1"/>
  <c r="AT10" i="7"/>
  <c r="H205" i="1" s="1"/>
  <c r="AT11" i="7"/>
  <c r="I205" i="1" s="1"/>
  <c r="AT12" i="7"/>
  <c r="J205" i="1" s="1"/>
  <c r="AT13" i="7"/>
  <c r="K205" i="1" s="1"/>
  <c r="AT14" i="7"/>
  <c r="L205" i="1" s="1"/>
  <c r="AT15" i="7"/>
  <c r="M205" i="1" s="1"/>
  <c r="AT16" i="7"/>
  <c r="N205" i="1" s="1"/>
  <c r="AT17" i="7"/>
  <c r="O205" i="1" s="1"/>
  <c r="AT18" i="7"/>
  <c r="P205" i="1" s="1"/>
  <c r="AT19" i="7"/>
  <c r="Q205" i="1" s="1"/>
  <c r="AT6" i="7"/>
  <c r="D205" i="1" s="1"/>
  <c r="AS6" i="7"/>
  <c r="D204" i="1" s="1"/>
  <c r="AR6" i="7"/>
  <c r="D203" i="1" s="1"/>
  <c r="AQ6" i="7"/>
  <c r="D202" i="1" s="1"/>
  <c r="AP6" i="7"/>
  <c r="D201" i="1" s="1"/>
  <c r="AO6" i="7"/>
  <c r="D200" i="1" s="1"/>
  <c r="AU14" i="7" l="1"/>
  <c r="AU23" i="7"/>
  <c r="D215" i="1"/>
  <c r="AU10" i="7"/>
  <c r="AU9" i="7"/>
  <c r="G204" i="1"/>
  <c r="AU34" i="7"/>
  <c r="AU27" i="7"/>
  <c r="H214" i="1"/>
  <c r="AU13" i="7"/>
  <c r="K204" i="1"/>
  <c r="AU7" i="7"/>
  <c r="E204" i="1"/>
  <c r="AU26" i="7"/>
  <c r="AU28" i="7"/>
  <c r="AU30" i="7"/>
  <c r="K215" i="1"/>
  <c r="AU24" i="7"/>
  <c r="E215" i="1"/>
  <c r="AU8" i="7"/>
  <c r="F204" i="1"/>
  <c r="AU32" i="7"/>
  <c r="M215" i="1"/>
  <c r="AU33" i="7"/>
  <c r="N214" i="1"/>
  <c r="AU6" i="7"/>
  <c r="AU16" i="7"/>
  <c r="AU17" i="7"/>
  <c r="AU11" i="7"/>
  <c r="AU18" i="7"/>
  <c r="AU12" i="7"/>
  <c r="AU31" i="7"/>
  <c r="AU25" i="7"/>
  <c r="AU35" i="7"/>
  <c r="AU29" i="7"/>
  <c r="AU36" i="7"/>
  <c r="AU19" i="7"/>
  <c r="AU15" i="7"/>
  <c r="BA7" i="11" l="1"/>
  <c r="E180" i="1" s="1"/>
  <c r="BA8" i="11"/>
  <c r="F180" i="1" s="1"/>
  <c r="BA9" i="11"/>
  <c r="G180" i="1" s="1"/>
  <c r="BA10" i="11"/>
  <c r="H180" i="1" s="1"/>
  <c r="BA11" i="11"/>
  <c r="I180" i="1" s="1"/>
  <c r="BA12" i="11"/>
  <c r="J180" i="1" s="1"/>
  <c r="BA13" i="11"/>
  <c r="K180" i="1" s="1"/>
  <c r="BA14" i="11"/>
  <c r="L180" i="1" s="1"/>
  <c r="BA15" i="11"/>
  <c r="M180" i="1" s="1"/>
  <c r="BA16" i="11"/>
  <c r="N180" i="1" s="1"/>
  <c r="BA17" i="11"/>
  <c r="O180" i="1" s="1"/>
  <c r="BA18" i="11"/>
  <c r="P180" i="1" s="1"/>
  <c r="BA19" i="11"/>
  <c r="Q180" i="1" s="1"/>
  <c r="BB7" i="11"/>
  <c r="E181" i="1" s="1"/>
  <c r="BB8" i="11"/>
  <c r="F181" i="1" s="1"/>
  <c r="BB9" i="11"/>
  <c r="G181" i="1" s="1"/>
  <c r="BB10" i="11"/>
  <c r="H181" i="1" s="1"/>
  <c r="BB11" i="11"/>
  <c r="I181" i="1" s="1"/>
  <c r="BB12" i="11"/>
  <c r="J181" i="1" s="1"/>
  <c r="BB13" i="11"/>
  <c r="K181" i="1" s="1"/>
  <c r="BB14" i="11"/>
  <c r="L181" i="1" s="1"/>
  <c r="BB15" i="11"/>
  <c r="M181" i="1" s="1"/>
  <c r="BB16" i="11"/>
  <c r="N181" i="1" s="1"/>
  <c r="BB17" i="11"/>
  <c r="O181" i="1" s="1"/>
  <c r="BB18" i="11"/>
  <c r="P181" i="1" s="1"/>
  <c r="BB19" i="11"/>
  <c r="Q181" i="1" s="1"/>
  <c r="BC7" i="11"/>
  <c r="E182" i="1" s="1"/>
  <c r="BC8" i="11"/>
  <c r="F182" i="1" s="1"/>
  <c r="BC9" i="11"/>
  <c r="G182" i="1" s="1"/>
  <c r="BC10" i="11"/>
  <c r="H182" i="1" s="1"/>
  <c r="BC11" i="11"/>
  <c r="I182" i="1" s="1"/>
  <c r="BC12" i="11"/>
  <c r="J182" i="1" s="1"/>
  <c r="BC13" i="11"/>
  <c r="K182" i="1" s="1"/>
  <c r="BC14" i="11"/>
  <c r="L182" i="1" s="1"/>
  <c r="BC15" i="11"/>
  <c r="M182" i="1" s="1"/>
  <c r="BC16" i="11"/>
  <c r="N182" i="1" s="1"/>
  <c r="BC17" i="11"/>
  <c r="O182" i="1" s="1"/>
  <c r="BC18" i="11"/>
  <c r="P182" i="1" s="1"/>
  <c r="BC19" i="11"/>
  <c r="Q182" i="1" s="1"/>
  <c r="BD7" i="11"/>
  <c r="E183" i="1" s="1"/>
  <c r="BD8" i="11"/>
  <c r="F183" i="1" s="1"/>
  <c r="BD9" i="11"/>
  <c r="G183" i="1" s="1"/>
  <c r="BD10" i="11"/>
  <c r="H183" i="1" s="1"/>
  <c r="BD11" i="11"/>
  <c r="I183" i="1" s="1"/>
  <c r="BD12" i="11"/>
  <c r="J183" i="1" s="1"/>
  <c r="BD13" i="11"/>
  <c r="K183" i="1" s="1"/>
  <c r="BD14" i="11"/>
  <c r="L183" i="1" s="1"/>
  <c r="BD15" i="11"/>
  <c r="M183" i="1" s="1"/>
  <c r="BD16" i="11"/>
  <c r="N183" i="1" s="1"/>
  <c r="BD17" i="11"/>
  <c r="O183" i="1" s="1"/>
  <c r="BD18" i="11"/>
  <c r="P183" i="1" s="1"/>
  <c r="BD19" i="11"/>
  <c r="Q183" i="1" s="1"/>
  <c r="BE7" i="11"/>
  <c r="E184" i="1" s="1"/>
  <c r="BE8" i="11"/>
  <c r="BE9" i="11"/>
  <c r="BE10" i="11"/>
  <c r="BE11" i="11"/>
  <c r="I184" i="1" s="1"/>
  <c r="BE12" i="11"/>
  <c r="J184" i="1" s="1"/>
  <c r="BE13" i="11"/>
  <c r="K184" i="1" s="1"/>
  <c r="BE14" i="11"/>
  <c r="L184" i="1" s="1"/>
  <c r="BE15" i="11"/>
  <c r="M184" i="1" s="1"/>
  <c r="BE16" i="11"/>
  <c r="N184" i="1" s="1"/>
  <c r="BE17" i="11"/>
  <c r="O184" i="1" s="1"/>
  <c r="BE18" i="11"/>
  <c r="P184" i="1" s="1"/>
  <c r="BE19" i="11"/>
  <c r="Q184" i="1" s="1"/>
  <c r="BF7" i="11"/>
  <c r="E185" i="1" s="1"/>
  <c r="BF8" i="11"/>
  <c r="F185" i="1" s="1"/>
  <c r="BF9" i="11"/>
  <c r="G185" i="1" s="1"/>
  <c r="BF10" i="11"/>
  <c r="H185" i="1" s="1"/>
  <c r="BF11" i="11"/>
  <c r="I185" i="1" s="1"/>
  <c r="BF12" i="11"/>
  <c r="BF13" i="11"/>
  <c r="BF14" i="11"/>
  <c r="BF15" i="11"/>
  <c r="BF16" i="11"/>
  <c r="BF17" i="11"/>
  <c r="BF18" i="11"/>
  <c r="P185" i="1" s="1"/>
  <c r="BF19" i="11"/>
  <c r="BF6" i="11"/>
  <c r="D185" i="1" s="1"/>
  <c r="BE6" i="11"/>
  <c r="D184" i="1" s="1"/>
  <c r="BD6" i="11"/>
  <c r="D183" i="1" s="1"/>
  <c r="BC6" i="11"/>
  <c r="D182" i="1" s="1"/>
  <c r="BB6" i="11"/>
  <c r="D181" i="1" s="1"/>
  <c r="BA6" i="11"/>
  <c r="D180" i="1" s="1"/>
  <c r="AI8" i="11"/>
  <c r="AI9" i="11"/>
  <c r="AI10" i="11"/>
  <c r="AI12" i="11"/>
  <c r="AI13" i="11"/>
  <c r="AI14" i="11"/>
  <c r="AI15" i="11"/>
  <c r="AI16" i="11"/>
  <c r="AI17" i="11"/>
  <c r="AI18" i="11"/>
  <c r="AI19" i="11"/>
  <c r="AI20" i="11"/>
  <c r="AI7" i="11"/>
  <c r="AI6" i="11"/>
  <c r="W7" i="11"/>
  <c r="E170" i="1" s="1"/>
  <c r="W8" i="11"/>
  <c r="F170" i="1" s="1"/>
  <c r="W9" i="11"/>
  <c r="G170" i="1" s="1"/>
  <c r="W10" i="11"/>
  <c r="H170" i="1" s="1"/>
  <c r="W11" i="11"/>
  <c r="I170" i="1" s="1"/>
  <c r="W12" i="11"/>
  <c r="J170" i="1" s="1"/>
  <c r="W13" i="11"/>
  <c r="K170" i="1" s="1"/>
  <c r="W14" i="11"/>
  <c r="L170" i="1" s="1"/>
  <c r="W15" i="11"/>
  <c r="M170" i="1" s="1"/>
  <c r="W16" i="11"/>
  <c r="N170" i="1" s="1"/>
  <c r="W17" i="11"/>
  <c r="O170" i="1" s="1"/>
  <c r="W18" i="11"/>
  <c r="P170" i="1" s="1"/>
  <c r="W19" i="11"/>
  <c r="Q170" i="1" s="1"/>
  <c r="X7" i="11"/>
  <c r="E171" i="1" s="1"/>
  <c r="X8" i="11"/>
  <c r="F171" i="1" s="1"/>
  <c r="X9" i="11"/>
  <c r="G171" i="1" s="1"/>
  <c r="X10" i="11"/>
  <c r="H171" i="1" s="1"/>
  <c r="X11" i="11"/>
  <c r="I171" i="1" s="1"/>
  <c r="X12" i="11"/>
  <c r="J171" i="1" s="1"/>
  <c r="X13" i="11"/>
  <c r="K171" i="1" s="1"/>
  <c r="X14" i="11"/>
  <c r="L171" i="1" s="1"/>
  <c r="X15" i="11"/>
  <c r="M171" i="1" s="1"/>
  <c r="X16" i="11"/>
  <c r="N171" i="1" s="1"/>
  <c r="X17" i="11"/>
  <c r="O171" i="1" s="1"/>
  <c r="X18" i="11"/>
  <c r="P171" i="1" s="1"/>
  <c r="X19" i="11"/>
  <c r="Q171" i="1" s="1"/>
  <c r="Y7" i="11"/>
  <c r="E172" i="1" s="1"/>
  <c r="Y8" i="11"/>
  <c r="F172" i="1" s="1"/>
  <c r="Y9" i="11"/>
  <c r="G172" i="1" s="1"/>
  <c r="Y10" i="11"/>
  <c r="H172" i="1" s="1"/>
  <c r="Y11" i="11"/>
  <c r="I172" i="1" s="1"/>
  <c r="Y12" i="11"/>
  <c r="J172" i="1" s="1"/>
  <c r="Y13" i="11"/>
  <c r="K172" i="1" s="1"/>
  <c r="Y14" i="11"/>
  <c r="L172" i="1" s="1"/>
  <c r="Y15" i="11"/>
  <c r="M172" i="1" s="1"/>
  <c r="Y16" i="11"/>
  <c r="N172" i="1" s="1"/>
  <c r="Y17" i="11"/>
  <c r="O172" i="1" s="1"/>
  <c r="Y18" i="11"/>
  <c r="P172" i="1" s="1"/>
  <c r="Y19" i="11"/>
  <c r="Q172" i="1" s="1"/>
  <c r="Z7" i="11"/>
  <c r="E173" i="1" s="1"/>
  <c r="Z8" i="11"/>
  <c r="F173" i="1" s="1"/>
  <c r="Z9" i="11"/>
  <c r="G173" i="1" s="1"/>
  <c r="Z10" i="11"/>
  <c r="H173" i="1" s="1"/>
  <c r="Z11" i="11"/>
  <c r="I173" i="1" s="1"/>
  <c r="Z12" i="11"/>
  <c r="J173" i="1" s="1"/>
  <c r="Z13" i="11"/>
  <c r="K173" i="1" s="1"/>
  <c r="Z14" i="11"/>
  <c r="L173" i="1" s="1"/>
  <c r="Z15" i="11"/>
  <c r="M173" i="1" s="1"/>
  <c r="Z16" i="11"/>
  <c r="N173" i="1" s="1"/>
  <c r="Z17" i="11"/>
  <c r="O173" i="1" s="1"/>
  <c r="Z18" i="11"/>
  <c r="P173" i="1" s="1"/>
  <c r="Z19" i="11"/>
  <c r="Q173" i="1" s="1"/>
  <c r="AA7" i="11"/>
  <c r="E174" i="1" s="1"/>
  <c r="AA8" i="11"/>
  <c r="F174" i="1" s="1"/>
  <c r="AA9" i="11"/>
  <c r="G174" i="1" s="1"/>
  <c r="AA10" i="11"/>
  <c r="H174" i="1" s="1"/>
  <c r="AA11" i="11"/>
  <c r="I174" i="1" s="1"/>
  <c r="AA12" i="11"/>
  <c r="J174" i="1" s="1"/>
  <c r="AA13" i="11"/>
  <c r="K174" i="1" s="1"/>
  <c r="AA14" i="11"/>
  <c r="L174" i="1" s="1"/>
  <c r="AA15" i="11"/>
  <c r="M174" i="1" s="1"/>
  <c r="AA16" i="11"/>
  <c r="N174" i="1" s="1"/>
  <c r="AA17" i="11"/>
  <c r="O174" i="1" s="1"/>
  <c r="AA18" i="11"/>
  <c r="P174" i="1" s="1"/>
  <c r="AA19" i="11"/>
  <c r="Q174" i="1" s="1"/>
  <c r="AB7" i="11"/>
  <c r="E175" i="1" s="1"/>
  <c r="AB8" i="11"/>
  <c r="F175" i="1" s="1"/>
  <c r="AB9" i="11"/>
  <c r="G175" i="1" s="1"/>
  <c r="AB10" i="11"/>
  <c r="H175" i="1" s="1"/>
  <c r="AB11" i="11"/>
  <c r="I175" i="1" s="1"/>
  <c r="AB12" i="11"/>
  <c r="J175" i="1" s="1"/>
  <c r="AB13" i="11"/>
  <c r="K175" i="1" s="1"/>
  <c r="AB14" i="11"/>
  <c r="L175" i="1" s="1"/>
  <c r="AB15" i="11"/>
  <c r="M175" i="1" s="1"/>
  <c r="AB16" i="11"/>
  <c r="N175" i="1" s="1"/>
  <c r="AB17" i="11"/>
  <c r="O175" i="1" s="1"/>
  <c r="AB18" i="11"/>
  <c r="P175" i="1" s="1"/>
  <c r="AB19" i="11"/>
  <c r="Q175" i="1" s="1"/>
  <c r="AB6" i="11"/>
  <c r="D175" i="1" s="1"/>
  <c r="AA6" i="11"/>
  <c r="D174" i="1" s="1"/>
  <c r="Z6" i="11"/>
  <c r="D173" i="1" s="1"/>
  <c r="Y6" i="11"/>
  <c r="D172" i="1" s="1"/>
  <c r="X6" i="11"/>
  <c r="D171" i="1" s="1"/>
  <c r="W6" i="11"/>
  <c r="D170" i="1" s="1"/>
  <c r="E7" i="11"/>
  <c r="E8" i="11"/>
  <c r="E9" i="11"/>
  <c r="E10" i="11"/>
  <c r="E11" i="11"/>
  <c r="E12" i="11"/>
  <c r="E13" i="11"/>
  <c r="E14" i="11"/>
  <c r="E15" i="11"/>
  <c r="E16" i="11"/>
  <c r="E17" i="11"/>
  <c r="E18" i="11"/>
  <c r="E19" i="11"/>
  <c r="E20" i="11"/>
  <c r="E6" i="11"/>
  <c r="CT7" i="10"/>
  <c r="E160" i="1" s="1"/>
  <c r="CT8" i="10"/>
  <c r="F160" i="1" s="1"/>
  <c r="CT9" i="10"/>
  <c r="G160" i="1" s="1"/>
  <c r="CT10" i="10"/>
  <c r="H160" i="1" s="1"/>
  <c r="CT11" i="10"/>
  <c r="I160" i="1" s="1"/>
  <c r="CT12" i="10"/>
  <c r="J160" i="1" s="1"/>
  <c r="CT13" i="10"/>
  <c r="K160" i="1" s="1"/>
  <c r="CT14" i="10"/>
  <c r="L160" i="1" s="1"/>
  <c r="CT15" i="10"/>
  <c r="M160" i="1" s="1"/>
  <c r="CT16" i="10"/>
  <c r="N160" i="1" s="1"/>
  <c r="CT17" i="10"/>
  <c r="O160" i="1" s="1"/>
  <c r="CT18" i="10"/>
  <c r="P160" i="1" s="1"/>
  <c r="CT19" i="10"/>
  <c r="Q160" i="1" s="1"/>
  <c r="CU7" i="10"/>
  <c r="E161" i="1" s="1"/>
  <c r="CU8" i="10"/>
  <c r="F161" i="1" s="1"/>
  <c r="CU9" i="10"/>
  <c r="G161" i="1" s="1"/>
  <c r="CU10" i="10"/>
  <c r="H161" i="1" s="1"/>
  <c r="CU11" i="10"/>
  <c r="I161" i="1" s="1"/>
  <c r="CU12" i="10"/>
  <c r="J161" i="1" s="1"/>
  <c r="CU13" i="10"/>
  <c r="K161" i="1" s="1"/>
  <c r="CU14" i="10"/>
  <c r="L161" i="1" s="1"/>
  <c r="CU15" i="10"/>
  <c r="M161" i="1" s="1"/>
  <c r="CU16" i="10"/>
  <c r="N161" i="1" s="1"/>
  <c r="CU17" i="10"/>
  <c r="O161" i="1" s="1"/>
  <c r="CU18" i="10"/>
  <c r="P161" i="1" s="1"/>
  <c r="CU19" i="10"/>
  <c r="Q161" i="1" s="1"/>
  <c r="CV7" i="10"/>
  <c r="E162" i="1" s="1"/>
  <c r="CV8" i="10"/>
  <c r="F162" i="1" s="1"/>
  <c r="CV9" i="10"/>
  <c r="G162" i="1" s="1"/>
  <c r="CV10" i="10"/>
  <c r="H162" i="1" s="1"/>
  <c r="CV11" i="10"/>
  <c r="I162" i="1" s="1"/>
  <c r="CV12" i="10"/>
  <c r="J162" i="1" s="1"/>
  <c r="CV13" i="10"/>
  <c r="K162" i="1" s="1"/>
  <c r="CV14" i="10"/>
  <c r="L162" i="1" s="1"/>
  <c r="CV15" i="10"/>
  <c r="M162" i="1" s="1"/>
  <c r="CV16" i="10"/>
  <c r="N162" i="1" s="1"/>
  <c r="CV17" i="10"/>
  <c r="O162" i="1" s="1"/>
  <c r="CV18" i="10"/>
  <c r="P162" i="1" s="1"/>
  <c r="CV19" i="10"/>
  <c r="Q162" i="1" s="1"/>
  <c r="CW7" i="10"/>
  <c r="E163" i="1" s="1"/>
  <c r="CW8" i="10"/>
  <c r="F163" i="1" s="1"/>
  <c r="CW9" i="10"/>
  <c r="G163" i="1" s="1"/>
  <c r="CW10" i="10"/>
  <c r="H163" i="1" s="1"/>
  <c r="CW11" i="10"/>
  <c r="I163" i="1" s="1"/>
  <c r="CW12" i="10"/>
  <c r="J163" i="1" s="1"/>
  <c r="CW13" i="10"/>
  <c r="K163" i="1" s="1"/>
  <c r="CW14" i="10"/>
  <c r="L163" i="1" s="1"/>
  <c r="CW15" i="10"/>
  <c r="M163" i="1" s="1"/>
  <c r="CW16" i="10"/>
  <c r="N163" i="1" s="1"/>
  <c r="CW17" i="10"/>
  <c r="O163" i="1" s="1"/>
  <c r="CW18" i="10"/>
  <c r="P163" i="1" s="1"/>
  <c r="CW19" i="10"/>
  <c r="Q163" i="1" s="1"/>
  <c r="CX7" i="10"/>
  <c r="E164" i="1" s="1"/>
  <c r="CX8" i="10"/>
  <c r="F164" i="1" s="1"/>
  <c r="CX9" i="10"/>
  <c r="G164" i="1" s="1"/>
  <c r="CX10" i="10"/>
  <c r="H164" i="1" s="1"/>
  <c r="CX11" i="10"/>
  <c r="I164" i="1" s="1"/>
  <c r="CX12" i="10"/>
  <c r="J164" i="1" s="1"/>
  <c r="CX13" i="10"/>
  <c r="K164" i="1" s="1"/>
  <c r="CX14" i="10"/>
  <c r="L164" i="1" s="1"/>
  <c r="CX15" i="10"/>
  <c r="M164" i="1" s="1"/>
  <c r="CX16" i="10"/>
  <c r="N164" i="1" s="1"/>
  <c r="CX17" i="10"/>
  <c r="O164" i="1" s="1"/>
  <c r="CX18" i="10"/>
  <c r="P164" i="1" s="1"/>
  <c r="CX19" i="10"/>
  <c r="Q164" i="1" s="1"/>
  <c r="CY7" i="10"/>
  <c r="E165" i="1" s="1"/>
  <c r="CY8" i="10"/>
  <c r="F165" i="1" s="1"/>
  <c r="CY9" i="10"/>
  <c r="G165" i="1" s="1"/>
  <c r="CY10" i="10"/>
  <c r="H165" i="1" s="1"/>
  <c r="CY11" i="10"/>
  <c r="I165" i="1" s="1"/>
  <c r="CY12" i="10"/>
  <c r="J165" i="1" s="1"/>
  <c r="CY13" i="10"/>
  <c r="K165" i="1" s="1"/>
  <c r="CY14" i="10"/>
  <c r="L165" i="1" s="1"/>
  <c r="CY15" i="10"/>
  <c r="M165" i="1" s="1"/>
  <c r="CY16" i="10"/>
  <c r="N165" i="1" s="1"/>
  <c r="CY17" i="10"/>
  <c r="O165" i="1" s="1"/>
  <c r="CY18" i="10"/>
  <c r="P165" i="1" s="1"/>
  <c r="CY19" i="10"/>
  <c r="Q165" i="1" s="1"/>
  <c r="CY6" i="10"/>
  <c r="D165" i="1" s="1"/>
  <c r="CX6" i="10"/>
  <c r="D164" i="1" s="1"/>
  <c r="CW6" i="10"/>
  <c r="D163" i="1" s="1"/>
  <c r="CV6" i="10"/>
  <c r="D162" i="1" s="1"/>
  <c r="CU6" i="10"/>
  <c r="D161" i="1" s="1"/>
  <c r="CT6" i="10"/>
  <c r="D160" i="1" s="1"/>
  <c r="BY6" i="10"/>
  <c r="BD20" i="10"/>
  <c r="CZ18" i="10" l="1"/>
  <c r="CZ12" i="10"/>
  <c r="CZ17" i="10"/>
  <c r="CZ11" i="10"/>
  <c r="CZ16" i="10"/>
  <c r="CZ10" i="10"/>
  <c r="CZ15" i="10"/>
  <c r="CZ9" i="10"/>
  <c r="CZ6" i="10"/>
  <c r="CZ14" i="10"/>
  <c r="CZ8" i="10"/>
  <c r="CZ19" i="10"/>
  <c r="CZ13" i="10"/>
  <c r="CZ7" i="10"/>
  <c r="BG9" i="11"/>
  <c r="G184" i="1"/>
  <c r="BG12" i="11"/>
  <c r="J185" i="1"/>
  <c r="BG7" i="11"/>
  <c r="BG8" i="11"/>
  <c r="F184" i="1"/>
  <c r="BG19" i="11"/>
  <c r="Q185" i="1"/>
  <c r="BG13" i="11"/>
  <c r="K185" i="1"/>
  <c r="BG17" i="11"/>
  <c r="O185" i="1"/>
  <c r="BG16" i="11"/>
  <c r="N185" i="1"/>
  <c r="BG15" i="11"/>
  <c r="M185" i="1"/>
  <c r="BG14" i="11"/>
  <c r="L185" i="1"/>
  <c r="BG10" i="11"/>
  <c r="H184" i="1"/>
  <c r="BG18" i="11"/>
  <c r="BG11" i="11"/>
  <c r="BG6" i="11"/>
  <c r="AC18" i="11"/>
  <c r="AC12" i="11"/>
  <c r="AC6" i="11"/>
  <c r="AC16" i="11"/>
  <c r="AC10" i="11"/>
  <c r="AC14" i="11"/>
  <c r="AC8" i="11"/>
  <c r="AC17" i="11"/>
  <c r="AC11" i="11"/>
  <c r="AC15" i="11"/>
  <c r="AC9" i="11"/>
  <c r="AC19" i="11"/>
  <c r="AC13" i="11"/>
  <c r="AC7" i="11"/>
  <c r="BJ20" i="10"/>
  <c r="BJ8" i="10"/>
  <c r="BJ9" i="10"/>
  <c r="BJ10" i="10"/>
  <c r="BJ11" i="10"/>
  <c r="BJ12" i="10"/>
  <c r="BJ13" i="10"/>
  <c r="BJ14" i="10"/>
  <c r="BJ15" i="10"/>
  <c r="BJ16" i="10"/>
  <c r="BJ17" i="10"/>
  <c r="BJ18" i="10"/>
  <c r="BJ19" i="10"/>
  <c r="BJ7" i="10"/>
  <c r="BJ6" i="10"/>
  <c r="BD6" i="10"/>
  <c r="BD7" i="10"/>
  <c r="AS7" i="10"/>
  <c r="E150" i="1" s="1"/>
  <c r="AS8" i="10"/>
  <c r="F150" i="1" s="1"/>
  <c r="AS9" i="10"/>
  <c r="G150" i="1" s="1"/>
  <c r="AS10" i="10"/>
  <c r="H150" i="1" s="1"/>
  <c r="AS11" i="10"/>
  <c r="I150" i="1" s="1"/>
  <c r="AS12" i="10"/>
  <c r="J150" i="1" s="1"/>
  <c r="AS13" i="10"/>
  <c r="K150" i="1" s="1"/>
  <c r="AS14" i="10"/>
  <c r="L150" i="1" s="1"/>
  <c r="AS15" i="10"/>
  <c r="M150" i="1" s="1"/>
  <c r="AS16" i="10"/>
  <c r="N150" i="1" s="1"/>
  <c r="AS17" i="10"/>
  <c r="O150" i="1" s="1"/>
  <c r="AS18" i="10"/>
  <c r="P150" i="1" s="1"/>
  <c r="AS19" i="10"/>
  <c r="Q150" i="1" s="1"/>
  <c r="AT7" i="10"/>
  <c r="E151" i="1" s="1"/>
  <c r="AT8" i="10"/>
  <c r="F151" i="1" s="1"/>
  <c r="AT9" i="10"/>
  <c r="G151" i="1" s="1"/>
  <c r="AT10" i="10"/>
  <c r="H151" i="1" s="1"/>
  <c r="AT11" i="10"/>
  <c r="I151" i="1" s="1"/>
  <c r="AT12" i="10"/>
  <c r="J151" i="1" s="1"/>
  <c r="AT13" i="10"/>
  <c r="K151" i="1" s="1"/>
  <c r="AT14" i="10"/>
  <c r="L151" i="1" s="1"/>
  <c r="AT15" i="10"/>
  <c r="M151" i="1" s="1"/>
  <c r="AT16" i="10"/>
  <c r="N151" i="1" s="1"/>
  <c r="AT17" i="10"/>
  <c r="O151" i="1" s="1"/>
  <c r="AT18" i="10"/>
  <c r="P151" i="1" s="1"/>
  <c r="AT19" i="10"/>
  <c r="Q151" i="1" s="1"/>
  <c r="AU7" i="10"/>
  <c r="E152" i="1" s="1"/>
  <c r="AU8" i="10"/>
  <c r="F152" i="1" s="1"/>
  <c r="AU9" i="10"/>
  <c r="G152" i="1" s="1"/>
  <c r="AU10" i="10"/>
  <c r="H152" i="1" s="1"/>
  <c r="AU11" i="10"/>
  <c r="I152" i="1" s="1"/>
  <c r="AU12" i="10"/>
  <c r="J152" i="1" s="1"/>
  <c r="AU13" i="10"/>
  <c r="K152" i="1" s="1"/>
  <c r="AU14" i="10"/>
  <c r="L152" i="1" s="1"/>
  <c r="AU15" i="10"/>
  <c r="M152" i="1" s="1"/>
  <c r="AU16" i="10"/>
  <c r="N152" i="1" s="1"/>
  <c r="AU17" i="10"/>
  <c r="O152" i="1" s="1"/>
  <c r="AU18" i="10"/>
  <c r="P152" i="1" s="1"/>
  <c r="AU19" i="10"/>
  <c r="Q152" i="1" s="1"/>
  <c r="AV7" i="10"/>
  <c r="E153" i="1" s="1"/>
  <c r="AV8" i="10"/>
  <c r="F153" i="1" s="1"/>
  <c r="AV9" i="10"/>
  <c r="G153" i="1" s="1"/>
  <c r="AV10" i="10"/>
  <c r="H153" i="1" s="1"/>
  <c r="AV11" i="10"/>
  <c r="I153" i="1" s="1"/>
  <c r="AV12" i="10"/>
  <c r="J153" i="1" s="1"/>
  <c r="AV13" i="10"/>
  <c r="K153" i="1" s="1"/>
  <c r="AV14" i="10"/>
  <c r="L153" i="1" s="1"/>
  <c r="AV15" i="10"/>
  <c r="M153" i="1" s="1"/>
  <c r="AV16" i="10"/>
  <c r="N153" i="1" s="1"/>
  <c r="AV17" i="10"/>
  <c r="O153" i="1" s="1"/>
  <c r="AV18" i="10"/>
  <c r="P153" i="1" s="1"/>
  <c r="AV19" i="10"/>
  <c r="Q153" i="1" s="1"/>
  <c r="AW7" i="10"/>
  <c r="E154" i="1" s="1"/>
  <c r="AW8" i="10"/>
  <c r="F154" i="1" s="1"/>
  <c r="AW9" i="10"/>
  <c r="G154" i="1" s="1"/>
  <c r="AW10" i="10"/>
  <c r="H154" i="1" s="1"/>
  <c r="AW11" i="10"/>
  <c r="I154" i="1" s="1"/>
  <c r="AW12" i="10"/>
  <c r="J154" i="1" s="1"/>
  <c r="AW13" i="10"/>
  <c r="K154" i="1" s="1"/>
  <c r="AW14" i="10"/>
  <c r="L154" i="1" s="1"/>
  <c r="AW15" i="10"/>
  <c r="M154" i="1" s="1"/>
  <c r="AW16" i="10"/>
  <c r="N154" i="1" s="1"/>
  <c r="AW17" i="10"/>
  <c r="O154" i="1" s="1"/>
  <c r="AW18" i="10"/>
  <c r="P154" i="1" s="1"/>
  <c r="AW19" i="10"/>
  <c r="Q154" i="1" s="1"/>
  <c r="AX7" i="10"/>
  <c r="AX8" i="10"/>
  <c r="F155" i="1" s="1"/>
  <c r="AX9" i="10"/>
  <c r="G155" i="1" s="1"/>
  <c r="AX10" i="10"/>
  <c r="H155" i="1" s="1"/>
  <c r="AX11" i="10"/>
  <c r="I155" i="1" s="1"/>
  <c r="AX12" i="10"/>
  <c r="J155" i="1" s="1"/>
  <c r="AX13" i="10"/>
  <c r="AX14" i="10"/>
  <c r="L155" i="1" s="1"/>
  <c r="AX15" i="10"/>
  <c r="M155" i="1" s="1"/>
  <c r="AX16" i="10"/>
  <c r="N155" i="1" s="1"/>
  <c r="AX17" i="10"/>
  <c r="O155" i="1" s="1"/>
  <c r="AX18" i="10"/>
  <c r="P155" i="1" s="1"/>
  <c r="AX19" i="10"/>
  <c r="AX6" i="10"/>
  <c r="D155" i="1" s="1"/>
  <c r="AW6" i="10"/>
  <c r="D154" i="1" s="1"/>
  <c r="AV6" i="10"/>
  <c r="D153" i="1" s="1"/>
  <c r="AU6" i="10"/>
  <c r="D152" i="1" s="1"/>
  <c r="AT6" i="10"/>
  <c r="D151" i="1" s="1"/>
  <c r="AS6" i="10"/>
  <c r="D150" i="1" s="1"/>
  <c r="X6" i="10"/>
  <c r="J8" i="10"/>
  <c r="J9" i="10"/>
  <c r="J10" i="10"/>
  <c r="J11" i="10"/>
  <c r="J12" i="10"/>
  <c r="J13" i="10"/>
  <c r="J14" i="10"/>
  <c r="J15" i="10"/>
  <c r="J16" i="10"/>
  <c r="J17" i="10"/>
  <c r="J18" i="10"/>
  <c r="J19" i="10"/>
  <c r="J20" i="10"/>
  <c r="J7" i="10"/>
  <c r="J6" i="10"/>
  <c r="AY19" i="10" l="1"/>
  <c r="Q155" i="1"/>
  <c r="AY13" i="10"/>
  <c r="K155" i="1"/>
  <c r="AY7" i="10"/>
  <c r="E155" i="1"/>
  <c r="AY15" i="10"/>
  <c r="AY9" i="10"/>
  <c r="AY10" i="10"/>
  <c r="AY16" i="10"/>
  <c r="AY17" i="10"/>
  <c r="AY11" i="10"/>
  <c r="AY6" i="10"/>
  <c r="AY14" i="10"/>
  <c r="AY8" i="10"/>
  <c r="AY18" i="10"/>
  <c r="AY12" i="10"/>
  <c r="BA7" i="8"/>
  <c r="E140" i="1" s="1"/>
  <c r="BA8" i="8"/>
  <c r="F140" i="1" s="1"/>
  <c r="BA9" i="8"/>
  <c r="G140" i="1" s="1"/>
  <c r="BA10" i="8"/>
  <c r="H140" i="1" s="1"/>
  <c r="BA11" i="8"/>
  <c r="I140" i="1" s="1"/>
  <c r="BA12" i="8"/>
  <c r="J140" i="1" s="1"/>
  <c r="BA13" i="8"/>
  <c r="K140" i="1" s="1"/>
  <c r="BA14" i="8"/>
  <c r="L140" i="1" s="1"/>
  <c r="BA15" i="8"/>
  <c r="M140" i="1" s="1"/>
  <c r="BA16" i="8"/>
  <c r="N140" i="1" s="1"/>
  <c r="BA17" i="8"/>
  <c r="O140" i="1" s="1"/>
  <c r="BA18" i="8"/>
  <c r="P140" i="1" s="1"/>
  <c r="BA19" i="8"/>
  <c r="Q140" i="1" s="1"/>
  <c r="BB7" i="8"/>
  <c r="E141" i="1" s="1"/>
  <c r="BB8" i="8"/>
  <c r="F141" i="1" s="1"/>
  <c r="BB9" i="8"/>
  <c r="G141" i="1" s="1"/>
  <c r="BB10" i="8"/>
  <c r="H141" i="1" s="1"/>
  <c r="BB11" i="8"/>
  <c r="I141" i="1" s="1"/>
  <c r="BB12" i="8"/>
  <c r="J141" i="1" s="1"/>
  <c r="BB13" i="8"/>
  <c r="K141" i="1" s="1"/>
  <c r="BB14" i="8"/>
  <c r="L141" i="1" s="1"/>
  <c r="BB15" i="8"/>
  <c r="M141" i="1" s="1"/>
  <c r="BB16" i="8"/>
  <c r="N141" i="1" s="1"/>
  <c r="BB17" i="8"/>
  <c r="O141" i="1" s="1"/>
  <c r="BB18" i="8"/>
  <c r="P141" i="1" s="1"/>
  <c r="BB19" i="8"/>
  <c r="Q141" i="1" s="1"/>
  <c r="BC7" i="8"/>
  <c r="E142" i="1" s="1"/>
  <c r="BC8" i="8"/>
  <c r="F142" i="1" s="1"/>
  <c r="BC9" i="8"/>
  <c r="G142" i="1" s="1"/>
  <c r="BC10" i="8"/>
  <c r="H142" i="1" s="1"/>
  <c r="BC11" i="8"/>
  <c r="I142" i="1" s="1"/>
  <c r="BC12" i="8"/>
  <c r="J142" i="1" s="1"/>
  <c r="BC13" i="8"/>
  <c r="K142" i="1" s="1"/>
  <c r="BC14" i="8"/>
  <c r="L142" i="1" s="1"/>
  <c r="BC15" i="8"/>
  <c r="M142" i="1" s="1"/>
  <c r="BC16" i="8"/>
  <c r="N142" i="1" s="1"/>
  <c r="BC17" i="8"/>
  <c r="O142" i="1" s="1"/>
  <c r="BC18" i="8"/>
  <c r="P142" i="1" s="1"/>
  <c r="BC19" i="8"/>
  <c r="Q142" i="1" s="1"/>
  <c r="BD7" i="8"/>
  <c r="E143" i="1" s="1"/>
  <c r="BD8" i="8"/>
  <c r="F143" i="1" s="1"/>
  <c r="BD9" i="8"/>
  <c r="G143" i="1" s="1"/>
  <c r="BD10" i="8"/>
  <c r="H143" i="1" s="1"/>
  <c r="BD11" i="8"/>
  <c r="I143" i="1" s="1"/>
  <c r="BD12" i="8"/>
  <c r="J143" i="1" s="1"/>
  <c r="BD13" i="8"/>
  <c r="K143" i="1" s="1"/>
  <c r="BD14" i="8"/>
  <c r="L143" i="1" s="1"/>
  <c r="BD15" i="8"/>
  <c r="M143" i="1" s="1"/>
  <c r="BD16" i="8"/>
  <c r="N143" i="1" s="1"/>
  <c r="BD17" i="8"/>
  <c r="O143" i="1" s="1"/>
  <c r="BD18" i="8"/>
  <c r="P143" i="1" s="1"/>
  <c r="BD19" i="8"/>
  <c r="Q143" i="1" s="1"/>
  <c r="BE7" i="8"/>
  <c r="E144" i="1" s="1"/>
  <c r="BE8" i="8"/>
  <c r="F144" i="1" s="1"/>
  <c r="BE9" i="8"/>
  <c r="G144" i="1" s="1"/>
  <c r="BE10" i="8"/>
  <c r="H144" i="1" s="1"/>
  <c r="BE11" i="8"/>
  <c r="I144" i="1" s="1"/>
  <c r="BE12" i="8"/>
  <c r="J144" i="1" s="1"/>
  <c r="BE13" i="8"/>
  <c r="K144" i="1" s="1"/>
  <c r="BE14" i="8"/>
  <c r="L144" i="1" s="1"/>
  <c r="BE15" i="8"/>
  <c r="M144" i="1" s="1"/>
  <c r="BE16" i="8"/>
  <c r="N144" i="1" s="1"/>
  <c r="BE17" i="8"/>
  <c r="O144" i="1" s="1"/>
  <c r="BE18" i="8"/>
  <c r="P144" i="1" s="1"/>
  <c r="BE19" i="8"/>
  <c r="Q144" i="1" s="1"/>
  <c r="BF7" i="8"/>
  <c r="E145" i="1" s="1"/>
  <c r="BF8" i="8"/>
  <c r="F145" i="1" s="1"/>
  <c r="BF9" i="8"/>
  <c r="G145" i="1" s="1"/>
  <c r="BF10" i="8"/>
  <c r="H145" i="1" s="1"/>
  <c r="BF11" i="8"/>
  <c r="I145" i="1" s="1"/>
  <c r="BF12" i="8"/>
  <c r="J145" i="1" s="1"/>
  <c r="BF13" i="8"/>
  <c r="K145" i="1" s="1"/>
  <c r="BF14" i="8"/>
  <c r="L145" i="1" s="1"/>
  <c r="BF15" i="8"/>
  <c r="M145" i="1" s="1"/>
  <c r="BF16" i="8"/>
  <c r="N145" i="1" s="1"/>
  <c r="BF17" i="8"/>
  <c r="O145" i="1" s="1"/>
  <c r="BF18" i="8"/>
  <c r="P145" i="1" s="1"/>
  <c r="BF19" i="8"/>
  <c r="Q145" i="1" s="1"/>
  <c r="BA6" i="8"/>
  <c r="D140" i="1" s="1"/>
  <c r="BF6" i="8"/>
  <c r="D145" i="1" s="1"/>
  <c r="BE6" i="8"/>
  <c r="D144" i="1" s="1"/>
  <c r="BD6" i="8"/>
  <c r="D143" i="1" s="1"/>
  <c r="BC6" i="8"/>
  <c r="D142" i="1" s="1"/>
  <c r="BB6" i="8"/>
  <c r="D141" i="1" s="1"/>
  <c r="BG6" i="8" l="1"/>
  <c r="BG9" i="8"/>
  <c r="BG13" i="8"/>
  <c r="BG17" i="8"/>
  <c r="BG19" i="8"/>
  <c r="BG18" i="8"/>
  <c r="BG16" i="8"/>
  <c r="BG15" i="8"/>
  <c r="BG14" i="8"/>
  <c r="BG12" i="8"/>
  <c r="BG11" i="8"/>
  <c r="BG10" i="8"/>
  <c r="BG8" i="8"/>
  <c r="BG7" i="8"/>
  <c r="AI20" i="8"/>
  <c r="AI10" i="8"/>
  <c r="AI11" i="8"/>
  <c r="AI12" i="8"/>
  <c r="AI13" i="8"/>
  <c r="AI14" i="8"/>
  <c r="AI15" i="8"/>
  <c r="AI16" i="8"/>
  <c r="AI17" i="8"/>
  <c r="AI18" i="8"/>
  <c r="AI19" i="8"/>
  <c r="AI7" i="8"/>
  <c r="AI6" i="8"/>
  <c r="AI9" i="8"/>
  <c r="AI8" i="8"/>
  <c r="X5" i="8"/>
  <c r="E130" i="1" s="1"/>
  <c r="X6" i="8"/>
  <c r="F130" i="1" s="1"/>
  <c r="X7" i="8"/>
  <c r="G130" i="1" s="1"/>
  <c r="X8" i="8"/>
  <c r="H130" i="1" s="1"/>
  <c r="X9" i="8"/>
  <c r="I130" i="1" s="1"/>
  <c r="X10" i="8"/>
  <c r="J130" i="1" s="1"/>
  <c r="X11" i="8"/>
  <c r="K130" i="1" s="1"/>
  <c r="X12" i="8"/>
  <c r="L130" i="1" s="1"/>
  <c r="X13" i="8"/>
  <c r="M130" i="1" s="1"/>
  <c r="X14" i="8"/>
  <c r="N130" i="1" s="1"/>
  <c r="X15" i="8"/>
  <c r="O130" i="1" s="1"/>
  <c r="X16" i="8"/>
  <c r="P130" i="1" s="1"/>
  <c r="X17" i="8"/>
  <c r="Q130" i="1" s="1"/>
  <c r="Y5" i="8"/>
  <c r="E131" i="1" s="1"/>
  <c r="Y6" i="8"/>
  <c r="F131" i="1" s="1"/>
  <c r="Y7" i="8"/>
  <c r="G131" i="1" s="1"/>
  <c r="Y8" i="8"/>
  <c r="H131" i="1" s="1"/>
  <c r="Y9" i="8"/>
  <c r="I131" i="1" s="1"/>
  <c r="Y10" i="8"/>
  <c r="J131" i="1" s="1"/>
  <c r="Y11" i="8"/>
  <c r="K131" i="1" s="1"/>
  <c r="Y12" i="8"/>
  <c r="L131" i="1" s="1"/>
  <c r="Y13" i="8"/>
  <c r="M131" i="1" s="1"/>
  <c r="Y14" i="8"/>
  <c r="N131" i="1" s="1"/>
  <c r="Y15" i="8"/>
  <c r="O131" i="1" s="1"/>
  <c r="Y16" i="8"/>
  <c r="P131" i="1" s="1"/>
  <c r="Y17" i="8"/>
  <c r="Q131" i="1" s="1"/>
  <c r="Z5" i="8"/>
  <c r="E132" i="1" s="1"/>
  <c r="Z6" i="8"/>
  <c r="F132" i="1" s="1"/>
  <c r="Z7" i="8"/>
  <c r="G132" i="1" s="1"/>
  <c r="Z8" i="8"/>
  <c r="H132" i="1" s="1"/>
  <c r="Z9" i="8"/>
  <c r="I132" i="1" s="1"/>
  <c r="Z10" i="8"/>
  <c r="J132" i="1" s="1"/>
  <c r="Z11" i="8"/>
  <c r="K132" i="1" s="1"/>
  <c r="Z12" i="8"/>
  <c r="L132" i="1" s="1"/>
  <c r="Z13" i="8"/>
  <c r="M132" i="1" s="1"/>
  <c r="Z14" i="8"/>
  <c r="N132" i="1" s="1"/>
  <c r="Z15" i="8"/>
  <c r="O132" i="1" s="1"/>
  <c r="Z16" i="8"/>
  <c r="P132" i="1" s="1"/>
  <c r="Z17" i="8"/>
  <c r="Q132" i="1" s="1"/>
  <c r="AA5" i="8"/>
  <c r="E133" i="1" s="1"/>
  <c r="AA6" i="8"/>
  <c r="F133" i="1" s="1"/>
  <c r="AA7" i="8"/>
  <c r="G133" i="1" s="1"/>
  <c r="AA8" i="8"/>
  <c r="H133" i="1" s="1"/>
  <c r="AA9" i="8"/>
  <c r="I133" i="1" s="1"/>
  <c r="AA10" i="8"/>
  <c r="J133" i="1" s="1"/>
  <c r="AA11" i="8"/>
  <c r="K133" i="1" s="1"/>
  <c r="AA12" i="8"/>
  <c r="L133" i="1" s="1"/>
  <c r="AA13" i="8"/>
  <c r="M133" i="1" s="1"/>
  <c r="AA14" i="8"/>
  <c r="N133" i="1" s="1"/>
  <c r="AA15" i="8"/>
  <c r="O133" i="1" s="1"/>
  <c r="AA16" i="8"/>
  <c r="P133" i="1" s="1"/>
  <c r="AA17" i="8"/>
  <c r="Q133" i="1" s="1"/>
  <c r="AB5" i="8"/>
  <c r="E134" i="1" s="1"/>
  <c r="AB6" i="8"/>
  <c r="F134" i="1" s="1"/>
  <c r="AB7" i="8"/>
  <c r="G134" i="1" s="1"/>
  <c r="AB8" i="8"/>
  <c r="H134" i="1" s="1"/>
  <c r="AB9" i="8"/>
  <c r="I134" i="1" s="1"/>
  <c r="AB10" i="8"/>
  <c r="J134" i="1" s="1"/>
  <c r="AB11" i="8"/>
  <c r="K134" i="1" s="1"/>
  <c r="AB12" i="8"/>
  <c r="L134" i="1" s="1"/>
  <c r="AB13" i="8"/>
  <c r="AB14" i="8"/>
  <c r="N134" i="1" s="1"/>
  <c r="AB15" i="8"/>
  <c r="O134" i="1" s="1"/>
  <c r="AB16" i="8"/>
  <c r="P134" i="1" s="1"/>
  <c r="AB17" i="8"/>
  <c r="Q134" i="1" s="1"/>
  <c r="AC5" i="8"/>
  <c r="E135" i="1" s="1"/>
  <c r="AC6" i="8"/>
  <c r="F135" i="1" s="1"/>
  <c r="AC7" i="8"/>
  <c r="G135" i="1" s="1"/>
  <c r="AC8" i="8"/>
  <c r="AC9" i="8"/>
  <c r="I135" i="1" s="1"/>
  <c r="AC10" i="8"/>
  <c r="J135" i="1" s="1"/>
  <c r="AC11" i="8"/>
  <c r="K135" i="1" s="1"/>
  <c r="AC12" i="8"/>
  <c r="L135" i="1" s="1"/>
  <c r="AC13" i="8"/>
  <c r="M135" i="1" s="1"/>
  <c r="AC14" i="8"/>
  <c r="N135" i="1" s="1"/>
  <c r="AC15" i="8"/>
  <c r="O135" i="1" s="1"/>
  <c r="AC16" i="8"/>
  <c r="AC17" i="8"/>
  <c r="Q135" i="1" s="1"/>
  <c r="AC4" i="8"/>
  <c r="D135" i="1" s="1"/>
  <c r="AB4" i="8"/>
  <c r="D134" i="1" s="1"/>
  <c r="AA4" i="8"/>
  <c r="D133" i="1" s="1"/>
  <c r="Z4" i="8"/>
  <c r="D132" i="1" s="1"/>
  <c r="Y4" i="8"/>
  <c r="D131" i="1" s="1"/>
  <c r="X4" i="8"/>
  <c r="D130" i="1" s="1"/>
  <c r="F6" i="8"/>
  <c r="F9" i="8"/>
  <c r="F7" i="8"/>
  <c r="F8" i="8"/>
  <c r="F10" i="8"/>
  <c r="F11" i="8"/>
  <c r="F12" i="8"/>
  <c r="F13" i="8"/>
  <c r="F14" i="8"/>
  <c r="F15" i="8"/>
  <c r="F16" i="8"/>
  <c r="F17" i="8"/>
  <c r="F18" i="8"/>
  <c r="F19" i="8"/>
  <c r="F20" i="8"/>
  <c r="D123" i="1"/>
  <c r="CE144" i="6"/>
  <c r="Q123" i="1" s="1"/>
  <c r="CD144" i="6"/>
  <c r="P123" i="1" s="1"/>
  <c r="CC144" i="6"/>
  <c r="O123" i="1" s="1"/>
  <c r="CB144" i="6"/>
  <c r="N123" i="1" s="1"/>
  <c r="CA144" i="6"/>
  <c r="M123" i="1" s="1"/>
  <c r="BZ144" i="6"/>
  <c r="L123" i="1" s="1"/>
  <c r="BY144" i="6"/>
  <c r="K123" i="1" s="1"/>
  <c r="BX144" i="6"/>
  <c r="J123" i="1" s="1"/>
  <c r="BW144" i="6"/>
  <c r="I123" i="1" s="1"/>
  <c r="BV144" i="6"/>
  <c r="H123" i="1" s="1"/>
  <c r="G123" i="1"/>
  <c r="F123" i="1"/>
  <c r="E123" i="1"/>
  <c r="BI7" i="6"/>
  <c r="E116" i="1" s="1"/>
  <c r="BI8" i="6"/>
  <c r="F116" i="1" s="1"/>
  <c r="BI9" i="6"/>
  <c r="G116" i="1" s="1"/>
  <c r="BI10" i="6"/>
  <c r="H116" i="1" s="1"/>
  <c r="BI11" i="6"/>
  <c r="I116" i="1" s="1"/>
  <c r="BI12" i="6"/>
  <c r="J116" i="1" s="1"/>
  <c r="BI13" i="6"/>
  <c r="K116" i="1" s="1"/>
  <c r="BI14" i="6"/>
  <c r="L116" i="1" s="1"/>
  <c r="BI15" i="6"/>
  <c r="M116" i="1" s="1"/>
  <c r="BI16" i="6"/>
  <c r="N116" i="1" s="1"/>
  <c r="BI17" i="6"/>
  <c r="O116" i="1" s="1"/>
  <c r="BI18" i="6"/>
  <c r="P116" i="1" s="1"/>
  <c r="BI19" i="6"/>
  <c r="Q116" i="1" s="1"/>
  <c r="BJ7" i="6"/>
  <c r="E117" i="1" s="1"/>
  <c r="BJ8" i="6"/>
  <c r="F117" i="1" s="1"/>
  <c r="BJ9" i="6"/>
  <c r="G117" i="1" s="1"/>
  <c r="BJ10" i="6"/>
  <c r="H117" i="1" s="1"/>
  <c r="BJ11" i="6"/>
  <c r="I117" i="1" s="1"/>
  <c r="BJ12" i="6"/>
  <c r="J117" i="1" s="1"/>
  <c r="BJ13" i="6"/>
  <c r="K117" i="1" s="1"/>
  <c r="BJ14" i="6"/>
  <c r="L117" i="1" s="1"/>
  <c r="BJ15" i="6"/>
  <c r="M117" i="1" s="1"/>
  <c r="BJ16" i="6"/>
  <c r="N117" i="1" s="1"/>
  <c r="BJ17" i="6"/>
  <c r="O117" i="1" s="1"/>
  <c r="BJ18" i="6"/>
  <c r="P117" i="1" s="1"/>
  <c r="BJ19" i="6"/>
  <c r="Q117" i="1" s="1"/>
  <c r="BK7" i="6"/>
  <c r="E118" i="1" s="1"/>
  <c r="BK8" i="6"/>
  <c r="F118" i="1" s="1"/>
  <c r="BK9" i="6"/>
  <c r="G118" i="1" s="1"/>
  <c r="BK10" i="6"/>
  <c r="H118" i="1" s="1"/>
  <c r="BK11" i="6"/>
  <c r="I118" i="1" s="1"/>
  <c r="BK12" i="6"/>
  <c r="J118" i="1" s="1"/>
  <c r="BK13" i="6"/>
  <c r="K118" i="1" s="1"/>
  <c r="BK14" i="6"/>
  <c r="L118" i="1" s="1"/>
  <c r="BK15" i="6"/>
  <c r="M118" i="1" s="1"/>
  <c r="BK16" i="6"/>
  <c r="N118" i="1" s="1"/>
  <c r="BK17" i="6"/>
  <c r="O118" i="1" s="1"/>
  <c r="BK18" i="6"/>
  <c r="P118" i="1" s="1"/>
  <c r="BK19" i="6"/>
  <c r="Q118" i="1" s="1"/>
  <c r="BL7" i="6"/>
  <c r="E119" i="1" s="1"/>
  <c r="BL8" i="6"/>
  <c r="F119" i="1" s="1"/>
  <c r="BL9" i="6"/>
  <c r="G119" i="1" s="1"/>
  <c r="BL10" i="6"/>
  <c r="H119" i="1" s="1"/>
  <c r="BL11" i="6"/>
  <c r="I119" i="1" s="1"/>
  <c r="BL12" i="6"/>
  <c r="J119" i="1" s="1"/>
  <c r="BL13" i="6"/>
  <c r="K119" i="1" s="1"/>
  <c r="BL14" i="6"/>
  <c r="L119" i="1" s="1"/>
  <c r="BL15" i="6"/>
  <c r="M119" i="1" s="1"/>
  <c r="BL16" i="6"/>
  <c r="N119" i="1" s="1"/>
  <c r="BL17" i="6"/>
  <c r="O119" i="1" s="1"/>
  <c r="BL18" i="6"/>
  <c r="P119" i="1" s="1"/>
  <c r="BL19" i="6"/>
  <c r="Q119" i="1" s="1"/>
  <c r="BM7" i="6"/>
  <c r="E120" i="1" s="1"/>
  <c r="BM8" i="6"/>
  <c r="F120" i="1" s="1"/>
  <c r="BM9" i="6"/>
  <c r="G120" i="1" s="1"/>
  <c r="BM10" i="6"/>
  <c r="H120" i="1" s="1"/>
  <c r="BM11" i="6"/>
  <c r="I120" i="1" s="1"/>
  <c r="BM12" i="6"/>
  <c r="J120" i="1" s="1"/>
  <c r="BM13" i="6"/>
  <c r="K120" i="1" s="1"/>
  <c r="BM14" i="6"/>
  <c r="L120" i="1" s="1"/>
  <c r="BM15" i="6"/>
  <c r="M120" i="1" s="1"/>
  <c r="BM16" i="6"/>
  <c r="N120" i="1" s="1"/>
  <c r="BM17" i="6"/>
  <c r="O120" i="1" s="1"/>
  <c r="BM18" i="6"/>
  <c r="P120" i="1" s="1"/>
  <c r="BM19" i="6"/>
  <c r="Q120" i="1" s="1"/>
  <c r="BN7" i="6"/>
  <c r="E121" i="1" s="1"/>
  <c r="BN8" i="6"/>
  <c r="F121" i="1" s="1"/>
  <c r="BN9" i="6"/>
  <c r="G121" i="1" s="1"/>
  <c r="BN10" i="6"/>
  <c r="H121" i="1" s="1"/>
  <c r="BN11" i="6"/>
  <c r="BN12" i="6"/>
  <c r="J121" i="1" s="1"/>
  <c r="BN13" i="6"/>
  <c r="K121" i="1" s="1"/>
  <c r="BN14" i="6"/>
  <c r="L121" i="1" s="1"/>
  <c r="BN15" i="6"/>
  <c r="BN16" i="6"/>
  <c r="N121" i="1" s="1"/>
  <c r="BN17" i="6"/>
  <c r="BN18" i="6"/>
  <c r="P121" i="1" s="1"/>
  <c r="BN19" i="6"/>
  <c r="Q121" i="1" s="1"/>
  <c r="BN6" i="6"/>
  <c r="D121" i="1" s="1"/>
  <c r="BM6" i="6"/>
  <c r="BL6" i="6"/>
  <c r="D119" i="1" s="1"/>
  <c r="BJ6" i="6"/>
  <c r="D117" i="1" s="1"/>
  <c r="BI6" i="6"/>
  <c r="D116" i="1" s="1"/>
  <c r="AW20" i="6"/>
  <c r="AW9" i="6"/>
  <c r="AW10" i="6"/>
  <c r="AW11" i="6"/>
  <c r="AW12" i="6"/>
  <c r="AW13" i="6"/>
  <c r="AW14" i="6"/>
  <c r="AW15" i="6"/>
  <c r="AW16" i="6"/>
  <c r="AW17" i="6"/>
  <c r="AW18" i="6"/>
  <c r="AW19" i="6"/>
  <c r="AW7" i="6"/>
  <c r="AW6" i="6"/>
  <c r="F109" i="1"/>
  <c r="G109" i="1"/>
  <c r="H109" i="1"/>
  <c r="I109" i="1"/>
  <c r="J109" i="1"/>
  <c r="K109" i="1"/>
  <c r="L109" i="1"/>
  <c r="M109" i="1"/>
  <c r="N109" i="1"/>
  <c r="O109" i="1"/>
  <c r="P109" i="1"/>
  <c r="E109" i="1"/>
  <c r="D109" i="1"/>
  <c r="U5" i="6"/>
  <c r="E107" i="1" s="1"/>
  <c r="U6" i="6"/>
  <c r="F107" i="1" s="1"/>
  <c r="U7" i="6"/>
  <c r="G107" i="1" s="1"/>
  <c r="U8" i="6"/>
  <c r="H107" i="1" s="1"/>
  <c r="U9" i="6"/>
  <c r="I107" i="1" s="1"/>
  <c r="J107" i="1"/>
  <c r="U11" i="6"/>
  <c r="K107" i="1" s="1"/>
  <c r="U12" i="6"/>
  <c r="L107" i="1" s="1"/>
  <c r="U13" i="6"/>
  <c r="M107" i="1" s="1"/>
  <c r="U14" i="6"/>
  <c r="N107" i="1" s="1"/>
  <c r="U15" i="6"/>
  <c r="O107" i="1" s="1"/>
  <c r="U16" i="6"/>
  <c r="P107" i="1" s="1"/>
  <c r="U17" i="6"/>
  <c r="Q107" i="1" s="1"/>
  <c r="T5" i="6"/>
  <c r="E106" i="1" s="1"/>
  <c r="T6" i="6"/>
  <c r="F106" i="1" s="1"/>
  <c r="T7" i="6"/>
  <c r="G106" i="1" s="1"/>
  <c r="T8" i="6"/>
  <c r="H106" i="1" s="1"/>
  <c r="T9" i="6"/>
  <c r="I106" i="1" s="1"/>
  <c r="T10" i="6"/>
  <c r="K106" i="1"/>
  <c r="T12" i="6"/>
  <c r="L106" i="1" s="1"/>
  <c r="T13" i="6"/>
  <c r="M106" i="1" s="1"/>
  <c r="T14" i="6"/>
  <c r="N106" i="1" s="1"/>
  <c r="T15" i="6"/>
  <c r="O106" i="1" s="1"/>
  <c r="T16" i="6"/>
  <c r="P106" i="1" s="1"/>
  <c r="T17" i="6"/>
  <c r="Q106" i="1" s="1"/>
  <c r="S5" i="6"/>
  <c r="E105" i="1" s="1"/>
  <c r="S6" i="6"/>
  <c r="F105" i="1" s="1"/>
  <c r="S7" i="6"/>
  <c r="G105" i="1" s="1"/>
  <c r="S8" i="6"/>
  <c r="H105" i="1" s="1"/>
  <c r="S9" i="6"/>
  <c r="I105" i="1" s="1"/>
  <c r="S10" i="6"/>
  <c r="J105" i="1" s="1"/>
  <c r="S11" i="6"/>
  <c r="K105" i="1" s="1"/>
  <c r="L105" i="1"/>
  <c r="S13" i="6"/>
  <c r="M105" i="1" s="1"/>
  <c r="S14" i="6"/>
  <c r="N105" i="1" s="1"/>
  <c r="S15" i="6"/>
  <c r="O105" i="1" s="1"/>
  <c r="S16" i="6"/>
  <c r="P105" i="1" s="1"/>
  <c r="S17" i="6"/>
  <c r="Q105" i="1" s="1"/>
  <c r="R5" i="6"/>
  <c r="E104" i="1" s="1"/>
  <c r="F104" i="1"/>
  <c r="R7" i="6"/>
  <c r="G104" i="1" s="1"/>
  <c r="R8" i="6"/>
  <c r="H104" i="1" s="1"/>
  <c r="R9" i="6"/>
  <c r="I104" i="1" s="1"/>
  <c r="R10" i="6"/>
  <c r="J104" i="1" s="1"/>
  <c r="R11" i="6"/>
  <c r="K104" i="1" s="1"/>
  <c r="R12" i="6"/>
  <c r="L104" i="1" s="1"/>
  <c r="R13" i="6"/>
  <c r="M104" i="1" s="1"/>
  <c r="R14" i="6"/>
  <c r="N104" i="1" s="1"/>
  <c r="R15" i="6"/>
  <c r="O104" i="1" s="1"/>
  <c r="R16" i="6"/>
  <c r="P104" i="1" s="1"/>
  <c r="R17" i="6"/>
  <c r="Q104" i="1" s="1"/>
  <c r="Q5" i="6"/>
  <c r="E103" i="1" s="1"/>
  <c r="Q6" i="6"/>
  <c r="F103" i="1" s="1"/>
  <c r="Q7" i="6"/>
  <c r="G103" i="1" s="1"/>
  <c r="Q8" i="6"/>
  <c r="H103" i="1" s="1"/>
  <c r="I103" i="1"/>
  <c r="Q10" i="6"/>
  <c r="J103" i="1" s="1"/>
  <c r="Q11" i="6"/>
  <c r="K103" i="1" s="1"/>
  <c r="Q12" i="6"/>
  <c r="L103" i="1" s="1"/>
  <c r="Q13" i="6"/>
  <c r="M103" i="1" s="1"/>
  <c r="Q14" i="6"/>
  <c r="N103" i="1" s="1"/>
  <c r="Q15" i="6"/>
  <c r="O103" i="1" s="1"/>
  <c r="Q16" i="6"/>
  <c r="P103" i="1" s="1"/>
  <c r="Q17" i="6"/>
  <c r="Q103" i="1" s="1"/>
  <c r="P5" i="6"/>
  <c r="E102" i="1" s="1"/>
  <c r="P6" i="6"/>
  <c r="F102" i="1" s="1"/>
  <c r="P7" i="6"/>
  <c r="G102" i="1" s="1"/>
  <c r="P8" i="6"/>
  <c r="H102" i="1" s="1"/>
  <c r="P9" i="6"/>
  <c r="I102" i="1" s="1"/>
  <c r="P10" i="6"/>
  <c r="J102" i="1" s="1"/>
  <c r="P11" i="6"/>
  <c r="K102" i="1" s="1"/>
  <c r="P12" i="6"/>
  <c r="L102" i="1" s="1"/>
  <c r="P13" i="6"/>
  <c r="M102" i="1" s="1"/>
  <c r="P14" i="6"/>
  <c r="N102" i="1" s="1"/>
  <c r="P15" i="6"/>
  <c r="O102" i="1" s="1"/>
  <c r="P16" i="6"/>
  <c r="P102" i="1" s="1"/>
  <c r="P17" i="6"/>
  <c r="Q102" i="1" s="1"/>
  <c r="U4" i="6"/>
  <c r="D107" i="1" s="1"/>
  <c r="T4" i="6"/>
  <c r="D106" i="1" s="1"/>
  <c r="S4" i="6"/>
  <c r="D105" i="1" s="1"/>
  <c r="R4" i="6"/>
  <c r="D104" i="1" s="1"/>
  <c r="Q4" i="6"/>
  <c r="D103" i="1" s="1"/>
  <c r="P4" i="6"/>
  <c r="D102" i="1" s="1"/>
  <c r="E9" i="6"/>
  <c r="E10" i="6"/>
  <c r="E11" i="6"/>
  <c r="E12" i="6"/>
  <c r="E13" i="6"/>
  <c r="E14" i="6"/>
  <c r="E15" i="6"/>
  <c r="E16" i="6"/>
  <c r="E17" i="6"/>
  <c r="E18" i="6"/>
  <c r="E19" i="6"/>
  <c r="E20" i="6"/>
  <c r="J106" i="1" l="1"/>
  <c r="V10" i="6"/>
  <c r="AD10" i="8"/>
  <c r="AD8" i="8"/>
  <c r="H135" i="1"/>
  <c r="AD16" i="8"/>
  <c r="P135" i="1"/>
  <c r="AD13" i="8"/>
  <c r="M134" i="1"/>
  <c r="BO17" i="6"/>
  <c r="O121" i="1"/>
  <c r="BO11" i="6"/>
  <c r="I121" i="1"/>
  <c r="BO6" i="6"/>
  <c r="D120" i="1"/>
  <c r="BO15" i="6"/>
  <c r="M121" i="1"/>
  <c r="N125" i="1"/>
  <c r="AR7" i="6"/>
  <c r="AR8" i="6" s="1"/>
  <c r="N111" i="1" s="1"/>
  <c r="AD7" i="8"/>
  <c r="AD4" i="8"/>
  <c r="AD5" i="8"/>
  <c r="AD6" i="8"/>
  <c r="BO18" i="6"/>
  <c r="AD12" i="8"/>
  <c r="AD15" i="8"/>
  <c r="AD9" i="8"/>
  <c r="AD17" i="8"/>
  <c r="AD11" i="8"/>
  <c r="AD14" i="8"/>
  <c r="BO19" i="6"/>
  <c r="BO14" i="6"/>
  <c r="BO8" i="6"/>
  <c r="BO12" i="6"/>
  <c r="BO9" i="6"/>
  <c r="BO13" i="6"/>
  <c r="BO7" i="6"/>
  <c r="BO16" i="6"/>
  <c r="BO10" i="6"/>
  <c r="V11" i="6"/>
  <c r="V12" i="6"/>
  <c r="V6" i="6"/>
  <c r="V15" i="6"/>
  <c r="V9" i="6"/>
  <c r="V16" i="6"/>
  <c r="V8" i="6"/>
  <c r="V4" i="6"/>
  <c r="V17" i="6"/>
  <c r="V5" i="6"/>
  <c r="V14" i="6"/>
  <c r="V13" i="6"/>
  <c r="V7" i="6"/>
  <c r="AF18" i="5"/>
  <c r="AF6" i="5"/>
  <c r="AF7" i="5"/>
  <c r="F88" i="1" s="1"/>
  <c r="AF8" i="5"/>
  <c r="AF9" i="5"/>
  <c r="AF10" i="5"/>
  <c r="AF11" i="5"/>
  <c r="AF12" i="5"/>
  <c r="AF13" i="5"/>
  <c r="AF14" i="5"/>
  <c r="AF15" i="5"/>
  <c r="AF16" i="5"/>
  <c r="AF5" i="5"/>
  <c r="AE6" i="5"/>
  <c r="AE7" i="5"/>
  <c r="F87" i="1" s="1"/>
  <c r="AE8" i="5"/>
  <c r="AE9" i="5"/>
  <c r="AE10" i="5"/>
  <c r="AE11" i="5"/>
  <c r="AE12" i="5"/>
  <c r="AE14" i="5"/>
  <c r="AE15" i="5"/>
  <c r="AE16" i="5"/>
  <c r="AE17" i="5"/>
  <c r="AE18" i="5"/>
  <c r="AE5" i="5"/>
  <c r="AD5" i="5"/>
  <c r="AC5" i="5"/>
  <c r="AD6" i="5"/>
  <c r="AD7" i="5"/>
  <c r="F86" i="1" s="1"/>
  <c r="AD8" i="5"/>
  <c r="AD9" i="5"/>
  <c r="AD10" i="5"/>
  <c r="AD11" i="5"/>
  <c r="AD12" i="5"/>
  <c r="AD13" i="5"/>
  <c r="AD14" i="5"/>
  <c r="AD15" i="5"/>
  <c r="AD16" i="5"/>
  <c r="AD17" i="5"/>
  <c r="AD18" i="5"/>
  <c r="AB6" i="5"/>
  <c r="AC6" i="5"/>
  <c r="AC7" i="5"/>
  <c r="F85" i="1" s="1"/>
  <c r="AC8" i="5"/>
  <c r="AC9" i="5"/>
  <c r="AC10" i="5"/>
  <c r="AC11" i="5"/>
  <c r="AC12" i="5"/>
  <c r="AC13" i="5"/>
  <c r="AC14" i="5"/>
  <c r="AC15" i="5"/>
  <c r="AC16" i="5"/>
  <c r="AC17" i="5"/>
  <c r="AC18" i="5"/>
  <c r="AB7" i="5"/>
  <c r="F84" i="1" s="1"/>
  <c r="AB8" i="5"/>
  <c r="AB9" i="5"/>
  <c r="AB10" i="5"/>
  <c r="AB11" i="5"/>
  <c r="AB12" i="5"/>
  <c r="AB13" i="5"/>
  <c r="AB14" i="5"/>
  <c r="AB15" i="5"/>
  <c r="AB16" i="5"/>
  <c r="AB17" i="5"/>
  <c r="AB18" i="5"/>
  <c r="AB5" i="5"/>
  <c r="AA5" i="5"/>
  <c r="AA6" i="5"/>
  <c r="AA7" i="5"/>
  <c r="AA8" i="5"/>
  <c r="AA9" i="5"/>
  <c r="AA10" i="5"/>
  <c r="AA11" i="5"/>
  <c r="AA12" i="5"/>
  <c r="AA14" i="5"/>
  <c r="AA15" i="5"/>
  <c r="AA16" i="5"/>
  <c r="AA17" i="5"/>
  <c r="AA18" i="5"/>
  <c r="D73" i="1"/>
  <c r="H68" i="1"/>
  <c r="AI432" i="4"/>
  <c r="E68" i="1" s="1"/>
  <c r="P68" i="1"/>
  <c r="O68" i="1"/>
  <c r="N68" i="1"/>
  <c r="M68" i="1"/>
  <c r="L68" i="1"/>
  <c r="K68" i="1"/>
  <c r="J68" i="1"/>
  <c r="I68" i="1"/>
  <c r="AK432" i="4"/>
  <c r="G68" i="1" s="1"/>
  <c r="AJ432" i="4"/>
  <c r="F68" i="1" s="1"/>
  <c r="AH434" i="4"/>
  <c r="AH435" i="4"/>
  <c r="AH436" i="4"/>
  <c r="AH437" i="4"/>
  <c r="AH438" i="4"/>
  <c r="AH439" i="4"/>
  <c r="AH440" i="4"/>
  <c r="AH441" i="4"/>
  <c r="AH442" i="4"/>
  <c r="AH443" i="4"/>
  <c r="AH444" i="4"/>
  <c r="AH445" i="4"/>
  <c r="AH446" i="4"/>
  <c r="AH447" i="4"/>
  <c r="AH448" i="4"/>
  <c r="AH449" i="4"/>
  <c r="AH450" i="4"/>
  <c r="AH451" i="4"/>
  <c r="AH452" i="4"/>
  <c r="AH453" i="4"/>
  <c r="AH454" i="4"/>
  <c r="AH455" i="4"/>
  <c r="AH456" i="4"/>
  <c r="AH457" i="4"/>
  <c r="AH458" i="4"/>
  <c r="AH459" i="4"/>
  <c r="AH460" i="4"/>
  <c r="AH461" i="4"/>
  <c r="AH462" i="4"/>
  <c r="AH463" i="4"/>
  <c r="AH464" i="4"/>
  <c r="AH465" i="4"/>
  <c r="AH466" i="4"/>
  <c r="AH467" i="4"/>
  <c r="AH468" i="4"/>
  <c r="AH469" i="4"/>
  <c r="AH470" i="4"/>
  <c r="AH471" i="4"/>
  <c r="AH472" i="4"/>
  <c r="AH473" i="4"/>
  <c r="AH474" i="4"/>
  <c r="AH475" i="4"/>
  <c r="AH476" i="4"/>
  <c r="AH477" i="4"/>
  <c r="AH478" i="4"/>
  <c r="AH479" i="4"/>
  <c r="AH480" i="4"/>
  <c r="AH481" i="4"/>
  <c r="AH482" i="4"/>
  <c r="AH483" i="4"/>
  <c r="AH484" i="4"/>
  <c r="AH485" i="4"/>
  <c r="AH486" i="4"/>
  <c r="AH487" i="4"/>
  <c r="AH488" i="4"/>
  <c r="AH489" i="4"/>
  <c r="AH490" i="4"/>
  <c r="AH491" i="4"/>
  <c r="AH492" i="4"/>
  <c r="AH493" i="4"/>
  <c r="AH494" i="4"/>
  <c r="AH495" i="4"/>
  <c r="AH496" i="4"/>
  <c r="AH497" i="4"/>
  <c r="AH498" i="4"/>
  <c r="AH499" i="4"/>
  <c r="AH500" i="4"/>
  <c r="AH501" i="4"/>
  <c r="AH502" i="4"/>
  <c r="AH503" i="4"/>
  <c r="AH504" i="4"/>
  <c r="AH505" i="4"/>
  <c r="AH506" i="4"/>
  <c r="AH507" i="4"/>
  <c r="AH508" i="4"/>
  <c r="AH509" i="4"/>
  <c r="AH510" i="4"/>
  <c r="AH511" i="4"/>
  <c r="AH512" i="4"/>
  <c r="AH513" i="4"/>
  <c r="AH514" i="4"/>
  <c r="AH515" i="4"/>
  <c r="AH516" i="4"/>
  <c r="AH517" i="4"/>
  <c r="AH518" i="4"/>
  <c r="AH519" i="4"/>
  <c r="AH520" i="4"/>
  <c r="AH521" i="4"/>
  <c r="AH522" i="4"/>
  <c r="AH523" i="4"/>
  <c r="AH524" i="4"/>
  <c r="AH525" i="4"/>
  <c r="AH526" i="4"/>
  <c r="AH527" i="4"/>
  <c r="AH528" i="4"/>
  <c r="AH529" i="4"/>
  <c r="AH530" i="4"/>
  <c r="AH531" i="4"/>
  <c r="AH532" i="4"/>
  <c r="AH533" i="4"/>
  <c r="AH534" i="4"/>
  <c r="AH535" i="4"/>
  <c r="AH536" i="4"/>
  <c r="AH537" i="4"/>
  <c r="AH538" i="4"/>
  <c r="AH539" i="4"/>
  <c r="AH540" i="4"/>
  <c r="AH541" i="4"/>
  <c r="AH542" i="4"/>
  <c r="AH543" i="4"/>
  <c r="AH544" i="4"/>
  <c r="AH545" i="4"/>
  <c r="AH546" i="4"/>
  <c r="AH547" i="4"/>
  <c r="AH548" i="4"/>
  <c r="AH549" i="4"/>
  <c r="AH550" i="4"/>
  <c r="AH551" i="4"/>
  <c r="AH552" i="4"/>
  <c r="AH553" i="4"/>
  <c r="AH554" i="4"/>
  <c r="AH555" i="4"/>
  <c r="AH556" i="4"/>
  <c r="AH557" i="4"/>
  <c r="AH558" i="4"/>
  <c r="AH559" i="4"/>
  <c r="AH560" i="4"/>
  <c r="AH561" i="4"/>
  <c r="AH562" i="4"/>
  <c r="AH563" i="4"/>
  <c r="AH564" i="4"/>
  <c r="AH565" i="4"/>
  <c r="AH566" i="4"/>
  <c r="AH433" i="4"/>
  <c r="E64" i="1"/>
  <c r="AH421" i="4"/>
  <c r="AH293" i="4"/>
  <c r="AH294" i="4"/>
  <c r="AH295" i="4"/>
  <c r="AH296" i="4"/>
  <c r="AH297" i="4"/>
  <c r="AH298" i="4"/>
  <c r="AH299" i="4"/>
  <c r="AH300" i="4"/>
  <c r="AH301" i="4"/>
  <c r="AH302" i="4"/>
  <c r="AH303" i="4"/>
  <c r="AH304" i="4"/>
  <c r="AH305" i="4"/>
  <c r="AH306" i="4"/>
  <c r="AH307" i="4"/>
  <c r="AH308" i="4"/>
  <c r="AH309" i="4"/>
  <c r="AH310" i="4"/>
  <c r="AH311" i="4"/>
  <c r="AH312" i="4"/>
  <c r="AH313" i="4"/>
  <c r="AH314" i="4"/>
  <c r="AH315" i="4"/>
  <c r="AH316" i="4"/>
  <c r="AH317" i="4"/>
  <c r="AH318" i="4"/>
  <c r="AH319" i="4"/>
  <c r="AH320" i="4"/>
  <c r="AH321" i="4"/>
  <c r="AH322" i="4"/>
  <c r="AH323" i="4"/>
  <c r="AH324" i="4"/>
  <c r="AH325" i="4"/>
  <c r="AH326" i="4"/>
  <c r="AH327" i="4"/>
  <c r="AH328" i="4"/>
  <c r="AH329" i="4"/>
  <c r="AH330" i="4"/>
  <c r="AH331" i="4"/>
  <c r="AH332" i="4"/>
  <c r="AH333" i="4"/>
  <c r="AH334" i="4"/>
  <c r="AH335" i="4"/>
  <c r="AH336" i="4"/>
  <c r="AH337" i="4"/>
  <c r="AH338" i="4"/>
  <c r="AH339" i="4"/>
  <c r="AH340" i="4"/>
  <c r="AH341" i="4"/>
  <c r="AH342" i="4"/>
  <c r="AH343" i="4"/>
  <c r="AH344" i="4"/>
  <c r="AH345" i="4"/>
  <c r="AH346" i="4"/>
  <c r="AH347" i="4"/>
  <c r="AH348" i="4"/>
  <c r="AH349" i="4"/>
  <c r="AH350" i="4"/>
  <c r="AH351" i="4"/>
  <c r="AH352" i="4"/>
  <c r="AH353" i="4"/>
  <c r="AH355" i="4"/>
  <c r="AH356" i="4"/>
  <c r="AH357" i="4"/>
  <c r="AH358" i="4"/>
  <c r="AH359" i="4"/>
  <c r="AH360" i="4"/>
  <c r="AH361" i="4"/>
  <c r="AH362" i="4"/>
  <c r="AH363" i="4"/>
  <c r="AH364" i="4"/>
  <c r="AH365" i="4"/>
  <c r="AH366" i="4"/>
  <c r="AH367" i="4"/>
  <c r="AH368" i="4"/>
  <c r="AH369" i="4"/>
  <c r="AH370" i="4"/>
  <c r="AH371" i="4"/>
  <c r="AH372" i="4"/>
  <c r="AH373" i="4"/>
  <c r="AH374" i="4"/>
  <c r="AH375" i="4"/>
  <c r="AH376" i="4"/>
  <c r="AH377" i="4"/>
  <c r="AH378" i="4"/>
  <c r="AH379" i="4"/>
  <c r="AH380" i="4"/>
  <c r="AH381" i="4"/>
  <c r="AH382" i="4"/>
  <c r="AH383" i="4"/>
  <c r="AH384" i="4"/>
  <c r="AH385" i="4"/>
  <c r="AH386" i="4"/>
  <c r="AH387" i="4"/>
  <c r="AH388" i="4"/>
  <c r="AH389" i="4"/>
  <c r="AH390" i="4"/>
  <c r="AH391" i="4"/>
  <c r="AH392" i="4"/>
  <c r="AH393" i="4"/>
  <c r="AH394" i="4"/>
  <c r="AH395" i="4"/>
  <c r="AH396" i="4"/>
  <c r="AH397" i="4"/>
  <c r="AH398" i="4"/>
  <c r="AH399" i="4"/>
  <c r="AH400" i="4"/>
  <c r="AH401" i="4"/>
  <c r="AH402" i="4"/>
  <c r="AH403" i="4"/>
  <c r="AH404" i="4"/>
  <c r="AH405" i="4"/>
  <c r="AH406" i="4"/>
  <c r="AH407" i="4"/>
  <c r="AH408" i="4"/>
  <c r="AH409" i="4"/>
  <c r="AH413" i="4"/>
  <c r="AH414" i="4"/>
  <c r="AH415" i="4"/>
  <c r="AH416" i="4"/>
  <c r="AH417" i="4"/>
  <c r="AH418" i="4"/>
  <c r="AH419" i="4"/>
  <c r="AH420" i="4"/>
  <c r="AH422" i="4"/>
  <c r="AH423" i="4"/>
  <c r="AH424" i="4"/>
  <c r="AH425" i="4"/>
  <c r="P64" i="1"/>
  <c r="O64" i="1"/>
  <c r="N64" i="1"/>
  <c r="M64" i="1"/>
  <c r="L64" i="1"/>
  <c r="K64" i="1"/>
  <c r="J64" i="1"/>
  <c r="G64" i="1"/>
  <c r="O66" i="1"/>
  <c r="P66" i="1"/>
  <c r="N66" i="1"/>
  <c r="M66" i="1"/>
  <c r="L66" i="1"/>
  <c r="K66" i="1"/>
  <c r="J66" i="1"/>
  <c r="I66" i="1"/>
  <c r="H66" i="1"/>
  <c r="AK291" i="4"/>
  <c r="G66" i="1" s="1"/>
  <c r="AJ291" i="4"/>
  <c r="F66" i="1" s="1"/>
  <c r="AI291" i="4"/>
  <c r="E66" i="1" s="1"/>
  <c r="AB5" i="4"/>
  <c r="E61" i="1" s="1"/>
  <c r="AB6" i="4"/>
  <c r="AB7" i="4"/>
  <c r="AB8" i="4"/>
  <c r="H61" i="1" s="1"/>
  <c r="AB9" i="4"/>
  <c r="I61" i="1" s="1"/>
  <c r="AB10" i="4"/>
  <c r="J61" i="1" s="1"/>
  <c r="AB11" i="4"/>
  <c r="AB12" i="4"/>
  <c r="L61" i="1" s="1"/>
  <c r="AB13" i="4"/>
  <c r="M61" i="1" s="1"/>
  <c r="AB14" i="4"/>
  <c r="N61" i="1" s="1"/>
  <c r="AB15" i="4"/>
  <c r="O61" i="1" s="1"/>
  <c r="AB16" i="4"/>
  <c r="P61" i="1" s="1"/>
  <c r="AB17" i="4"/>
  <c r="Q61" i="1" s="1"/>
  <c r="AC5" i="4"/>
  <c r="AC6" i="4"/>
  <c r="F62" i="1" s="1"/>
  <c r="AC7" i="4"/>
  <c r="G62" i="1" s="1"/>
  <c r="AC8" i="4"/>
  <c r="H62" i="1" s="1"/>
  <c r="AC9" i="4"/>
  <c r="AC10" i="4"/>
  <c r="J62" i="1" s="1"/>
  <c r="AC11" i="4"/>
  <c r="K62" i="1" s="1"/>
  <c r="AC12" i="4"/>
  <c r="AC13" i="4"/>
  <c r="AC14" i="4"/>
  <c r="N62" i="1" s="1"/>
  <c r="AC15" i="4"/>
  <c r="O62" i="1" s="1"/>
  <c r="AC16" i="4"/>
  <c r="P62" i="1" s="1"/>
  <c r="AC17" i="4"/>
  <c r="AC4" i="4"/>
  <c r="AB4" i="4"/>
  <c r="D61" i="1" s="1"/>
  <c r="AA5" i="4"/>
  <c r="E60" i="1" s="1"/>
  <c r="AA6" i="4"/>
  <c r="F60" i="1" s="1"/>
  <c r="AA7" i="4"/>
  <c r="G60" i="1" s="1"/>
  <c r="AA8" i="4"/>
  <c r="H60" i="1" s="1"/>
  <c r="AA9" i="4"/>
  <c r="I60" i="1" s="1"/>
  <c r="AA10" i="4"/>
  <c r="J60" i="1" s="1"/>
  <c r="AA11" i="4"/>
  <c r="K60" i="1" s="1"/>
  <c r="AA12" i="4"/>
  <c r="L60" i="1" s="1"/>
  <c r="AA13" i="4"/>
  <c r="M60" i="1" s="1"/>
  <c r="AA14" i="4"/>
  <c r="N60" i="1" s="1"/>
  <c r="AA15" i="4"/>
  <c r="O60" i="1" s="1"/>
  <c r="AA16" i="4"/>
  <c r="P60" i="1" s="1"/>
  <c r="AA17" i="4"/>
  <c r="Q60" i="1" s="1"/>
  <c r="AA4" i="4"/>
  <c r="D60" i="1" s="1"/>
  <c r="X11" i="4"/>
  <c r="K57" i="1" s="1"/>
  <c r="Y15" i="4"/>
  <c r="O58" i="1" s="1"/>
  <c r="Y17" i="4"/>
  <c r="Q58" i="1" s="1"/>
  <c r="Y14" i="4"/>
  <c r="N58" i="1" s="1"/>
  <c r="Y5" i="4"/>
  <c r="E58" i="1" s="1"/>
  <c r="Y4" i="4"/>
  <c r="D58" i="1" s="1"/>
  <c r="Y6" i="4"/>
  <c r="F58" i="1" s="1"/>
  <c r="Y7" i="4"/>
  <c r="G58" i="1" s="1"/>
  <c r="Y8" i="4"/>
  <c r="H58" i="1" s="1"/>
  <c r="Y9" i="4"/>
  <c r="I58" i="1" s="1"/>
  <c r="Y10" i="4"/>
  <c r="J58" i="1" s="1"/>
  <c r="Y11" i="4"/>
  <c r="K58" i="1" s="1"/>
  <c r="Y12" i="4"/>
  <c r="L58" i="1" s="1"/>
  <c r="Y13" i="4"/>
  <c r="M58" i="1" s="1"/>
  <c r="Y16" i="4"/>
  <c r="P58" i="1" s="1"/>
  <c r="Z5" i="4"/>
  <c r="E59" i="1" s="1"/>
  <c r="Z6" i="4"/>
  <c r="F59" i="1" s="1"/>
  <c r="Z7" i="4"/>
  <c r="G59" i="1" s="1"/>
  <c r="Z8" i="4"/>
  <c r="H59" i="1" s="1"/>
  <c r="Z9" i="4"/>
  <c r="I59" i="1" s="1"/>
  <c r="Z10" i="4"/>
  <c r="J59" i="1" s="1"/>
  <c r="Z11" i="4"/>
  <c r="K59" i="1" s="1"/>
  <c r="Z12" i="4"/>
  <c r="L59" i="1" s="1"/>
  <c r="Z13" i="4"/>
  <c r="M59" i="1" s="1"/>
  <c r="Z14" i="4"/>
  <c r="N59" i="1" s="1"/>
  <c r="Z15" i="4"/>
  <c r="O59" i="1" s="1"/>
  <c r="Z16" i="4"/>
  <c r="P59" i="1" s="1"/>
  <c r="Z17" i="4"/>
  <c r="Q59" i="1" s="1"/>
  <c r="Z4" i="4"/>
  <c r="D59" i="1" s="1"/>
  <c r="X5" i="4"/>
  <c r="E57" i="1" s="1"/>
  <c r="X6" i="4"/>
  <c r="F57" i="1" s="1"/>
  <c r="X7" i="4"/>
  <c r="G57" i="1" s="1"/>
  <c r="X8" i="4"/>
  <c r="H57" i="1" s="1"/>
  <c r="X9" i="4"/>
  <c r="I57" i="1" s="1"/>
  <c r="X10" i="4"/>
  <c r="J57" i="1" s="1"/>
  <c r="X12" i="4"/>
  <c r="L57" i="1" s="1"/>
  <c r="X13" i="4"/>
  <c r="M57" i="1" s="1"/>
  <c r="X14" i="4"/>
  <c r="N57" i="1" s="1"/>
  <c r="X15" i="4"/>
  <c r="O57" i="1" s="1"/>
  <c r="X16" i="4"/>
  <c r="P57" i="1" s="1"/>
  <c r="X17" i="4"/>
  <c r="Q57" i="1" s="1"/>
  <c r="X4" i="4"/>
  <c r="D57" i="1" s="1"/>
  <c r="F20" i="4"/>
  <c r="F7" i="4"/>
  <c r="F8" i="4"/>
  <c r="F9" i="4"/>
  <c r="F10" i="4"/>
  <c r="F11" i="4"/>
  <c r="F12" i="4"/>
  <c r="F13" i="4"/>
  <c r="F14" i="4"/>
  <c r="F15" i="4"/>
  <c r="F16" i="4"/>
  <c r="F17" i="4"/>
  <c r="F18" i="4"/>
  <c r="F19" i="4"/>
  <c r="F6" i="4"/>
  <c r="AW40" i="12"/>
  <c r="E51" i="1" s="1"/>
  <c r="AW41" i="12"/>
  <c r="F51" i="1" s="1"/>
  <c r="AW42" i="12"/>
  <c r="G51" i="1" s="1"/>
  <c r="AW43" i="12"/>
  <c r="H51" i="1" s="1"/>
  <c r="AW44" i="12"/>
  <c r="I51" i="1" s="1"/>
  <c r="AW45" i="12"/>
  <c r="J51" i="1" s="1"/>
  <c r="AW46" i="12"/>
  <c r="K51" i="1" s="1"/>
  <c r="AW47" i="12"/>
  <c r="L51" i="1" s="1"/>
  <c r="AW48" i="12"/>
  <c r="M51" i="1" s="1"/>
  <c r="AW49" i="12"/>
  <c r="N51" i="1" s="1"/>
  <c r="AW50" i="12"/>
  <c r="O51" i="1" s="1"/>
  <c r="AW51" i="12"/>
  <c r="P51" i="1" s="1"/>
  <c r="AW52" i="12"/>
  <c r="Q51" i="1" s="1"/>
  <c r="AW39" i="12"/>
  <c r="D51" i="1" s="1"/>
  <c r="AV40" i="12"/>
  <c r="AV41" i="12"/>
  <c r="AV42" i="12"/>
  <c r="AV43" i="12"/>
  <c r="AV44" i="12"/>
  <c r="AV45" i="12"/>
  <c r="J50" i="1" s="1"/>
  <c r="AV46" i="12"/>
  <c r="AV47" i="12"/>
  <c r="AV48" i="12"/>
  <c r="AV49" i="12"/>
  <c r="AV50" i="12"/>
  <c r="AV51" i="12"/>
  <c r="P50" i="1" s="1"/>
  <c r="AV52" i="12"/>
  <c r="AV39" i="12"/>
  <c r="AU40" i="12"/>
  <c r="E49" i="1" s="1"/>
  <c r="AU41" i="12"/>
  <c r="F49" i="1" s="1"/>
  <c r="AU42" i="12"/>
  <c r="G49" i="1" s="1"/>
  <c r="AU43" i="12"/>
  <c r="H49" i="1" s="1"/>
  <c r="AU44" i="12"/>
  <c r="I49" i="1" s="1"/>
  <c r="AU45" i="12"/>
  <c r="J49" i="1" s="1"/>
  <c r="AU46" i="12"/>
  <c r="K49" i="1" s="1"/>
  <c r="AU47" i="12"/>
  <c r="L49" i="1" s="1"/>
  <c r="AU48" i="12"/>
  <c r="M49" i="1" s="1"/>
  <c r="AU49" i="12"/>
  <c r="N49" i="1" s="1"/>
  <c r="AU50" i="12"/>
  <c r="O49" i="1" s="1"/>
  <c r="AU51" i="12"/>
  <c r="P49" i="1" s="1"/>
  <c r="AU52" i="12"/>
  <c r="Q49" i="1" s="1"/>
  <c r="AU39" i="12"/>
  <c r="D49" i="1" s="1"/>
  <c r="AT40" i="12"/>
  <c r="E48" i="1" s="1"/>
  <c r="AT41" i="12"/>
  <c r="F48" i="1" s="1"/>
  <c r="AT42" i="12"/>
  <c r="G48" i="1" s="1"/>
  <c r="AT43" i="12"/>
  <c r="H48" i="1" s="1"/>
  <c r="AT44" i="12"/>
  <c r="I48" i="1" s="1"/>
  <c r="AT45" i="12"/>
  <c r="J48" i="1" s="1"/>
  <c r="AT46" i="12"/>
  <c r="K48" i="1" s="1"/>
  <c r="AT47" i="12"/>
  <c r="L48" i="1" s="1"/>
  <c r="AT48" i="12"/>
  <c r="M48" i="1" s="1"/>
  <c r="AT49" i="12"/>
  <c r="N48" i="1" s="1"/>
  <c r="AT50" i="12"/>
  <c r="O48" i="1" s="1"/>
  <c r="AT51" i="12"/>
  <c r="P48" i="1" s="1"/>
  <c r="AT52" i="12"/>
  <c r="Q48" i="1" s="1"/>
  <c r="AT39" i="12"/>
  <c r="D48" i="1" s="1"/>
  <c r="AS40" i="12"/>
  <c r="E47" i="1" s="1"/>
  <c r="AS41" i="12"/>
  <c r="F47" i="1" s="1"/>
  <c r="AS42" i="12"/>
  <c r="G47" i="1" s="1"/>
  <c r="AS43" i="12"/>
  <c r="H47" i="1" s="1"/>
  <c r="AS44" i="12"/>
  <c r="I47" i="1" s="1"/>
  <c r="AS45" i="12"/>
  <c r="J47" i="1" s="1"/>
  <c r="AS46" i="12"/>
  <c r="K47" i="1" s="1"/>
  <c r="AS47" i="12"/>
  <c r="L47" i="1" s="1"/>
  <c r="AS48" i="12"/>
  <c r="M47" i="1" s="1"/>
  <c r="AS49" i="12"/>
  <c r="N47" i="1" s="1"/>
  <c r="AS50" i="12"/>
  <c r="O47" i="1" s="1"/>
  <c r="AS51" i="12"/>
  <c r="P47" i="1" s="1"/>
  <c r="AS52" i="12"/>
  <c r="Q47" i="1" s="1"/>
  <c r="AS39" i="12"/>
  <c r="D47" i="1" s="1"/>
  <c r="AR40" i="12"/>
  <c r="E46" i="1" s="1"/>
  <c r="AR41" i="12"/>
  <c r="F46" i="1" s="1"/>
  <c r="AR42" i="12"/>
  <c r="G46" i="1" s="1"/>
  <c r="AR43" i="12"/>
  <c r="H46" i="1" s="1"/>
  <c r="AR44" i="12"/>
  <c r="I46" i="1" s="1"/>
  <c r="AR45" i="12"/>
  <c r="J46" i="1" s="1"/>
  <c r="AR46" i="12"/>
  <c r="K46" i="1" s="1"/>
  <c r="AR47" i="12"/>
  <c r="L46" i="1" s="1"/>
  <c r="AR48" i="12"/>
  <c r="M46" i="1" s="1"/>
  <c r="AR49" i="12"/>
  <c r="N46" i="1" s="1"/>
  <c r="AR50" i="12"/>
  <c r="O46" i="1" s="1"/>
  <c r="AR51" i="12"/>
  <c r="P46" i="1" s="1"/>
  <c r="AR52" i="12"/>
  <c r="Q46" i="1" s="1"/>
  <c r="AR39" i="12"/>
  <c r="D46" i="1" s="1"/>
  <c r="AV24" i="12"/>
  <c r="E38" i="1" s="1"/>
  <c r="AV25" i="12"/>
  <c r="F38" i="1" s="1"/>
  <c r="AV26" i="12"/>
  <c r="G38" i="1" s="1"/>
  <c r="AV27" i="12"/>
  <c r="H38" i="1" s="1"/>
  <c r="AV28" i="12"/>
  <c r="I38" i="1" s="1"/>
  <c r="AV29" i="12"/>
  <c r="J38" i="1" s="1"/>
  <c r="AV30" i="12"/>
  <c r="K38" i="1" s="1"/>
  <c r="AV31" i="12"/>
  <c r="L38" i="1" s="1"/>
  <c r="AV32" i="12"/>
  <c r="M38" i="1" s="1"/>
  <c r="AV33" i="12"/>
  <c r="N38" i="1" s="1"/>
  <c r="AV34" i="12"/>
  <c r="O38" i="1" s="1"/>
  <c r="AV35" i="12"/>
  <c r="P38" i="1" s="1"/>
  <c r="AV36" i="12"/>
  <c r="Q38" i="1" s="1"/>
  <c r="AW23" i="12"/>
  <c r="D39" i="1" s="1"/>
  <c r="AV23" i="12"/>
  <c r="D38" i="1" s="1"/>
  <c r="AU24" i="12"/>
  <c r="E37" i="1" s="1"/>
  <c r="AU25" i="12"/>
  <c r="F37" i="1" s="1"/>
  <c r="AU26" i="12"/>
  <c r="G37" i="1" s="1"/>
  <c r="AU27" i="12"/>
  <c r="H37" i="1" s="1"/>
  <c r="AU28" i="12"/>
  <c r="I37" i="1" s="1"/>
  <c r="AU29" i="12"/>
  <c r="J37" i="1" s="1"/>
  <c r="AU30" i="12"/>
  <c r="K37" i="1" s="1"/>
  <c r="AU31" i="12"/>
  <c r="L37" i="1" s="1"/>
  <c r="AU32" i="12"/>
  <c r="M37" i="1" s="1"/>
  <c r="AU33" i="12"/>
  <c r="N37" i="1" s="1"/>
  <c r="AU34" i="12"/>
  <c r="O37" i="1" s="1"/>
  <c r="AU35" i="12"/>
  <c r="P37" i="1" s="1"/>
  <c r="AU36" i="12"/>
  <c r="Q37" i="1" s="1"/>
  <c r="AU23" i="12"/>
  <c r="D37" i="1" s="1"/>
  <c r="AT24" i="12"/>
  <c r="E36" i="1" s="1"/>
  <c r="AT25" i="12"/>
  <c r="F36" i="1" s="1"/>
  <c r="AT26" i="12"/>
  <c r="G36" i="1" s="1"/>
  <c r="AT27" i="12"/>
  <c r="H36" i="1" s="1"/>
  <c r="AT28" i="12"/>
  <c r="I36" i="1" s="1"/>
  <c r="AT29" i="12"/>
  <c r="J36" i="1" s="1"/>
  <c r="AT30" i="12"/>
  <c r="K36" i="1" s="1"/>
  <c r="AT31" i="12"/>
  <c r="L36" i="1" s="1"/>
  <c r="AT32" i="12"/>
  <c r="M36" i="1" s="1"/>
  <c r="AT33" i="12"/>
  <c r="N36" i="1" s="1"/>
  <c r="AT34" i="12"/>
  <c r="O36" i="1" s="1"/>
  <c r="AT35" i="12"/>
  <c r="P36" i="1" s="1"/>
  <c r="AT36" i="12"/>
  <c r="Q36" i="1" s="1"/>
  <c r="AT23" i="12"/>
  <c r="D36" i="1" s="1"/>
  <c r="AS24" i="12"/>
  <c r="E35" i="1" s="1"/>
  <c r="AS25" i="12"/>
  <c r="F35" i="1" s="1"/>
  <c r="AS26" i="12"/>
  <c r="G35" i="1" s="1"/>
  <c r="AS27" i="12"/>
  <c r="H35" i="1" s="1"/>
  <c r="AS28" i="12"/>
  <c r="I35" i="1" s="1"/>
  <c r="AS29" i="12"/>
  <c r="J35" i="1" s="1"/>
  <c r="AS30" i="12"/>
  <c r="K35" i="1" s="1"/>
  <c r="AS31" i="12"/>
  <c r="L35" i="1" s="1"/>
  <c r="AS32" i="12"/>
  <c r="M35" i="1" s="1"/>
  <c r="AS33" i="12"/>
  <c r="N35" i="1" s="1"/>
  <c r="AS34" i="12"/>
  <c r="O35" i="1" s="1"/>
  <c r="AS35" i="12"/>
  <c r="P35" i="1" s="1"/>
  <c r="AS36" i="12"/>
  <c r="Q35" i="1" s="1"/>
  <c r="AS23" i="12"/>
  <c r="D35" i="1" s="1"/>
  <c r="AR24" i="12"/>
  <c r="E34" i="1" s="1"/>
  <c r="AR25" i="12"/>
  <c r="F34" i="1" s="1"/>
  <c r="AR26" i="12"/>
  <c r="G34" i="1" s="1"/>
  <c r="AR27" i="12"/>
  <c r="H34" i="1" s="1"/>
  <c r="AR28" i="12"/>
  <c r="I34" i="1" s="1"/>
  <c r="AR29" i="12"/>
  <c r="J34" i="1" s="1"/>
  <c r="AR30" i="12"/>
  <c r="K34" i="1" s="1"/>
  <c r="AR31" i="12"/>
  <c r="L34" i="1" s="1"/>
  <c r="AR32" i="12"/>
  <c r="M34" i="1" s="1"/>
  <c r="AR33" i="12"/>
  <c r="N34" i="1" s="1"/>
  <c r="AR34" i="12"/>
  <c r="O34" i="1" s="1"/>
  <c r="AR35" i="12"/>
  <c r="P34" i="1" s="1"/>
  <c r="AR36" i="12"/>
  <c r="Q34" i="1" s="1"/>
  <c r="AR23" i="12"/>
  <c r="D34" i="1" s="1"/>
  <c r="AR6" i="12"/>
  <c r="D22" i="1" s="1"/>
  <c r="AW36" i="12"/>
  <c r="Q39" i="1" s="1"/>
  <c r="AW35" i="12"/>
  <c r="P39" i="1" s="1"/>
  <c r="AW34" i="12"/>
  <c r="O39" i="1" s="1"/>
  <c r="AW33" i="12"/>
  <c r="N39" i="1" s="1"/>
  <c r="AW32" i="12"/>
  <c r="M39" i="1" s="1"/>
  <c r="AW31" i="12"/>
  <c r="L39" i="1" s="1"/>
  <c r="AW30" i="12"/>
  <c r="K39" i="1" s="1"/>
  <c r="AW29" i="12"/>
  <c r="J39" i="1" s="1"/>
  <c r="AW28" i="12"/>
  <c r="I39" i="1" s="1"/>
  <c r="AW27" i="12"/>
  <c r="H39" i="1" s="1"/>
  <c r="G39" i="1"/>
  <c r="F39" i="1"/>
  <c r="E39" i="1"/>
  <c r="AW19" i="12"/>
  <c r="Q27" i="1" s="1"/>
  <c r="AW7" i="12"/>
  <c r="E27" i="1" s="1"/>
  <c r="AW8" i="12"/>
  <c r="F27" i="1" s="1"/>
  <c r="AW9" i="12"/>
  <c r="G27" i="1" s="1"/>
  <c r="AW10" i="12"/>
  <c r="H27" i="1" s="1"/>
  <c r="AW11" i="12"/>
  <c r="I27" i="1" s="1"/>
  <c r="AW12" i="12"/>
  <c r="J27" i="1" s="1"/>
  <c r="AW13" i="12"/>
  <c r="K27" i="1" s="1"/>
  <c r="AW14" i="12"/>
  <c r="L27" i="1" s="1"/>
  <c r="AW15" i="12"/>
  <c r="M27" i="1" s="1"/>
  <c r="AW16" i="12"/>
  <c r="N27" i="1" s="1"/>
  <c r="AW17" i="12"/>
  <c r="O27" i="1" s="1"/>
  <c r="AW18" i="12"/>
  <c r="P27" i="1" s="1"/>
  <c r="AV7" i="12"/>
  <c r="E26" i="1" s="1"/>
  <c r="AV8" i="12"/>
  <c r="AV9" i="12"/>
  <c r="AV10" i="12"/>
  <c r="AV11" i="12"/>
  <c r="AV12" i="12"/>
  <c r="AV13" i="12"/>
  <c r="K26" i="1" s="1"/>
  <c r="AV14" i="12"/>
  <c r="AV15" i="12"/>
  <c r="AV16" i="12"/>
  <c r="AV17" i="12"/>
  <c r="AV18" i="12"/>
  <c r="AV19" i="12"/>
  <c r="Q26" i="1" s="1"/>
  <c r="AU7" i="12"/>
  <c r="E25" i="1" s="1"/>
  <c r="AU8" i="12"/>
  <c r="F25" i="1" s="1"/>
  <c r="AU9" i="12"/>
  <c r="G25" i="1" s="1"/>
  <c r="AU10" i="12"/>
  <c r="H25" i="1" s="1"/>
  <c r="AU11" i="12"/>
  <c r="I25" i="1" s="1"/>
  <c r="AU12" i="12"/>
  <c r="J25" i="1" s="1"/>
  <c r="AU13" i="12"/>
  <c r="K25" i="1" s="1"/>
  <c r="AU14" i="12"/>
  <c r="L25" i="1" s="1"/>
  <c r="AU15" i="12"/>
  <c r="M25" i="1" s="1"/>
  <c r="AU16" i="12"/>
  <c r="N25" i="1" s="1"/>
  <c r="AU17" i="12"/>
  <c r="O25" i="1" s="1"/>
  <c r="AU18" i="12"/>
  <c r="P25" i="1" s="1"/>
  <c r="AU19" i="12"/>
  <c r="Q25" i="1" s="1"/>
  <c r="AU6" i="12"/>
  <c r="D25" i="1" s="1"/>
  <c r="AT8" i="12"/>
  <c r="F24" i="1" s="1"/>
  <c r="AT7" i="12"/>
  <c r="E24" i="1" s="1"/>
  <c r="AT9" i="12"/>
  <c r="G24" i="1" s="1"/>
  <c r="AT10" i="12"/>
  <c r="H24" i="1" s="1"/>
  <c r="AT11" i="12"/>
  <c r="I24" i="1" s="1"/>
  <c r="AT12" i="12"/>
  <c r="J24" i="1" s="1"/>
  <c r="AT13" i="12"/>
  <c r="K24" i="1" s="1"/>
  <c r="AT14" i="12"/>
  <c r="L24" i="1" s="1"/>
  <c r="AT15" i="12"/>
  <c r="M24" i="1" s="1"/>
  <c r="AT16" i="12"/>
  <c r="N24" i="1" s="1"/>
  <c r="AT17" i="12"/>
  <c r="O24" i="1" s="1"/>
  <c r="AT18" i="12"/>
  <c r="P24" i="1" s="1"/>
  <c r="AT19" i="12"/>
  <c r="Q24" i="1" s="1"/>
  <c r="AS7" i="12"/>
  <c r="E23" i="1" s="1"/>
  <c r="AS8" i="12"/>
  <c r="F23" i="1" s="1"/>
  <c r="AS9" i="12"/>
  <c r="G23" i="1" s="1"/>
  <c r="AS10" i="12"/>
  <c r="H23" i="1" s="1"/>
  <c r="AS11" i="12"/>
  <c r="I23" i="1" s="1"/>
  <c r="AS12" i="12"/>
  <c r="J23" i="1" s="1"/>
  <c r="AS13" i="12"/>
  <c r="K23" i="1" s="1"/>
  <c r="AS14" i="12"/>
  <c r="L23" i="1" s="1"/>
  <c r="AS15" i="12"/>
  <c r="M23" i="1" s="1"/>
  <c r="AS16" i="12"/>
  <c r="N23" i="1" s="1"/>
  <c r="AS17" i="12"/>
  <c r="O23" i="1" s="1"/>
  <c r="AS18" i="12"/>
  <c r="P23" i="1" s="1"/>
  <c r="AS19" i="12"/>
  <c r="Q23" i="1" s="1"/>
  <c r="AW6" i="12"/>
  <c r="D27" i="1" s="1"/>
  <c r="AV6" i="12"/>
  <c r="D26" i="1" s="1"/>
  <c r="AT6" i="12"/>
  <c r="D24" i="1" s="1"/>
  <c r="AS6" i="12"/>
  <c r="D23" i="1" s="1"/>
  <c r="AR7" i="12"/>
  <c r="E22" i="1" s="1"/>
  <c r="AR8" i="12"/>
  <c r="F22" i="1" s="1"/>
  <c r="AR9" i="12"/>
  <c r="G22" i="1" s="1"/>
  <c r="AR10" i="12"/>
  <c r="H22" i="1" s="1"/>
  <c r="AR11" i="12"/>
  <c r="I22" i="1" s="1"/>
  <c r="AR12" i="12"/>
  <c r="J22" i="1" s="1"/>
  <c r="AR13" i="12"/>
  <c r="K22" i="1" s="1"/>
  <c r="AR14" i="12"/>
  <c r="L22" i="1" s="1"/>
  <c r="AR15" i="12"/>
  <c r="M22" i="1" s="1"/>
  <c r="AR16" i="12"/>
  <c r="N22" i="1" s="1"/>
  <c r="AR17" i="12"/>
  <c r="O22" i="1" s="1"/>
  <c r="AR18" i="12"/>
  <c r="P22" i="1" s="1"/>
  <c r="AR19" i="12"/>
  <c r="Q22" i="1" s="1"/>
  <c r="AG12" i="5" l="1"/>
  <c r="M92" i="1"/>
  <c r="M83" i="1"/>
  <c r="G92" i="1"/>
  <c r="P93" i="1"/>
  <c r="P84" i="1"/>
  <c r="J93" i="1"/>
  <c r="J84" i="1"/>
  <c r="P85" i="1"/>
  <c r="P94" i="1"/>
  <c r="J85" i="1"/>
  <c r="J94" i="1"/>
  <c r="E93" i="1"/>
  <c r="L86" i="1"/>
  <c r="L95" i="1"/>
  <c r="F95" i="1"/>
  <c r="P96" i="1"/>
  <c r="P87" i="1"/>
  <c r="J87" i="1"/>
  <c r="J96" i="1"/>
  <c r="D97" i="1"/>
  <c r="K88" i="1"/>
  <c r="K97" i="1"/>
  <c r="E97" i="1"/>
  <c r="L92" i="1"/>
  <c r="F92" i="1"/>
  <c r="O93" i="1"/>
  <c r="O84" i="1"/>
  <c r="I93" i="1"/>
  <c r="I84" i="1"/>
  <c r="O94" i="1"/>
  <c r="O85" i="1"/>
  <c r="I94" i="1"/>
  <c r="I85" i="1"/>
  <c r="Q95" i="1"/>
  <c r="Q86" i="1"/>
  <c r="K86" i="1"/>
  <c r="K95" i="1"/>
  <c r="E95" i="1"/>
  <c r="O96" i="1"/>
  <c r="O87" i="1"/>
  <c r="I96" i="1"/>
  <c r="I87" i="1"/>
  <c r="P97" i="1"/>
  <c r="P88" i="1"/>
  <c r="AG11" i="5"/>
  <c r="J97" i="1"/>
  <c r="J88" i="1"/>
  <c r="Q97" i="1"/>
  <c r="Q88" i="1"/>
  <c r="Q83" i="1"/>
  <c r="Q92" i="1"/>
  <c r="K92" i="1"/>
  <c r="E92" i="1"/>
  <c r="N93" i="1"/>
  <c r="N84" i="1"/>
  <c r="H93" i="1"/>
  <c r="H84" i="1"/>
  <c r="N94" i="1"/>
  <c r="N85" i="1"/>
  <c r="H85" i="1"/>
  <c r="H94" i="1"/>
  <c r="P95" i="1"/>
  <c r="P86" i="1"/>
  <c r="J95" i="1"/>
  <c r="J86" i="1"/>
  <c r="D94" i="1"/>
  <c r="N87" i="1"/>
  <c r="N96" i="1"/>
  <c r="H96" i="1"/>
  <c r="H87" i="1"/>
  <c r="O88" i="1"/>
  <c r="O97" i="1"/>
  <c r="I97" i="1"/>
  <c r="I88" i="1"/>
  <c r="P92" i="1"/>
  <c r="P83" i="1"/>
  <c r="J92" i="1"/>
  <c r="D92" i="1"/>
  <c r="M84" i="1"/>
  <c r="M93" i="1"/>
  <c r="G93" i="1"/>
  <c r="G84" i="1"/>
  <c r="M85" i="1"/>
  <c r="M94" i="1"/>
  <c r="G85" i="1"/>
  <c r="G94" i="1"/>
  <c r="O95" i="1"/>
  <c r="O86" i="1"/>
  <c r="I95" i="1"/>
  <c r="I86" i="1"/>
  <c r="D95" i="1"/>
  <c r="M87" i="1"/>
  <c r="M96" i="1"/>
  <c r="G96" i="1"/>
  <c r="G87" i="1"/>
  <c r="AG15" i="5"/>
  <c r="N88" i="1"/>
  <c r="N97" i="1"/>
  <c r="H97" i="1"/>
  <c r="H88" i="1"/>
  <c r="O92" i="1"/>
  <c r="O83" i="1"/>
  <c r="I92" i="1"/>
  <c r="D93" i="1"/>
  <c r="L84" i="1"/>
  <c r="L93" i="1"/>
  <c r="F93" i="1"/>
  <c r="L94" i="1"/>
  <c r="L85" i="1"/>
  <c r="F94" i="1"/>
  <c r="N95" i="1"/>
  <c r="N86" i="1"/>
  <c r="H95" i="1"/>
  <c r="H86" i="1"/>
  <c r="D96" i="1"/>
  <c r="L96" i="1"/>
  <c r="L87" i="1"/>
  <c r="F96" i="1"/>
  <c r="M97" i="1"/>
  <c r="M88" i="1"/>
  <c r="G97" i="1"/>
  <c r="G88" i="1"/>
  <c r="N92" i="1"/>
  <c r="N83" i="1"/>
  <c r="H92" i="1"/>
  <c r="Q93" i="1"/>
  <c r="Q84" i="1"/>
  <c r="K93" i="1"/>
  <c r="K84" i="1"/>
  <c r="Q85" i="1"/>
  <c r="Q94" i="1"/>
  <c r="K94" i="1"/>
  <c r="K85" i="1"/>
  <c r="E94" i="1"/>
  <c r="M95" i="1"/>
  <c r="M86" i="1"/>
  <c r="G95" i="1"/>
  <c r="G86" i="1"/>
  <c r="AG18" i="5"/>
  <c r="Q96" i="1"/>
  <c r="Q87" i="1"/>
  <c r="K96" i="1"/>
  <c r="K87" i="1"/>
  <c r="AG6" i="5"/>
  <c r="E96" i="1"/>
  <c r="L97" i="1"/>
  <c r="L88" i="1"/>
  <c r="AG7" i="5"/>
  <c r="F97" i="1"/>
  <c r="AD16" i="4"/>
  <c r="AD13" i="4"/>
  <c r="M62" i="1"/>
  <c r="AD10" i="4"/>
  <c r="AD12" i="4"/>
  <c r="L62" i="1"/>
  <c r="AD7" i="4"/>
  <c r="G61" i="1"/>
  <c r="AD17" i="4"/>
  <c r="Q62" i="1"/>
  <c r="AD11" i="4"/>
  <c r="K61" i="1"/>
  <c r="AH150" i="4"/>
  <c r="D64" i="1" s="1"/>
  <c r="AH432" i="4"/>
  <c r="D68" i="1" s="1"/>
  <c r="AD5" i="4"/>
  <c r="E62" i="1"/>
  <c r="AD9" i="4"/>
  <c r="I62" i="1"/>
  <c r="AD6" i="4"/>
  <c r="F61" i="1"/>
  <c r="AD4" i="4"/>
  <c r="D62" i="1"/>
  <c r="AX49" i="12"/>
  <c r="N50" i="1"/>
  <c r="AX18" i="12"/>
  <c r="P26" i="1"/>
  <c r="AX12" i="12"/>
  <c r="J26" i="1"/>
  <c r="AX17" i="12"/>
  <c r="O26" i="1"/>
  <c r="AX11" i="12"/>
  <c r="I26" i="1"/>
  <c r="AX39" i="12"/>
  <c r="D50" i="1"/>
  <c r="AX16" i="12"/>
  <c r="N26" i="1"/>
  <c r="AX10" i="12"/>
  <c r="H26" i="1"/>
  <c r="N29" i="1"/>
  <c r="AX52" i="12"/>
  <c r="Q50" i="1"/>
  <c r="AX46" i="12"/>
  <c r="K50" i="1"/>
  <c r="AX40" i="12"/>
  <c r="E50" i="1"/>
  <c r="AX47" i="12"/>
  <c r="L50" i="1"/>
  <c r="AX9" i="12"/>
  <c r="G26" i="1"/>
  <c r="N41" i="1"/>
  <c r="AX43" i="12"/>
  <c r="H50" i="1"/>
  <c r="AX48" i="12"/>
  <c r="M50" i="1"/>
  <c r="AX42" i="12"/>
  <c r="G50" i="1"/>
  <c r="AX41" i="12"/>
  <c r="F50" i="1"/>
  <c r="AX15" i="12"/>
  <c r="M26" i="1"/>
  <c r="AX14" i="12"/>
  <c r="L26" i="1"/>
  <c r="AX8" i="12"/>
  <c r="F26" i="1"/>
  <c r="N53" i="1"/>
  <c r="AX50" i="12"/>
  <c r="O50" i="1"/>
  <c r="AX44" i="12"/>
  <c r="I50" i="1"/>
  <c r="AX7" i="12"/>
  <c r="AX23" i="12"/>
  <c r="AX13" i="12"/>
  <c r="AX51" i="12"/>
  <c r="AX45" i="12"/>
  <c r="AX32" i="12"/>
  <c r="AX26" i="12"/>
  <c r="AX31" i="12"/>
  <c r="AX25" i="12"/>
  <c r="AX36" i="12"/>
  <c r="AX30" i="12"/>
  <c r="AX24" i="12"/>
  <c r="AX6" i="12"/>
  <c r="AX35" i="12"/>
  <c r="AX29" i="12"/>
  <c r="AX19" i="12"/>
  <c r="AX34" i="12"/>
  <c r="AX28" i="12"/>
  <c r="AX33" i="12"/>
  <c r="AX27" i="12"/>
  <c r="AD14" i="4"/>
  <c r="AG14" i="5"/>
  <c r="AG10" i="5"/>
  <c r="AG17" i="5"/>
  <c r="AG13" i="5"/>
  <c r="AG9" i="5"/>
  <c r="AD8" i="4"/>
  <c r="AG5" i="5"/>
  <c r="AG16" i="5"/>
  <c r="AG8" i="5"/>
  <c r="AD15" i="4"/>
  <c r="G19" i="12" l="1"/>
  <c r="H19" i="12"/>
  <c r="I19" i="12"/>
  <c r="I8" i="12"/>
  <c r="I7" i="12"/>
  <c r="I9" i="12"/>
  <c r="I10" i="12"/>
  <c r="I11" i="12"/>
  <c r="I12" i="12"/>
  <c r="I13" i="12"/>
  <c r="I14" i="12"/>
  <c r="I15" i="12"/>
  <c r="I16" i="12"/>
  <c r="I17" i="12"/>
  <c r="I18" i="12"/>
  <c r="H12" i="12"/>
  <c r="H10" i="12"/>
  <c r="H9" i="12"/>
  <c r="H8" i="12"/>
  <c r="H7" i="12"/>
  <c r="H11" i="12"/>
  <c r="H13" i="12"/>
  <c r="H14" i="12"/>
  <c r="H15" i="12"/>
  <c r="H16" i="12"/>
  <c r="H17" i="12"/>
  <c r="H18" i="12"/>
  <c r="H6" i="12"/>
  <c r="G8" i="12"/>
  <c r="G7" i="12"/>
  <c r="G9" i="12"/>
  <c r="G10" i="12"/>
  <c r="G11" i="12"/>
  <c r="G12" i="12"/>
  <c r="G13" i="12"/>
  <c r="G14" i="12"/>
  <c r="G15" i="12"/>
  <c r="G16" i="12"/>
  <c r="G17" i="12"/>
  <c r="G18" i="12"/>
  <c r="Q17" i="3"/>
  <c r="Q11" i="1" s="1"/>
  <c r="R12" i="3"/>
  <c r="L12" i="1" s="1"/>
  <c r="S5" i="3"/>
  <c r="E13" i="1" s="1"/>
  <c r="S6" i="3"/>
  <c r="F13" i="1" s="1"/>
  <c r="S7" i="3"/>
  <c r="G13" i="1" s="1"/>
  <c r="S8" i="3"/>
  <c r="H13" i="1" s="1"/>
  <c r="S9" i="3"/>
  <c r="I13" i="1" s="1"/>
  <c r="S10" i="3"/>
  <c r="J13" i="1" s="1"/>
  <c r="S11" i="3"/>
  <c r="K13" i="1" s="1"/>
  <c r="S12" i="3"/>
  <c r="L13" i="1" s="1"/>
  <c r="S13" i="3"/>
  <c r="M13" i="1" s="1"/>
  <c r="S14" i="3"/>
  <c r="N13" i="1" s="1"/>
  <c r="S15" i="3"/>
  <c r="O13" i="1" s="1"/>
  <c r="S16" i="3"/>
  <c r="P13" i="1" s="1"/>
  <c r="S17" i="3"/>
  <c r="Q13" i="1" s="1"/>
  <c r="R5" i="3"/>
  <c r="E12" i="1" s="1"/>
  <c r="R6" i="3"/>
  <c r="F12" i="1" s="1"/>
  <c r="R7" i="3"/>
  <c r="G12" i="1" s="1"/>
  <c r="R8" i="3"/>
  <c r="H12" i="1" s="1"/>
  <c r="R9" i="3"/>
  <c r="I12" i="1" s="1"/>
  <c r="R10" i="3"/>
  <c r="J12" i="1" s="1"/>
  <c r="R11" i="3"/>
  <c r="K12" i="1" s="1"/>
  <c r="R13" i="3"/>
  <c r="M12" i="1" s="1"/>
  <c r="R14" i="3"/>
  <c r="N12" i="1" s="1"/>
  <c r="R15" i="3"/>
  <c r="O12" i="1" s="1"/>
  <c r="R16" i="3"/>
  <c r="P12" i="1" s="1"/>
  <c r="R17" i="3"/>
  <c r="Q12" i="1" s="1"/>
  <c r="Q5" i="3"/>
  <c r="E11" i="1" s="1"/>
  <c r="Q6" i="3"/>
  <c r="F11" i="1" s="1"/>
  <c r="Q7" i="3"/>
  <c r="G11" i="1" s="1"/>
  <c r="Q8" i="3"/>
  <c r="H11" i="1" s="1"/>
  <c r="Q9" i="3"/>
  <c r="I11" i="1" s="1"/>
  <c r="Q10" i="3"/>
  <c r="J11" i="1" s="1"/>
  <c r="Q11" i="3"/>
  <c r="K11" i="1" s="1"/>
  <c r="Q12" i="3"/>
  <c r="L11" i="1" s="1"/>
  <c r="Q13" i="3"/>
  <c r="M11" i="1" s="1"/>
  <c r="Q14" i="3"/>
  <c r="N11" i="1" s="1"/>
  <c r="Q15" i="3"/>
  <c r="O11" i="1" s="1"/>
  <c r="Q16" i="3"/>
  <c r="P11" i="1" s="1"/>
  <c r="S4" i="3"/>
  <c r="D13" i="1" s="1"/>
  <c r="R4" i="3"/>
  <c r="D12" i="1" s="1"/>
  <c r="Q4" i="3"/>
  <c r="D11" i="1" s="1"/>
  <c r="P4" i="3"/>
  <c r="D10" i="1" s="1"/>
  <c r="O17" i="3"/>
  <c r="O5" i="3"/>
  <c r="E9" i="1" s="1"/>
  <c r="O6" i="3"/>
  <c r="F9" i="1" s="1"/>
  <c r="O7" i="3"/>
  <c r="G9" i="1" s="1"/>
  <c r="O8" i="3"/>
  <c r="H9" i="1" s="1"/>
  <c r="O9" i="3"/>
  <c r="I9" i="1" s="1"/>
  <c r="O10" i="3"/>
  <c r="J9" i="1" s="1"/>
  <c r="O11" i="3"/>
  <c r="K9" i="1" s="1"/>
  <c r="O12" i="3"/>
  <c r="L9" i="1" s="1"/>
  <c r="O13" i="3"/>
  <c r="M9" i="1" s="1"/>
  <c r="O14" i="3"/>
  <c r="N9" i="1" s="1"/>
  <c r="O15" i="3"/>
  <c r="O9" i="1" s="1"/>
  <c r="O16" i="3"/>
  <c r="P9" i="1" s="1"/>
  <c r="P5" i="3"/>
  <c r="E10" i="1" s="1"/>
  <c r="P6" i="3"/>
  <c r="F10" i="1" s="1"/>
  <c r="P7" i="3"/>
  <c r="G10" i="1" s="1"/>
  <c r="P8" i="3"/>
  <c r="H10" i="1" s="1"/>
  <c r="P9" i="3"/>
  <c r="I10" i="1" s="1"/>
  <c r="P10" i="3"/>
  <c r="J10" i="1" s="1"/>
  <c r="P11" i="3"/>
  <c r="K10" i="1" s="1"/>
  <c r="P12" i="3"/>
  <c r="L10" i="1" s="1"/>
  <c r="P13" i="3"/>
  <c r="M10" i="1" s="1"/>
  <c r="P14" i="3"/>
  <c r="N10" i="1" s="1"/>
  <c r="P15" i="3"/>
  <c r="O10" i="1" s="1"/>
  <c r="P16" i="3"/>
  <c r="P10" i="1" s="1"/>
  <c r="P17" i="3"/>
  <c r="Q10" i="1" s="1"/>
  <c r="O4" i="3"/>
  <c r="D9" i="1" s="1"/>
  <c r="N17" i="3"/>
  <c r="N5" i="3"/>
  <c r="E8" i="1" s="1"/>
  <c r="N6" i="3"/>
  <c r="F8" i="1" s="1"/>
  <c r="N7" i="3"/>
  <c r="G8" i="1" s="1"/>
  <c r="N8" i="3"/>
  <c r="H8" i="1" s="1"/>
  <c r="N9" i="3"/>
  <c r="I8" i="1" s="1"/>
  <c r="N10" i="3"/>
  <c r="J8" i="1" s="1"/>
  <c r="N11" i="3"/>
  <c r="K8" i="1" s="1"/>
  <c r="N12" i="3"/>
  <c r="L8" i="1" s="1"/>
  <c r="N13" i="3"/>
  <c r="M8" i="1" s="1"/>
  <c r="N14" i="3"/>
  <c r="N8" i="1" s="1"/>
  <c r="N15" i="3"/>
  <c r="O8" i="1" s="1"/>
  <c r="N16" i="3"/>
  <c r="P8" i="1" s="1"/>
  <c r="N4" i="3"/>
  <c r="D8" i="1" s="1"/>
  <c r="T12" i="3" l="1"/>
  <c r="T11" i="3"/>
  <c r="T10" i="3"/>
  <c r="T14" i="3"/>
  <c r="T16" i="3"/>
  <c r="Z6" i="3"/>
  <c r="Z7" i="3" s="1"/>
  <c r="N15" i="1" s="1"/>
  <c r="T5" i="3"/>
  <c r="T4" i="3"/>
  <c r="T13" i="3"/>
  <c r="T7" i="3"/>
  <c r="T6" i="3"/>
  <c r="T8" i="3"/>
  <c r="T9" i="3"/>
  <c r="T17" i="3"/>
  <c r="T15" i="3"/>
  <c r="E6" i="10" l="1"/>
  <c r="E7" i="10" l="1"/>
  <c r="BY7" i="10" l="1"/>
  <c r="BY8" i="10"/>
  <c r="BY9" i="10"/>
  <c r="BY10" i="10"/>
  <c r="BY11" i="10"/>
  <c r="BY12" i="10"/>
  <c r="BY13" i="10"/>
  <c r="BY14" i="10"/>
  <c r="BY15" i="10"/>
  <c r="BY16" i="10"/>
  <c r="BY17" i="10"/>
  <c r="BY18" i="10"/>
  <c r="BY19" i="10"/>
  <c r="CC19" i="10" l="1"/>
  <c r="CB19" i="10"/>
  <c r="CA19" i="10"/>
  <c r="BZ19" i="10"/>
  <c r="BD19" i="10"/>
  <c r="AB19" i="10"/>
  <c r="AA19" i="10"/>
  <c r="Z19" i="10"/>
  <c r="Y19" i="10"/>
  <c r="X19" i="10"/>
  <c r="E19" i="10"/>
  <c r="CC18" i="10"/>
  <c r="CB18" i="10"/>
  <c r="CA18" i="10"/>
  <c r="BZ18" i="10"/>
  <c r="BD18" i="10"/>
  <c r="AB18" i="10"/>
  <c r="AA18" i="10"/>
  <c r="Z18" i="10"/>
  <c r="Y18" i="10"/>
  <c r="X18" i="10"/>
  <c r="E18" i="10"/>
  <c r="CC17" i="10"/>
  <c r="CB17" i="10"/>
  <c r="CA17" i="10"/>
  <c r="BZ17" i="10"/>
  <c r="BD17" i="10"/>
  <c r="AB17" i="10"/>
  <c r="AA17" i="10"/>
  <c r="Z17" i="10"/>
  <c r="Y17" i="10"/>
  <c r="X17" i="10"/>
  <c r="E17" i="10"/>
  <c r="CC16" i="10"/>
  <c r="CB16" i="10"/>
  <c r="CA16" i="10"/>
  <c r="BZ16" i="10"/>
  <c r="BD16" i="10"/>
  <c r="AB16" i="10"/>
  <c r="AA16" i="10"/>
  <c r="Z16" i="10"/>
  <c r="Y16" i="10"/>
  <c r="X16" i="10"/>
  <c r="E16" i="10"/>
  <c r="CC15" i="10"/>
  <c r="CB15" i="10"/>
  <c r="CA15" i="10"/>
  <c r="BZ15" i="10"/>
  <c r="BD15" i="10"/>
  <c r="AB15" i="10"/>
  <c r="AA15" i="10"/>
  <c r="Z15" i="10"/>
  <c r="Y15" i="10"/>
  <c r="X15" i="10"/>
  <c r="E15" i="10"/>
  <c r="CC14" i="10"/>
  <c r="CB14" i="10"/>
  <c r="CA14" i="10"/>
  <c r="BZ14" i="10"/>
  <c r="BD14" i="10"/>
  <c r="AB14" i="10"/>
  <c r="AA14" i="10"/>
  <c r="Z14" i="10"/>
  <c r="Y14" i="10"/>
  <c r="X14" i="10"/>
  <c r="E14" i="10"/>
  <c r="CC13" i="10"/>
  <c r="CB13" i="10"/>
  <c r="CA13" i="10"/>
  <c r="BZ13" i="10"/>
  <c r="BD13" i="10"/>
  <c r="AB13" i="10"/>
  <c r="AA13" i="10"/>
  <c r="Z13" i="10"/>
  <c r="Y13" i="10"/>
  <c r="X13" i="10"/>
  <c r="E13" i="10"/>
  <c r="CC12" i="10"/>
  <c r="CB12" i="10"/>
  <c r="CA12" i="10"/>
  <c r="BZ12" i="10"/>
  <c r="BD12" i="10"/>
  <c r="AB12" i="10"/>
  <c r="AA12" i="10"/>
  <c r="Z12" i="10"/>
  <c r="Y12" i="10"/>
  <c r="X12" i="10"/>
  <c r="E12" i="10"/>
  <c r="CC11" i="10"/>
  <c r="CB11" i="10"/>
  <c r="CA11" i="10"/>
  <c r="BZ11" i="10"/>
  <c r="BD11" i="10"/>
  <c r="AB11" i="10"/>
  <c r="AA11" i="10"/>
  <c r="Z11" i="10"/>
  <c r="Y11" i="10"/>
  <c r="X11" i="10"/>
  <c r="E11" i="10"/>
  <c r="CC10" i="10"/>
  <c r="CB10" i="10"/>
  <c r="CA10" i="10"/>
  <c r="BZ10" i="10"/>
  <c r="BD10" i="10"/>
  <c r="AB10" i="10"/>
  <c r="AA10" i="10"/>
  <c r="Z10" i="10"/>
  <c r="Y10" i="10"/>
  <c r="X10" i="10"/>
  <c r="E10" i="10"/>
  <c r="CC9" i="10"/>
  <c r="CB9" i="10"/>
  <c r="CA9" i="10"/>
  <c r="BZ9" i="10"/>
  <c r="BD9" i="10"/>
  <c r="AB9" i="10"/>
  <c r="AA9" i="10"/>
  <c r="Z9" i="10"/>
  <c r="Y9" i="10"/>
  <c r="X9" i="10"/>
  <c r="E9" i="10"/>
  <c r="CC8" i="10"/>
  <c r="CB8" i="10"/>
  <c r="CA8" i="10"/>
  <c r="BZ8" i="10"/>
  <c r="BD8" i="10"/>
  <c r="AB8" i="10"/>
  <c r="AA8" i="10"/>
  <c r="Z8" i="10"/>
  <c r="Y8" i="10"/>
  <c r="X8" i="10"/>
  <c r="E8" i="10"/>
  <c r="CC7" i="10"/>
  <c r="CB7" i="10"/>
  <c r="CA7" i="10"/>
  <c r="BZ7" i="10"/>
  <c r="AB7" i="10"/>
  <c r="AA7" i="10"/>
  <c r="Z7" i="10"/>
  <c r="Y7" i="10"/>
  <c r="X7" i="10"/>
  <c r="CC6" i="10"/>
  <c r="CB6" i="10"/>
  <c r="CA6" i="10"/>
  <c r="BZ6" i="10"/>
  <c r="AB6" i="10"/>
  <c r="AA6" i="10"/>
  <c r="Z6" i="10"/>
  <c r="Y6" i="10"/>
  <c r="E76" i="1"/>
  <c r="F76" i="1"/>
  <c r="G76" i="1"/>
  <c r="H76" i="1"/>
  <c r="I76" i="1"/>
  <c r="J76" i="1"/>
  <c r="K76" i="1"/>
  <c r="L76" i="1"/>
  <c r="M76" i="1"/>
  <c r="N76" i="1"/>
  <c r="O76" i="1"/>
  <c r="P76" i="1"/>
  <c r="Q76" i="1"/>
  <c r="D76" i="1"/>
  <c r="E75" i="1"/>
  <c r="F75" i="1"/>
  <c r="G75" i="1"/>
  <c r="H75" i="1"/>
  <c r="I75" i="1"/>
  <c r="J75" i="1"/>
  <c r="K75" i="1"/>
  <c r="L75" i="1"/>
  <c r="M75" i="1"/>
  <c r="N75" i="1"/>
  <c r="O75" i="1"/>
  <c r="P75" i="1"/>
  <c r="Q75" i="1"/>
  <c r="D75" i="1"/>
  <c r="E74" i="1"/>
  <c r="F74" i="1"/>
  <c r="G74" i="1"/>
  <c r="H74" i="1"/>
  <c r="I74" i="1"/>
  <c r="J74" i="1"/>
  <c r="K74" i="1"/>
  <c r="L74" i="1"/>
  <c r="M74" i="1"/>
  <c r="N74" i="1"/>
  <c r="O74" i="1"/>
  <c r="P74" i="1"/>
  <c r="Q74" i="1"/>
  <c r="D74" i="1"/>
  <c r="F73" i="1"/>
  <c r="G73" i="1"/>
  <c r="H73" i="1"/>
  <c r="I73" i="1"/>
  <c r="J73" i="1"/>
  <c r="K73" i="1"/>
  <c r="L73" i="1"/>
  <c r="M73" i="1"/>
  <c r="N73" i="1"/>
  <c r="O73" i="1"/>
  <c r="P73" i="1"/>
  <c r="Q73" i="1"/>
  <c r="N17" i="1" l="1"/>
  <c r="AH291" i="4"/>
  <c r="D66" i="1" s="1"/>
</calcChain>
</file>

<file path=xl/connections.xml><?xml version="1.0" encoding="utf-8"?>
<connections xmlns="http://schemas.openxmlformats.org/spreadsheetml/2006/main">
  <connection id="1" keepAlive="1" name="PowerPivot Data" description="This connection is used by Excel for communication between the workbook and embedded PowerPivot data, and should not be manually edited or deleted." type="5" refreshedVersion="4">
    <dbPr connection="Provider=MSOLAP.5;Persist Security Info=True;Initial Catalog=Microsoft_SQLServer_AnalysisServices;Data Source=$Embedded$;MDX Compatibility=1;Safety Options=2;ConnectTo=11.0;MDX Missing Member Mode=Error;Optimize Response=3;Cell Error Mode=TextValue" command="Model" commandType="1"/>
    <olapPr sendLocale="1" rowDrillCount="1000"/>
    <extLst>
      <ext xmlns:x14="http://schemas.microsoft.com/office/spreadsheetml/2009/9/main" uri="{D79990A0-CA42-45e3-83F4-45C500A0EAA5}">
        <x14:connection culture="" embeddedDataId="Microsoft_SQLServer_AnalysisServices"/>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4">
    <s v="PowerPivot Data"/>
    <s v="{[Winter daily sitreps].[Year].&amp;[2017/18]}"/>
    <s v="{[Winter daily sitreps].[Year].&amp;[2018/19]}"/>
    <s v="{[Winter bed occ over 14 days].[Year].&amp;[2018/19]}"/>
  </metadataStrings>
  <mdxMetadata count="3">
    <mdx n="0" f="s">
      <ms ns="1" c="0"/>
    </mdx>
    <mdx n="0" f="s">
      <ms ns="2" c="0"/>
    </mdx>
    <mdx n="0" f="s">
      <ms ns="3" c="0"/>
    </mdx>
  </mdxMetadata>
  <valueMetadata count="3">
    <bk>
      <rc t="1" v="0"/>
    </bk>
    <bk>
      <rc t="1" v="1"/>
    </bk>
    <bk>
      <rc t="1" v="2"/>
    </bk>
  </valueMetadata>
</metadata>
</file>

<file path=xl/sharedStrings.xml><?xml version="1.0" encoding="utf-8"?>
<sst xmlns="http://schemas.openxmlformats.org/spreadsheetml/2006/main" count="2659" uniqueCount="373">
  <si>
    <t>17/18</t>
  </si>
  <si>
    <t>Highest day</t>
  </si>
  <si>
    <t>London</t>
  </si>
  <si>
    <t>North</t>
  </si>
  <si>
    <t>South</t>
  </si>
  <si>
    <t>A&amp;E diverts</t>
  </si>
  <si>
    <t>Data notes</t>
  </si>
  <si>
    <t>G&amp;A bed occupancy</t>
  </si>
  <si>
    <t>No. trusts hit 100%</t>
  </si>
  <si>
    <t>No. trusts hit 85%</t>
  </si>
  <si>
    <t>No. trusts hit 95%</t>
  </si>
  <si>
    <t>Beds occ. by long stay</t>
  </si>
  <si>
    <t xml:space="preserve">   Over 7 days:</t>
  </si>
  <si>
    <t xml:space="preserve">   Over 21 days:</t>
  </si>
  <si>
    <t>Definition: The percentage of all open general and acute beds (core bed stock and escalation beds) that are occupied.</t>
  </si>
  <si>
    <t>D&amp;V, Norovirus</t>
  </si>
  <si>
    <t xml:space="preserve">    Beds closed:</t>
  </si>
  <si>
    <t xml:space="preserve">    Beds closed unoccupied:</t>
  </si>
  <si>
    <t>Adult critical care</t>
  </si>
  <si>
    <t>Paediatric intensive care</t>
  </si>
  <si>
    <t xml:space="preserve">    Occupancy rate:</t>
  </si>
  <si>
    <t xml:space="preserve">    No. beds available:</t>
  </si>
  <si>
    <t>Neonatal intensive care</t>
  </si>
  <si>
    <t xml:space="preserve">    Ambulance arrivals:</t>
  </si>
  <si>
    <t xml:space="preserve">   % delayed 30 mins or more:</t>
  </si>
  <si>
    <t xml:space="preserve">   % delayed 60 mins or more:</t>
  </si>
  <si>
    <t>No. of trusts with &gt;60 min delays</t>
  </si>
  <si>
    <t>Ambulance arrivals and delays</t>
  </si>
  <si>
    <t>No. days with zero diverts</t>
  </si>
  <si>
    <t>Midlands &amp; East</t>
  </si>
  <si>
    <t>Definition: An A&amp;E divert is where new arrivals (e.g. ambulance arrivals) are being temporarily diverted to another hospital.</t>
  </si>
  <si>
    <t>Day with the most diverts</t>
  </si>
  <si>
    <t>Chart</t>
  </si>
  <si>
    <t>Definition: Beds occupied by patients with a length of stay of 7 days or more or 21 days or more.</t>
  </si>
  <si>
    <t>Definition: The number of beds closed to diarrhoea and vomiting/norovirus-like symptoms, and of those the number unoccupied.</t>
  </si>
  <si>
    <t>No. trusts with beds closed</t>
  </si>
  <si>
    <t>No. trusts with beds closed unocc.</t>
  </si>
  <si>
    <t>Definition: The number of adult critical care beds that are open and the percentage of those that are occupied.</t>
  </si>
  <si>
    <t>Definition: The number of paediatric intensive care beds that are open and the percentage of those that are occupied.</t>
  </si>
  <si>
    <t>Definition: The number of neonatal intensive care beds that are open and the percentage of those that are occupied.</t>
  </si>
  <si>
    <t>Definition: The number of patients arriving by ambulance. The number of ambulance handover delays between 30 and 60 minutes, and the number of delays over 60 minutes.</t>
  </si>
  <si>
    <t>2017/18</t>
  </si>
  <si>
    <t>Total</t>
  </si>
  <si>
    <t>Sum of AE diverts</t>
  </si>
  <si>
    <t>Row Labels</t>
  </si>
  <si>
    <t>1</t>
  </si>
  <si>
    <t>Grand Total</t>
  </si>
  <si>
    <t>Year</t>
  </si>
  <si>
    <t>All</t>
  </si>
  <si>
    <t>Column Labels</t>
  </si>
  <si>
    <t>North of England</t>
  </si>
  <si>
    <t>Week 1</t>
  </si>
  <si>
    <t>Week 2</t>
  </si>
  <si>
    <t>Week 3</t>
  </si>
  <si>
    <t>Week 4</t>
  </si>
  <si>
    <t>Week 5</t>
  </si>
  <si>
    <t>Week 6</t>
  </si>
  <si>
    <t>Week 7</t>
  </si>
  <si>
    <t>Week 8</t>
  </si>
  <si>
    <t>Week 9</t>
  </si>
  <si>
    <t>Week 10</t>
  </si>
  <si>
    <t>Week 11</t>
  </si>
  <si>
    <t>Week 12</t>
  </si>
  <si>
    <t>Week 13</t>
  </si>
  <si>
    <t>Week 14</t>
  </si>
  <si>
    <t>M&amp;E</t>
  </si>
  <si>
    <t>Total Available</t>
  </si>
  <si>
    <t>Available</t>
  </si>
  <si>
    <t>Total Occupied</t>
  </si>
  <si>
    <t>Occupied</t>
  </si>
  <si>
    <t>Sum of Beds occ over 7 days</t>
  </si>
  <si>
    <t>Sum of Beds occ over 21 days</t>
  </si>
  <si>
    <t>Sum of Beds closed norovirus</t>
  </si>
  <si>
    <t>AINTREE UNIVERSITY HOSPITAL NHS FOUNDATION TRUST</t>
  </si>
  <si>
    <t>AIREDALE NHS FOUNDATION TRUST</t>
  </si>
  <si>
    <t>ALDER HEY CHILDREN'S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</si>
  <si>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</si>
  <si>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</si>
  <si>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</si>
  <si>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</si>
  <si>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</si>
  <si>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</si>
  <si>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WOMEN'S AND CHILDREN'S NHS FOUNDATION TRUST</t>
  </si>
  <si>
    <t>BLACKPOOL TEACHING HOSPITALS NHS FOUNDATION TRUST</t>
  </si>
  <si>
    <t>BOLTON NHS FOUNDATION TRUST</t>
  </si>
  <si>
    <t>BRADFORD TEACHING HOSPITALS NHS FOUNDATION TRUST</t>
  </si>
  <si>
    <t>BRIGHTON AND SUSSEX UNIVERSITY HOSPITALS NHS TRUST</t>
  </si>
  <si>
    <t>BUCKINGHAMSHIRE HEALTHCARE NHS TRUST</t>
  </si>
  <si>
    <t>CALDERDALE AND HUDDERSFIELD NHS FOUNDATION TRUST</t>
  </si>
  <si>
    <t>CAMBRIDGE UNIVERSITY HOSPITALS NHS FOUNDATION TRUST</t>
  </si>
  <si>
    <t>CHELSEA AND WESTMINSTER HOSPITAL NHS FOUNDATION TRUST</t>
  </si>
  <si>
    <t>CHESTERFIELD ROYAL HOSPITAL NHS FOUNDATION TRUST</t>
  </si>
  <si>
    <t>CITY HOSPITALS SUNDERLAND NHS FOUNDATION TRUST</t>
  </si>
  <si>
    <t>COUNTESS OF CHESTER HOSPITAL NHS FOUNDATION TRUST</t>
  </si>
  <si>
    <t>COUNTY DURHAM AND DARLINGTON NHS FOUNDATION TRUST</t>
  </si>
  <si>
    <t>CROYDON HEALTH SERVICES NHS TRUST</t>
  </si>
  <si>
    <t>DARTFORD AND GRAVESHAM NHS TRUST</t>
  </si>
  <si>
    <t>DONCASTER AND BASSETLAW TEACHING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</si>
  <si>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</si>
  <si>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</si>
  <si>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</si>
  <si>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</si>
  <si>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</si>
  <si>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</si>
  <si>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</si>
  <si>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</si>
  <si>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</si>
  <si>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</si>
  <si>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</si>
  <si>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</si>
  <si>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</si>
  <si>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</si>
  <si>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</si>
  <si>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HOMERTON UNIVERSITY HOSPITAL NHS FOUNDATION TRUST</t>
  </si>
  <si>
    <t>HULL AND EAST YORKSHIRE HOSPITALS NHS TRUST</t>
  </si>
  <si>
    <t>IMPERIAL COLLEGE HEALTHCARE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</si>
  <si>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</si>
  <si>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</si>
  <si>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</si>
  <si>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</si>
  <si>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</si>
  <si>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</si>
  <si>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</si>
  <si>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</si>
  <si>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LUTON AND DUNSTABLE UNIVERSITY HOSPITAL NHS FOUNDATION TRUST</t>
  </si>
  <si>
    <t>MAIDSTONE AND TUNBRIDGE WELLS NHS TRUST</t>
  </si>
  <si>
    <t>MANCHESTER UNIVERSITY NHS FOUNDATION TRUST</t>
  </si>
  <si>
    <t>MEDWAY NHS FOUNDATION TRUST</t>
  </si>
  <si>
    <t>MID CHESHIRE HOSPITALS NHS FOUNDATION TRUST</t>
  </si>
  <si>
    <t>MID ESSEX HOSPITAL SERVICES NHS TRUST</t>
  </si>
  <si>
    <t>MID YORKSHIRE HOSPITALS NHS TRUST</t>
  </si>
  <si>
    <t>MILTON KEYNES UNIVERSITY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</si>
  <si>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</si>
  <si>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</si>
  <si>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</si>
  <si>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</si>
  <si>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</si>
  <si>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 WEST ANGLIA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</si>
  <si>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</si>
  <si>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</si>
  <si>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</si>
  <si>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</si>
  <si>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</si>
  <si>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FOUNDATION TRUST</t>
  </si>
  <si>
    <t>PENNINE ACUTE HOSPITALS NHS TRUST</t>
  </si>
  <si>
    <t>POOLE HOSPITAL NHS FOUNDATION TRUST</t>
  </si>
  <si>
    <t>PORTSMOUTH HOSPITALS NHS TRUST</t>
  </si>
  <si>
    <t>ROYAL BERKSHIRE NHS FOUNDATION TRUST</t>
  </si>
  <si>
    <t>ROYAL CORNWALL HOSPITALS NHS TRUST</t>
  </si>
  <si>
    <t>ROYAL DEVON AND EXETER NHS FOUNDATION TRUST</t>
  </si>
  <si>
    <t>ROYAL FREE LONDON NHS FOUNDATION TRUST</t>
  </si>
  <si>
    <t>ROYAL LIVERPOOL AND BROADGREEN UNIVERSITY HOSPITALS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</si>
  <si>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</si>
  <si>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</si>
  <si>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</si>
  <si>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</si>
  <si>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</si>
  <si>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</si>
  <si>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</si>
  <si>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</si>
  <si>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</si>
  <si>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</si>
  <si>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</si>
  <si>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</si>
  <si>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</si>
  <si>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</si>
  <si>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</si>
  <si>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</si>
  <si>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</si>
  <si>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</si>
  <si>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AND GLOSSOP INTEGRATED CARE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</si>
  <si>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</si>
  <si>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</si>
  <si>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</si>
  <si>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</si>
  <si>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</si>
  <si>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</si>
  <si>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ROTHERHAM NHS FOUNDATION TRUST</t>
  </si>
  <si>
    <t>THE ROYAL BOURNEMOUTH AND CHRISTCHURCH HOSPITALS NHS FOUNDATION TRUST</t>
  </si>
  <si>
    <t>THE ROYAL WOLVERHAMPTON NHS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</si>
  <si>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</si>
  <si>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</si>
  <si>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</si>
  <si>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</si>
  <si>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</si>
  <si>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</si>
  <si>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</si>
  <si>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</si>
  <si>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</si>
  <si>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</si>
  <si>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</si>
  <si>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</si>
  <si>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</si>
  <si>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</si>
  <si>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</si>
  <si>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</si>
  <si>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WHITTINGTON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</si>
  <si>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</si>
  <si>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</si>
  <si>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</si>
  <si>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</si>
  <si>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</si>
  <si>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</si>
  <si>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Sum of Beds closed norovius unocc</t>
  </si>
  <si>
    <t>Sum of Amb arrivals</t>
  </si>
  <si>
    <t>Total 30-60 mins</t>
  </si>
  <si>
    <t>30-60 mins</t>
  </si>
  <si>
    <t>Total over 60 mins</t>
  </si>
  <si>
    <t>over 60 mins</t>
  </si>
  <si>
    <t>Total Sum of Amb arrivals</t>
  </si>
  <si>
    <t>Total Avail</t>
  </si>
  <si>
    <t>Avail</t>
  </si>
  <si>
    <t>Total Occ</t>
  </si>
  <si>
    <t>Occ</t>
  </si>
  <si>
    <t>2017/18 average bed occupancy, by region</t>
  </si>
  <si>
    <t>2017/18 daily average beds available, by region</t>
  </si>
  <si>
    <t>Sum of Paed Int Care Avail</t>
  </si>
  <si>
    <t>Sum of Paed Int Care Occ</t>
  </si>
  <si>
    <t>Total Sum of Paed Int Care Avail</t>
  </si>
  <si>
    <t>Total Sum of Paed Int Care Occ</t>
  </si>
  <si>
    <t>Sum of Amb delays over 60 mins</t>
  </si>
  <si>
    <t>Sum of Neo Int Care Avail</t>
  </si>
  <si>
    <t>Sum of Neo Int Care occ</t>
  </si>
  <si>
    <t>Total Sum of Neo Int Care Avail</t>
  </si>
  <si>
    <t>Total Sum of Neo Int Care occ</t>
  </si>
  <si>
    <t>Friday</t>
  </si>
  <si>
    <t>Monday</t>
  </si>
  <si>
    <t>Saturday</t>
  </si>
  <si>
    <t>Sunday</t>
  </si>
  <si>
    <t>Thursday</t>
  </si>
  <si>
    <t>Tuesday</t>
  </si>
  <si>
    <t>Wednesday</t>
  </si>
  <si>
    <t>Week 1 Total</t>
  </si>
  <si>
    <t>Average of GA bed occupancy</t>
  </si>
  <si>
    <t>&gt;85%</t>
  </si>
  <si>
    <t>&gt;95%</t>
  </si>
  <si>
    <t>G&amp;A bed availability</t>
  </si>
  <si>
    <t>Daily average</t>
  </si>
  <si>
    <t>Total Core</t>
  </si>
  <si>
    <t>Core</t>
  </si>
  <si>
    <t>Total Escalation</t>
  </si>
  <si>
    <t>Escalation</t>
  </si>
  <si>
    <t>Total Total</t>
  </si>
  <si>
    <t>ESC.</t>
  </si>
  <si>
    <t>TOTAL</t>
  </si>
  <si>
    <t>Day with most core beds open</t>
  </si>
  <si>
    <t>Day with most escalation beds open</t>
  </si>
  <si>
    <t>Day with most total beds open</t>
  </si>
  <si>
    <t>The data shows the average daily occupancy for general and acute beds, as well as the number of reporting trusts who reached 85%, 95% or 100% occupancy on at least one day that week.
Note that the vertical axis on the chart does not start at zero.</t>
  </si>
  <si>
    <t xml:space="preserve">   Core beds:</t>
  </si>
  <si>
    <t xml:space="preserve">   Escalation beds:</t>
  </si>
  <si>
    <t xml:space="preserve">   Total beds:</t>
  </si>
  <si>
    <t>Definition: All available beds for general and acute patients, made up of core bed stock and escalation beds (temporary beds opened to increase capacity).</t>
  </si>
  <si>
    <t>18/19</t>
  </si>
  <si>
    <t>14 (1-Jan)</t>
  </si>
  <si>
    <t>10 out of 98 (10%)</t>
  </si>
  <si>
    <t>94,487 (2-Dec)</t>
  </si>
  <si>
    <t>5,150 (19-Feb)</t>
  </si>
  <si>
    <t>99,298 (19-Feb)</t>
  </si>
  <si>
    <t>1,271 (10-Dec)</t>
  </si>
  <si>
    <t>234 (09-Dec)</t>
  </si>
  <si>
    <t>The data shows the average number of patients per day with stays of 7 days or more or 21 days or more.</t>
  </si>
  <si>
    <t>2018/19</t>
  </si>
  <si>
    <t>EAST SUFFOLK AND NORTH EAST ESSEX NHS FOUNDATION TRUST</t>
  </si>
  <si>
    <t>LONDON NORTH WEST UNIVERSITY HEALTHCARE NHS TRUST</t>
  </si>
  <si>
    <t>UNIVERSITY HOSPITALS PLYMOUTH NHS TRUST</t>
  </si>
  <si>
    <t>Midlands And East Of England</t>
  </si>
  <si>
    <t>South East of England</t>
  </si>
  <si>
    <t>South West of England</t>
  </si>
  <si>
    <t>South west</t>
  </si>
  <si>
    <t>South East</t>
  </si>
  <si>
    <t>03/12/18</t>
  </si>
  <si>
    <t>04/12/18</t>
  </si>
  <si>
    <t>05/12/18</t>
  </si>
  <si>
    <t>06/12/18</t>
  </si>
  <si>
    <t>07/12/18</t>
  </si>
  <si>
    <t>08/12/18</t>
  </si>
  <si>
    <t>09/12/18</t>
  </si>
  <si>
    <t>South West</t>
  </si>
  <si>
    <t>UNIVERSITY HOSPITALS OF DERBY AND BURTON NHS FOUNDATION TRUST</t>
  </si>
  <si>
    <t>Midlands</t>
  </si>
  <si>
    <t>2018/19 - highest day</t>
  </si>
  <si>
    <t>2018/19 - no. zero days</t>
  </si>
  <si>
    <t>2</t>
  </si>
  <si>
    <t>3</t>
  </si>
  <si>
    <t>4</t>
  </si>
  <si>
    <t>5</t>
  </si>
  <si>
    <t>6</t>
  </si>
  <si>
    <t>7</t>
  </si>
  <si>
    <t>8</t>
  </si>
  <si>
    <t>9</t>
  </si>
  <si>
    <t>10</t>
  </si>
  <si>
    <t>11</t>
  </si>
  <si>
    <t>12</t>
  </si>
  <si>
    <t>13</t>
  </si>
  <si>
    <t>14</t>
  </si>
  <si>
    <t>South of England</t>
  </si>
  <si>
    <t>2018/19 weekly total</t>
  </si>
  <si>
    <t>South combined</t>
  </si>
  <si>
    <t>2018/19 weekly total by region</t>
  </si>
  <si>
    <t>2017/18 daily average beds available</t>
  </si>
  <si>
    <t>2018/19 daily average beds available</t>
  </si>
  <si>
    <t>2018/19 highest day</t>
  </si>
  <si>
    <t xml:space="preserve">All </t>
  </si>
  <si>
    <t xml:space="preserve">South East </t>
  </si>
  <si>
    <t xml:space="preserve">South West </t>
  </si>
  <si>
    <t>2018/19 daily average beds available, by region</t>
  </si>
  <si>
    <t xml:space="preserve">2018/19 - G&amp;A weekly average bed occupancy </t>
  </si>
  <si>
    <t>2018/19 average daily beds closed</t>
  </si>
  <si>
    <t>2018/19 average daily beds closed, by region</t>
  </si>
  <si>
    <t>2017/18 average occupancy</t>
  </si>
  <si>
    <t xml:space="preserve">South west </t>
  </si>
  <si>
    <t>2018/19 - weekly average bed occupancy, by region</t>
  </si>
  <si>
    <t>2018/19 no. trusts with beds closed</t>
  </si>
  <si>
    <t>2018/19 day with most beds closed</t>
  </si>
  <si>
    <t>2018/19 average daily beds closed unoccupied</t>
  </si>
  <si>
    <t>2018/19 daily beds closed unoccupied, by region</t>
  </si>
  <si>
    <t>2018/19 number of trusts closed unoccupied</t>
  </si>
  <si>
    <t>2018/19 with highest number closed unoccupied</t>
  </si>
  <si>
    <t>2018/19 average occupancy</t>
  </si>
  <si>
    <t>2018/19 average bed occupancy, by region</t>
  </si>
  <si>
    <t>2018/19 average occupancy, by region</t>
  </si>
  <si>
    <t>2018/19 total ambulance arrivals, by region</t>
  </si>
  <si>
    <t>2018/19 ambulance handover delays, by region</t>
  </si>
  <si>
    <t>2018/19 - weekly total number of beds occ over 21 days</t>
  </si>
  <si>
    <t xml:space="preserve">2018/19 - weekly total number of beds occ over 7 days </t>
  </si>
  <si>
    <t>2018/19 - weekly total number of beds occ over 14 days</t>
  </si>
  <si>
    <t xml:space="preserve">   Over 14 days:</t>
  </si>
  <si>
    <t>N/A</t>
  </si>
  <si>
    <t xml:space="preserve">Week </t>
  </si>
  <si>
    <t>Occupancy rate:</t>
  </si>
  <si>
    <t>Sum of Beds occ over 14 days</t>
  </si>
  <si>
    <t>North Of England</t>
  </si>
  <si>
    <t>10/12/18</t>
  </si>
  <si>
    <t>11/12/18</t>
  </si>
  <si>
    <t>12/12/18</t>
  </si>
  <si>
    <t>13/12/18</t>
  </si>
  <si>
    <t>14/12/18</t>
  </si>
  <si>
    <t>15/12/18</t>
  </si>
  <si>
    <t>16/12/18</t>
  </si>
  <si>
    <t>Week 2 Total</t>
  </si>
  <si>
    <t xml:space="preserve">1. The data below summarises the weekly winter sitrep data published by NHS England. 
2. Where possible the data has been compared to the closest week in 2017/18. The only new information in 2018/19 is the number of patients staying longer than 14 days and therefore we have no comparator. 
3. In 2018/19 there are 134 trusts reporting in the weekly winter sitreps, compared to 137 in 2017/18, comparisons with 2017/18 should therefore be used with caution for data which is a sum rather than an average.
4. The data is provided at England and at regional level. There are different numbers of trusts in each region so where data is a sum rather than an average it should not be compared across regions. 
5. In 2018/19, NHS England have published the winter sitrep data a week later than in 2017/18. For comparison purposes, week 2 for 2017/18 is listed as week 1 here. </t>
  </si>
  <si>
    <t>The data shows the total (sum) of all diverts in a given week.  
Total for 137 trusts in 2017/18 and 134 trusts in 2018/19.</t>
  </si>
  <si>
    <t>The data shows the average number of beds per day that are closed and closed unoccupied due to D&amp;V/norovirus-like symptons. It also shows the number of trusts with beds closed/beds closed unoccupied on at least one day that week and the day with the highest number of closures recorded.
Total for 137 trusts in 2017/18 and 134 trusts in 2018/19.</t>
  </si>
  <si>
    <t>The data shows the daily average percentage of adult critical care beds that are occupied. As well as the daily average number of adult critical care beds available (total number of beds minus number of occupied beds) each day.
Available beds total for 137 trusts in 2017/18 and 134 trusts in 2018/19.
Note that the vertical axis on the chart does not start at zero.</t>
  </si>
  <si>
    <t>The data shows the daily average percentage of paediatric intensive care beds that are occupied. As well as the daily average number of paediatric intensive care beds available (total number of beds minus number of occupied beds) each day.
Available beds total for 137 trusts in 2017/18 and 134 trusts in 2018/19.
Note that the vertical axis on the chart does not start at zero.</t>
  </si>
  <si>
    <t>The data shows the daily average percentage of neonatal intensive care beds that are occupied. As well as the daily average number of neonatal intensive care beds available (total number of beds minus number of occupied beds) each day.
Available beds total for 137 trusts in 2017/18 and 134 trusts in 2018/19.
Note that the vertical axis on the chart does not start at zero.</t>
  </si>
  <si>
    <t>17/12/18</t>
  </si>
  <si>
    <t>18/12/18</t>
  </si>
  <si>
    <t>19/12/18</t>
  </si>
  <si>
    <t>20/12/18</t>
  </si>
  <si>
    <t>21/12/18</t>
  </si>
  <si>
    <t>22/12/18</t>
  </si>
  <si>
    <t>23/12/18</t>
  </si>
  <si>
    <t>Week 3 Total</t>
  </si>
  <si>
    <t>24/12/18</t>
  </si>
  <si>
    <t>25/12/18</t>
  </si>
  <si>
    <t>26/12/18</t>
  </si>
  <si>
    <t>27/12/18</t>
  </si>
  <si>
    <t>28/12/18</t>
  </si>
  <si>
    <t>29/12/18</t>
  </si>
  <si>
    <t>30/12/18</t>
  </si>
  <si>
    <t>Week 4 Total</t>
  </si>
  <si>
    <t>31/12/18</t>
  </si>
  <si>
    <t>01/01/19</t>
  </si>
  <si>
    <t>02/01/19</t>
  </si>
  <si>
    <t>03/01/19</t>
  </si>
  <si>
    <t>04/01/19</t>
  </si>
  <si>
    <t>05/01/19</t>
  </si>
  <si>
    <t>06/01/19</t>
  </si>
  <si>
    <t>Week 5 Total</t>
  </si>
  <si>
    <t xml:space="preserve">
The data shows the daily average number of general and acute beds available, divided into core beds and escalation beds. As well as the day when the highest number of each bed type was available.
Total for 137 trusts in 2017/18 and 134 trusts in 2018/19.
Note that the vertical axis on the core beds and total beds charts do not start at zero.</t>
  </si>
  <si>
    <t>The data shows the total number (sum) of ambulance arrivals to the reporting trusts in that week, and then the percentage of these that were delayed by 30 minutes or more and 60 minutes or more. It also shows the number of trusts in that week that reported at least one delay of over 60 minutes.
Note that the vertical axis on the ambulance arrivals chart does not start at zero.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</si>
</sst>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2" tint="-0.249977111117893"/>
      <name val="Calibri"/>
      <family val="2"/>
      <scheme val="minor"/>
    </font>
    <font>
      <i/>
      <sz val="11"/>
      <color theme="1"/>
      <name val="Calibri"/>
      <family val="2"/>
      <scheme val="minor"/>
    </font>
    <font>
      <sz val="14"/>
      <color theme="1"/>
      <name val="Calibri"/>
      <family val="2"/>
      <scheme val="minor"/>
    </font>
    <font>
      <sz val="14"/>
      <color theme="0"/>
      <name val="Calibri"/>
      <family val="2"/>
      <scheme val="minor"/>
    </font>
    <font>
      <sz val="10"/>
      <color theme="1"/>
      <name val="Calibri"/>
      <family val="2"/>
      <scheme val="minor"/>
    </font>
    <font>
      <i/>
      <sz val="10"/>
      <color theme="9"/>
      <name val="Calibri"/>
      <family val="2"/>
      <scheme val="minor"/>
    </font>
    <font>
      <sz val="11"/>
      <color theme="9"/>
      <name val="Calibri"/>
      <family val="2"/>
      <scheme val="minor"/>
    </font>
    <font>
      <i/>
      <sz val="8"/>
      <color theme="1"/>
      <name val="Calibri"/>
      <family val="2"/>
      <scheme val="minor"/>
    </font>
    <font>
      <i/>
      <sz val="11"/>
      <color theme="0"/>
      <name val="Calibri"/>
      <family val="2"/>
      <scheme val="minor"/>
    </font>
    <font>
      <sz val="11"/>
      <color theme="0"/>
      <name val="Calibri"/>
      <family val="2"/>
      <scheme val="minor"/>
    </font>
    <font>
      <sz val="11"/>
      <color theme="4" tint="-0.249977111117893"/>
      <name val="Calibri"/>
      <family val="2"/>
      <scheme val="minor"/>
    </font>
    <font>
      <sz val="11"/>
      <color theme="4" tint="-0.499984740745262"/>
      <name val="Calibri"/>
      <family val="2"/>
      <scheme val="minor"/>
    </font>
    <font>
      <b/>
      <sz val="11"/>
      <name val="Calibri"/>
      <family val="2"/>
      <scheme val="minor"/>
    </font>
  </fonts>
  <fills count="13">
    <fill>
      <patternFill patternType="none"/>
    </fill>
    <fill>
      <patternFill patternType="gray125"/>
    </fill>
    <fill>
      <patternFill patternType="solid">
        <fgColor theme="3" tint="0.59999389629810485"/>
        <bgColor indexed="64"/>
      </patternFill>
    </fill>
    <fill>
      <patternFill patternType="solid">
        <fgColor theme="2"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bgColor indexed="64"/>
      </patternFill>
    </fill>
    <fill>
      <patternFill patternType="solid">
        <fgColor theme="2"/>
        <bgColor indexed="64"/>
      </patternFill>
    </fill>
    <fill>
      <patternFill patternType="solid">
        <fgColor theme="2" tint="0.39997558519241921"/>
        <bgColor indexed="64"/>
      </patternFill>
    </fill>
    <fill>
      <patternFill patternType="solid">
        <fgColor rgb="FFFFFF00"/>
        <bgColor indexed="64"/>
      </patternFill>
    </fill>
    <fill>
      <patternFill patternType="solid">
        <fgColor rgb="FFCED8DD"/>
        <bgColor indexed="64"/>
      </patternFill>
    </fill>
    <fill>
      <patternFill patternType="solid">
        <fgColor theme="0"/>
        <bgColor indexed="64"/>
      </patternFill>
    </fill>
  </fills>
  <borders count="9">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134">
    <xf numFmtId="0" fontId="0" fillId="0" borderId="0" xfId="0"/>
    <xf numFmtId="0" fontId="0" fillId="0" borderId="0" xfId="0" applyAlignment="1">
      <alignment horizontal="right"/>
    </xf>
    <xf numFmtId="0" fontId="0" fillId="0" borderId="0" xfId="0" applyNumberFormat="1"/>
    <xf numFmtId="164" fontId="0" fillId="0" borderId="0" xfId="1" applyNumberFormat="1" applyFont="1"/>
    <xf numFmtId="0" fontId="0" fillId="0" borderId="0" xfId="0" applyFont="1"/>
    <xf numFmtId="0" fontId="4" fillId="0" borderId="0" xfId="0" applyFont="1" applyAlignment="1">
      <alignment horizontal="right"/>
    </xf>
    <xf numFmtId="0" fontId="5" fillId="0" borderId="0" xfId="0" applyFont="1" applyAlignment="1">
      <alignment vertical="center" textRotation="90"/>
    </xf>
    <xf numFmtId="164" fontId="3" fillId="3" borderId="1" xfId="1" applyNumberFormat="1" applyFont="1" applyFill="1" applyBorder="1" applyAlignment="1">
      <alignment horizontal="center"/>
    </xf>
    <xf numFmtId="0" fontId="0" fillId="0" borderId="0" xfId="0" applyFill="1" applyBorder="1" applyAlignment="1">
      <alignment vertical="center" wrapText="1"/>
    </xf>
    <xf numFmtId="0" fontId="0" fillId="0" borderId="0" xfId="0" applyFill="1" applyBorder="1" applyAlignment="1">
      <alignment horizontal="right" vertical="center" wrapText="1"/>
    </xf>
    <xf numFmtId="0" fontId="0" fillId="0" borderId="0" xfId="0" applyAlignment="1">
      <alignment horizontal="center"/>
    </xf>
    <xf numFmtId="0" fontId="0" fillId="0" borderId="0" xfId="0" applyFill="1" applyBorder="1" applyAlignment="1">
      <alignment horizontal="right"/>
    </xf>
    <xf numFmtId="0" fontId="4" fillId="0" borderId="0" xfId="0" applyFont="1"/>
    <xf numFmtId="0" fontId="4" fillId="0" borderId="0" xfId="0" applyFont="1" applyAlignment="1">
      <alignment horizontal="left"/>
    </xf>
    <xf numFmtId="3" fontId="3" fillId="3" borderId="1" xfId="1" applyNumberFormat="1" applyFont="1" applyFill="1" applyBorder="1" applyAlignment="1">
      <alignment horizontal="center"/>
    </xf>
    <xf numFmtId="0" fontId="7" fillId="0" borderId="0" xfId="0" applyFont="1" applyAlignment="1">
      <alignment vertical="top" wrapText="1"/>
    </xf>
    <xf numFmtId="0" fontId="2" fillId="0" borderId="0" xfId="0" applyFont="1" applyAlignment="1">
      <alignment horizontal="right"/>
    </xf>
    <xf numFmtId="0" fontId="2" fillId="0" borderId="0" xfId="0" applyFont="1"/>
    <xf numFmtId="0" fontId="0" fillId="0" borderId="0" xfId="0" pivotButton="1"/>
    <xf numFmtId="0" fontId="0" fillId="0" borderId="0" xfId="0" applyAlignment="1">
      <alignment horizontal="left"/>
    </xf>
    <xf numFmtId="1" fontId="0" fillId="0" borderId="0" xfId="0" applyNumberFormat="1" applyAlignment="1">
      <alignment horizontal="center"/>
    </xf>
    <xf numFmtId="0" fontId="0" fillId="0" borderId="0" xfId="0" applyNumberFormat="1" applyAlignment="1">
      <alignment horizontal="center"/>
    </xf>
    <xf numFmtId="9" fontId="0" fillId="0" borderId="0" xfId="1" applyFont="1" applyAlignment="1">
      <alignment horizontal="center"/>
    </xf>
    <xf numFmtId="49" fontId="10" fillId="0" borderId="0" xfId="0" applyNumberFormat="1" applyFont="1" applyAlignment="1">
      <alignment horizontal="center"/>
    </xf>
    <xf numFmtId="0" fontId="11" fillId="0" borderId="0" xfId="0" applyFont="1" applyAlignment="1">
      <alignment horizontal="center"/>
    </xf>
    <xf numFmtId="1" fontId="0" fillId="0" borderId="0" xfId="1" applyNumberFormat="1" applyFont="1" applyAlignment="1">
      <alignment horizontal="center"/>
    </xf>
    <xf numFmtId="1" fontId="0" fillId="0" borderId="0" xfId="0" applyNumberFormat="1"/>
    <xf numFmtId="0" fontId="2" fillId="0" borderId="0" xfId="0" applyFont="1" applyAlignment="1">
      <alignment horizontal="center"/>
    </xf>
    <xf numFmtId="164" fontId="0" fillId="0" borderId="0" xfId="1" applyNumberFormat="1" applyFont="1" applyAlignment="1">
      <alignment horizontal="center"/>
    </xf>
    <xf numFmtId="0" fontId="7" fillId="0" borderId="0" xfId="0" applyFont="1" applyAlignment="1">
      <alignment horizontal="left" vertical="top" wrapText="1"/>
    </xf>
    <xf numFmtId="1" fontId="3" fillId="3" borderId="1" xfId="1" applyNumberFormat="1" applyFont="1" applyFill="1" applyBorder="1" applyAlignment="1">
      <alignment horizontal="center"/>
    </xf>
    <xf numFmtId="10" fontId="12" fillId="0" borderId="0" xfId="0" applyNumberFormat="1" applyFont="1"/>
    <xf numFmtId="164" fontId="0" fillId="0" borderId="0" xfId="0" applyNumberFormat="1"/>
    <xf numFmtId="9" fontId="2" fillId="0" borderId="0" xfId="0" applyNumberFormat="1" applyFont="1" applyAlignment="1">
      <alignment horizontal="right"/>
    </xf>
    <xf numFmtId="164" fontId="9" fillId="0" borderId="0" xfId="1" applyNumberFormat="1" applyFont="1" applyFill="1" applyBorder="1" applyAlignment="1">
      <alignment horizontal="center"/>
    </xf>
    <xf numFmtId="3" fontId="0" fillId="0" borderId="0" xfId="0" applyNumberFormat="1" applyAlignment="1">
      <alignment horizontal="center"/>
    </xf>
    <xf numFmtId="0" fontId="2" fillId="0" borderId="0" xfId="0" applyFont="1" applyAlignment="1">
      <alignment horizontal="center" vertical="center"/>
    </xf>
    <xf numFmtId="3" fontId="0" fillId="0" borderId="0" xfId="0" applyNumberFormat="1" applyAlignment="1">
      <alignment horizontal="right"/>
    </xf>
    <xf numFmtId="0" fontId="2" fillId="0" borderId="0" xfId="0" applyFont="1" applyFill="1" applyAlignment="1">
      <alignment horizontal="center"/>
    </xf>
    <xf numFmtId="0" fontId="13" fillId="0" borderId="0" xfId="0" applyFont="1"/>
    <xf numFmtId="0" fontId="4" fillId="0" borderId="0" xfId="0" applyFont="1" applyFill="1"/>
    <xf numFmtId="0" fontId="6" fillId="7" borderId="0" xfId="0" applyFont="1" applyFill="1" applyAlignment="1">
      <alignment horizontal="center" vertical="center" textRotation="90"/>
    </xf>
    <xf numFmtId="0" fontId="2" fillId="5" borderId="0" xfId="0" applyFont="1" applyFill="1" applyAlignment="1">
      <alignment horizontal="center"/>
    </xf>
    <xf numFmtId="0" fontId="0" fillId="0" borderId="0" xfId="0" applyAlignment="1">
      <alignment horizontal="center"/>
    </xf>
    <xf numFmtId="0" fontId="0" fillId="0" borderId="0" xfId="0" applyFill="1"/>
    <xf numFmtId="0" fontId="2" fillId="5" borderId="0" xfId="0" applyFont="1" applyFill="1" applyAlignment="1">
      <alignment horizontal="left" vertical="top"/>
    </xf>
    <xf numFmtId="0" fontId="0" fillId="0" borderId="0" xfId="0" applyAlignment="1">
      <alignment horizontal="left" vertical="top"/>
    </xf>
    <xf numFmtId="9" fontId="0" fillId="0" borderId="0" xfId="1" applyFont="1"/>
    <xf numFmtId="0" fontId="2" fillId="5" borderId="0" xfId="0" applyFont="1" applyFill="1" applyAlignment="1">
      <alignment horizontal="center"/>
    </xf>
    <xf numFmtId="0" fontId="2" fillId="4" borderId="0" xfId="0" applyFont="1" applyFill="1" applyAlignment="1">
      <alignment horizontal="center"/>
    </xf>
    <xf numFmtId="0" fontId="0" fillId="0" borderId="0" xfId="0" applyAlignment="1">
      <alignment horizontal="center"/>
    </xf>
    <xf numFmtId="0" fontId="7" fillId="0" borderId="0" xfId="0" applyFont="1" applyAlignment="1">
      <alignment horizontal="left" vertical="top" wrapText="1"/>
    </xf>
    <xf numFmtId="0" fontId="6" fillId="7" borderId="0" xfId="0" applyFont="1" applyFill="1" applyAlignment="1">
      <alignment horizontal="center" vertical="center" textRotation="90"/>
    </xf>
    <xf numFmtId="0" fontId="2" fillId="5" borderId="0" xfId="0" applyFont="1" applyFill="1" applyAlignment="1">
      <alignment horizontal="center"/>
    </xf>
    <xf numFmtId="2" fontId="0" fillId="0" borderId="0" xfId="0" applyNumberFormat="1"/>
    <xf numFmtId="0" fontId="0" fillId="0" borderId="0" xfId="0" applyAlignment="1">
      <alignment horizontal="center" vertical="center"/>
    </xf>
    <xf numFmtId="164" fontId="0" fillId="0" borderId="0" xfId="1" applyNumberFormat="1" applyFont="1" applyAlignment="1">
      <alignment horizontal="left" vertical="top"/>
    </xf>
    <xf numFmtId="0" fontId="2" fillId="5" borderId="0" xfId="0" applyFont="1" applyFill="1" applyAlignment="1">
      <alignment horizontal="center"/>
    </xf>
    <xf numFmtId="0" fontId="2" fillId="5" borderId="0" xfId="0" applyFont="1" applyFill="1"/>
    <xf numFmtId="0" fontId="2" fillId="5" borderId="0" xfId="0" applyFont="1" applyFill="1" applyAlignment="1">
      <alignment horizontal="left"/>
    </xf>
    <xf numFmtId="3" fontId="14" fillId="0" borderId="0" xfId="0" applyNumberFormat="1" applyFont="1" applyFill="1" applyBorder="1" applyAlignment="1">
      <alignment horizontal="center"/>
    </xf>
    <xf numFmtId="0" fontId="0" fillId="0" borderId="0" xfId="0" applyBorder="1"/>
    <xf numFmtId="0" fontId="2" fillId="2" borderId="5" xfId="0" applyFont="1" applyFill="1" applyBorder="1" applyAlignment="1">
      <alignment horizontal="center"/>
    </xf>
    <xf numFmtId="0" fontId="14" fillId="6" borderId="5" xfId="0" applyFont="1" applyFill="1" applyBorder="1" applyAlignment="1">
      <alignment horizontal="center"/>
    </xf>
    <xf numFmtId="3" fontId="2" fillId="2" borderId="5" xfId="0" applyNumberFormat="1" applyFont="1" applyFill="1" applyBorder="1" applyAlignment="1">
      <alignment horizontal="center"/>
    </xf>
    <xf numFmtId="3" fontId="14" fillId="6" borderId="5" xfId="0" applyNumberFormat="1" applyFont="1" applyFill="1" applyBorder="1" applyAlignment="1">
      <alignment horizontal="center"/>
    </xf>
    <xf numFmtId="164" fontId="2" fillId="2" borderId="5" xfId="0" applyNumberFormat="1" applyFont="1" applyFill="1" applyBorder="1" applyAlignment="1">
      <alignment horizontal="center"/>
    </xf>
    <xf numFmtId="164" fontId="14" fillId="6" borderId="5" xfId="1" applyNumberFormat="1" applyFont="1" applyFill="1" applyBorder="1" applyAlignment="1">
      <alignment horizontal="center"/>
    </xf>
    <xf numFmtId="1" fontId="14" fillId="6" borderId="5" xfId="0" applyNumberFormat="1" applyFont="1" applyFill="1" applyBorder="1" applyAlignment="1">
      <alignment horizontal="center"/>
    </xf>
    <xf numFmtId="1" fontId="2" fillId="2" borderId="5" xfId="0" applyNumberFormat="1" applyFont="1" applyFill="1" applyBorder="1" applyAlignment="1">
      <alignment horizontal="center"/>
    </xf>
    <xf numFmtId="164" fontId="2" fillId="2" borderId="5" xfId="1" applyNumberFormat="1" applyFont="1" applyFill="1" applyBorder="1" applyAlignment="1">
      <alignment horizontal="center"/>
    </xf>
    <xf numFmtId="0" fontId="0" fillId="0" borderId="0" xfId="0" applyFill="1" applyBorder="1"/>
    <xf numFmtId="3" fontId="2" fillId="2" borderId="5" xfId="1" applyNumberFormat="1" applyFont="1" applyFill="1" applyBorder="1" applyAlignment="1">
      <alignment horizontal="center"/>
    </xf>
    <xf numFmtId="3" fontId="2" fillId="8" borderId="5" xfId="0" applyNumberFormat="1" applyFont="1" applyFill="1" applyBorder="1" applyAlignment="1">
      <alignment horizontal="center"/>
    </xf>
    <xf numFmtId="164" fontId="14" fillId="6" borderId="5" xfId="0" applyNumberFormat="1" applyFont="1" applyFill="1" applyBorder="1" applyAlignment="1">
      <alignment horizontal="center"/>
    </xf>
    <xf numFmtId="3" fontId="14" fillId="6" borderId="5" xfId="1" applyNumberFormat="1" applyFont="1" applyFill="1" applyBorder="1" applyAlignment="1">
      <alignment horizontal="center"/>
    </xf>
    <xf numFmtId="164" fontId="2" fillId="9" borderId="5" xfId="1" applyNumberFormat="1" applyFont="1" applyFill="1" applyBorder="1" applyAlignment="1">
      <alignment horizontal="center"/>
    </xf>
    <xf numFmtId="0" fontId="0" fillId="0" borderId="0" xfId="0" applyFont="1" applyAlignment="1">
      <alignment horizontal="right"/>
    </xf>
    <xf numFmtId="164" fontId="14" fillId="0" borderId="0" xfId="1" applyNumberFormat="1" applyFont="1" applyFill="1" applyBorder="1" applyAlignment="1">
      <alignment horizontal="center"/>
    </xf>
    <xf numFmtId="3" fontId="14" fillId="0" borderId="0" xfId="1" applyNumberFormat="1" applyFont="1" applyFill="1" applyBorder="1" applyAlignment="1">
      <alignment horizontal="center"/>
    </xf>
    <xf numFmtId="1" fontId="0" fillId="10" borderId="0" xfId="0" applyNumberFormat="1" applyFill="1" applyAlignment="1">
      <alignment horizontal="center"/>
    </xf>
    <xf numFmtId="1" fontId="0" fillId="11" borderId="0" xfId="0" applyNumberFormat="1" applyFill="1" applyAlignment="1">
      <alignment horizontal="center"/>
    </xf>
    <xf numFmtId="0" fontId="2" fillId="0" borderId="0" xfId="0" applyFont="1" applyFill="1" applyBorder="1" applyAlignment="1">
      <alignment horizontal="center"/>
    </xf>
    <xf numFmtId="0" fontId="14" fillId="0" borderId="0" xfId="0" applyFont="1" applyFill="1" applyBorder="1" applyAlignment="1">
      <alignment horizontal="center"/>
    </xf>
    <xf numFmtId="0" fontId="3" fillId="3" borderId="5" xfId="0" applyFont="1" applyFill="1" applyBorder="1" applyAlignment="1">
      <alignment horizontal="center"/>
    </xf>
    <xf numFmtId="0" fontId="2" fillId="12" borderId="0" xfId="0" applyFont="1" applyFill="1" applyBorder="1" applyAlignment="1"/>
    <xf numFmtId="0" fontId="0" fillId="12" borderId="0" xfId="0" applyFont="1" applyFill="1" applyBorder="1"/>
    <xf numFmtId="3" fontId="2" fillId="12" borderId="0" xfId="0" applyNumberFormat="1" applyFont="1" applyFill="1" applyBorder="1" applyAlignment="1">
      <alignment horizontal="center"/>
    </xf>
    <xf numFmtId="3" fontId="14" fillId="12" borderId="0" xfId="0" applyNumberFormat="1" applyFont="1" applyFill="1" applyBorder="1" applyAlignment="1">
      <alignment horizontal="center"/>
    </xf>
    <xf numFmtId="2" fontId="2" fillId="12" borderId="0" xfId="0" applyNumberFormat="1" applyFont="1" applyFill="1" applyBorder="1" applyAlignment="1"/>
    <xf numFmtId="164" fontId="2" fillId="12" borderId="0" xfId="0" applyNumberFormat="1" applyFont="1" applyFill="1" applyBorder="1" applyAlignment="1">
      <alignment horizontal="center"/>
    </xf>
    <xf numFmtId="164" fontId="14" fillId="12" borderId="0" xfId="0" applyNumberFormat="1" applyFont="1" applyFill="1" applyBorder="1" applyAlignment="1">
      <alignment horizontal="center"/>
    </xf>
    <xf numFmtId="0" fontId="0" fillId="12" borderId="0" xfId="0" applyFill="1" applyBorder="1"/>
    <xf numFmtId="1" fontId="2" fillId="12" borderId="0" xfId="0" applyNumberFormat="1" applyFont="1" applyFill="1" applyBorder="1" applyAlignment="1">
      <alignment horizontal="center"/>
    </xf>
    <xf numFmtId="3" fontId="3" fillId="12" borderId="0" xfId="1" applyNumberFormat="1" applyFont="1" applyFill="1" applyBorder="1" applyAlignment="1">
      <alignment horizontal="center"/>
    </xf>
    <xf numFmtId="3" fontId="3" fillId="3" borderId="5" xfId="1" applyNumberFormat="1" applyFont="1" applyFill="1" applyBorder="1" applyAlignment="1">
      <alignment horizontal="center"/>
    </xf>
    <xf numFmtId="0" fontId="2" fillId="12" borderId="0" xfId="0" applyFont="1" applyFill="1" applyBorder="1" applyAlignment="1">
      <alignment horizontal="center"/>
    </xf>
    <xf numFmtId="3" fontId="2" fillId="12" borderId="0" xfId="0" applyNumberFormat="1" applyFont="1" applyFill="1" applyBorder="1" applyAlignment="1"/>
    <xf numFmtId="1" fontId="14" fillId="12" borderId="0" xfId="0" applyNumberFormat="1" applyFont="1" applyFill="1" applyBorder="1" applyAlignment="1">
      <alignment horizontal="center"/>
    </xf>
    <xf numFmtId="164" fontId="2" fillId="12" borderId="0" xfId="1" applyNumberFormat="1" applyFont="1" applyFill="1" applyBorder="1" applyAlignment="1">
      <alignment horizontal="center"/>
    </xf>
    <xf numFmtId="164" fontId="14" fillId="12" borderId="0" xfId="1" applyNumberFormat="1" applyFont="1" applyFill="1" applyBorder="1" applyAlignment="1">
      <alignment horizontal="center"/>
    </xf>
    <xf numFmtId="1" fontId="15" fillId="12" borderId="0" xfId="0" applyNumberFormat="1" applyFont="1" applyFill="1" applyBorder="1" applyAlignment="1">
      <alignment horizontal="center"/>
    </xf>
    <xf numFmtId="1" fontId="15" fillId="2" borderId="5" xfId="0" applyNumberFormat="1" applyFont="1" applyFill="1" applyBorder="1" applyAlignment="1">
      <alignment horizontal="center"/>
    </xf>
    <xf numFmtId="164" fontId="2" fillId="0" borderId="0" xfId="1" applyNumberFormat="1" applyFont="1" applyFill="1" applyBorder="1" applyAlignment="1">
      <alignment horizontal="center"/>
    </xf>
    <xf numFmtId="1" fontId="2" fillId="0" borderId="0" xfId="0" applyNumberFormat="1" applyFont="1" applyFill="1" applyBorder="1" applyAlignment="1">
      <alignment horizontal="center"/>
    </xf>
    <xf numFmtId="1" fontId="14" fillId="0" borderId="0" xfId="0" applyNumberFormat="1" applyFont="1" applyFill="1" applyBorder="1" applyAlignment="1">
      <alignment horizontal="center"/>
    </xf>
    <xf numFmtId="3" fontId="2" fillId="0" borderId="0" xfId="1" applyNumberFormat="1" applyFont="1" applyFill="1" applyBorder="1" applyAlignment="1">
      <alignment horizontal="center"/>
    </xf>
    <xf numFmtId="3" fontId="2" fillId="2" borderId="5" xfId="0" applyNumberFormat="1"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5" xfId="0" applyNumberFormat="1" applyFont="1" applyFill="1" applyBorder="1" applyAlignment="1">
      <alignment horizontal="center"/>
    </xf>
    <xf numFmtId="0" fontId="0" fillId="0" borderId="0" xfId="0" applyFill="1" applyAlignment="1">
      <alignment horizontal="left"/>
    </xf>
    <xf numFmtId="0" fontId="7" fillId="0" borderId="0" xfId="0" applyFont="1" applyAlignment="1">
      <alignment horizontal="left" vertical="top" wrapText="1"/>
    </xf>
    <xf numFmtId="0" fontId="0" fillId="3" borderId="0" xfId="0" applyFill="1" applyAlignment="1">
      <alignment horizontal="left" vertical="center" wrapText="1"/>
    </xf>
    <xf numFmtId="0" fontId="6" fillId="7" borderId="0" xfId="0" applyFont="1" applyFill="1" applyAlignment="1">
      <alignment horizontal="center" vertical="center" textRotation="90"/>
    </xf>
    <xf numFmtId="0" fontId="8" fillId="0" borderId="0" xfId="0" applyFont="1" applyAlignment="1">
      <alignment horizontal="left" vertical="top" wrapText="1"/>
    </xf>
    <xf numFmtId="0" fontId="3" fillId="3" borderId="5" xfId="0" applyFont="1" applyFill="1" applyBorder="1" applyAlignment="1">
      <alignment horizontal="center"/>
    </xf>
    <xf numFmtId="0" fontId="0" fillId="2" borderId="5"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3" fillId="3" borderId="4" xfId="0" applyFont="1" applyFill="1" applyBorder="1" applyAlignment="1">
      <alignment horizontal="center"/>
    </xf>
    <xf numFmtId="0" fontId="0" fillId="2" borderId="2" xfId="0" applyFont="1" applyFill="1" applyBorder="1" applyAlignment="1">
      <alignment horizontal="center"/>
    </xf>
    <xf numFmtId="0" fontId="0" fillId="2" borderId="3" xfId="0" applyFont="1" applyFill="1" applyBorder="1" applyAlignment="1">
      <alignment horizontal="center"/>
    </xf>
    <xf numFmtId="0" fontId="2" fillId="2" borderId="5" xfId="0" applyFont="1" applyFill="1" applyBorder="1" applyAlignment="1">
      <alignment horizontal="center"/>
    </xf>
    <xf numFmtId="3" fontId="2" fillId="2" borderId="5" xfId="0" applyNumberFormat="1" applyFont="1" applyFill="1" applyBorder="1" applyAlignment="1">
      <alignment horizontal="center"/>
    </xf>
    <xf numFmtId="3" fontId="2" fillId="2" borderId="6" xfId="0" applyNumberFormat="1" applyFont="1" applyFill="1" applyBorder="1" applyAlignment="1">
      <alignment horizontal="center"/>
    </xf>
    <xf numFmtId="3" fontId="2" fillId="2" borderId="7" xfId="0" applyNumberFormat="1" applyFont="1" applyFill="1" applyBorder="1" applyAlignment="1">
      <alignment horizontal="center"/>
    </xf>
    <xf numFmtId="3" fontId="2" fillId="2" borderId="8" xfId="0" applyNumberFormat="1" applyFont="1" applyFill="1" applyBorder="1" applyAlignment="1">
      <alignment horizontal="center"/>
    </xf>
    <xf numFmtId="0" fontId="4" fillId="0" borderId="0" xfId="0" applyFont="1" applyAlignment="1">
      <alignment horizontal="center"/>
    </xf>
    <xf numFmtId="2" fontId="2" fillId="2" borderId="5" xfId="0" applyNumberFormat="1" applyFont="1" applyFill="1" applyBorder="1" applyAlignment="1">
      <alignment horizontal="center"/>
    </xf>
    <xf numFmtId="0" fontId="2" fillId="5" borderId="0" xfId="0" applyFont="1" applyFill="1" applyAlignment="1">
      <alignment horizontal="center"/>
    </xf>
    <xf numFmtId="0" fontId="2" fillId="5" borderId="0" xfId="0" applyFont="1" applyFill="1" applyAlignment="1">
      <alignment horizontal="center" vertical="top"/>
    </xf>
    <xf numFmtId="0" fontId="0" fillId="0" borderId="0" xfId="0" applyAlignment="1">
      <alignment horizontal="center"/>
    </xf>
    <xf numFmtId="0" fontId="2" fillId="4" borderId="0" xfId="0" applyFont="1" applyFill="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CED8DD"/>
      <color rgb="FF9DA6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3.xml"/><Relationship Id="rId117" Type="http://schemas.openxmlformats.org/officeDocument/2006/relationships/customXml" Target="../customXml/item56.xml"/><Relationship Id="rId21" Type="http://schemas.openxmlformats.org/officeDocument/2006/relationships/pivotCacheDefinition" Target="pivotCache/pivotCacheDefinition8.xml"/><Relationship Id="rId42" Type="http://schemas.openxmlformats.org/officeDocument/2006/relationships/pivotCacheDefinition" Target="pivotCache/pivotCacheDefinition29.xml"/><Relationship Id="rId47" Type="http://schemas.openxmlformats.org/officeDocument/2006/relationships/pivotCacheDefinition" Target="pivotCache/pivotCacheDefinition34.xml"/><Relationship Id="rId63" Type="http://schemas.openxmlformats.org/officeDocument/2006/relationships/customXml" Target="../customXml/item2.xml"/><Relationship Id="rId68" Type="http://schemas.openxmlformats.org/officeDocument/2006/relationships/customXml" Target="../customXml/item7.xml"/><Relationship Id="rId84" Type="http://schemas.openxmlformats.org/officeDocument/2006/relationships/customXml" Target="../customXml/item23.xml"/><Relationship Id="rId89" Type="http://schemas.openxmlformats.org/officeDocument/2006/relationships/customXml" Target="../customXml/item28.xml"/><Relationship Id="rId112" Type="http://schemas.openxmlformats.org/officeDocument/2006/relationships/customXml" Target="../customXml/item51.xml"/><Relationship Id="rId16" Type="http://schemas.openxmlformats.org/officeDocument/2006/relationships/pivotCacheDefinition" Target="pivotCache/pivotCacheDefinition3.xml"/><Relationship Id="rId107" Type="http://schemas.openxmlformats.org/officeDocument/2006/relationships/customXml" Target="../customXml/item46.xml"/><Relationship Id="rId11" Type="http://schemas.openxmlformats.org/officeDocument/2006/relationships/worksheet" Target="worksheets/sheet11.xml"/><Relationship Id="rId32" Type="http://schemas.openxmlformats.org/officeDocument/2006/relationships/pivotCacheDefinition" Target="pivotCache/pivotCacheDefinition19.xml"/><Relationship Id="rId37" Type="http://schemas.openxmlformats.org/officeDocument/2006/relationships/pivotCacheDefinition" Target="pivotCache/pivotCacheDefinition24.xml"/><Relationship Id="rId53" Type="http://schemas.openxmlformats.org/officeDocument/2006/relationships/pivotCacheDefinition" Target="pivotCache/pivotCacheDefinition40.xml"/><Relationship Id="rId58" Type="http://schemas.openxmlformats.org/officeDocument/2006/relationships/sharedStrings" Target="sharedStrings.xml"/><Relationship Id="rId74" Type="http://schemas.openxmlformats.org/officeDocument/2006/relationships/customXml" Target="../customXml/item13.xml"/><Relationship Id="rId79" Type="http://schemas.openxmlformats.org/officeDocument/2006/relationships/customXml" Target="../customXml/item18.xml"/><Relationship Id="rId102" Type="http://schemas.openxmlformats.org/officeDocument/2006/relationships/customXml" Target="../customXml/item41.xml"/><Relationship Id="rId123" Type="http://schemas.openxmlformats.org/officeDocument/2006/relationships/customXml" Target="../customXml/item62.xml"/><Relationship Id="rId128" Type="http://schemas.openxmlformats.org/officeDocument/2006/relationships/customXml" Target="../customXml/item67.xml"/><Relationship Id="rId5" Type="http://schemas.openxmlformats.org/officeDocument/2006/relationships/worksheet" Target="worksheets/sheet5.xml"/><Relationship Id="rId90" Type="http://schemas.openxmlformats.org/officeDocument/2006/relationships/customXml" Target="../customXml/item29.xml"/><Relationship Id="rId95" Type="http://schemas.openxmlformats.org/officeDocument/2006/relationships/customXml" Target="../customXml/item34.xml"/><Relationship Id="rId19" Type="http://schemas.openxmlformats.org/officeDocument/2006/relationships/pivotCacheDefinition" Target="pivotCache/pivotCacheDefinition6.xml"/><Relationship Id="rId14" Type="http://schemas.openxmlformats.org/officeDocument/2006/relationships/pivotCacheDefinition" Target="pivotCache/pivotCacheDefinition1.xml"/><Relationship Id="rId22" Type="http://schemas.openxmlformats.org/officeDocument/2006/relationships/pivotCacheDefinition" Target="pivotCache/pivotCacheDefinition9.xml"/><Relationship Id="rId27" Type="http://schemas.openxmlformats.org/officeDocument/2006/relationships/pivotCacheDefinition" Target="pivotCache/pivotCacheDefinition14.xml"/><Relationship Id="rId30" Type="http://schemas.openxmlformats.org/officeDocument/2006/relationships/pivotCacheDefinition" Target="pivotCache/pivotCacheDefinition17.xml"/><Relationship Id="rId35" Type="http://schemas.openxmlformats.org/officeDocument/2006/relationships/pivotCacheDefinition" Target="pivotCache/pivotCacheDefinition22.xml"/><Relationship Id="rId43" Type="http://schemas.openxmlformats.org/officeDocument/2006/relationships/pivotCacheDefinition" Target="pivotCache/pivotCacheDefinition30.xml"/><Relationship Id="rId48" Type="http://schemas.openxmlformats.org/officeDocument/2006/relationships/pivotCacheDefinition" Target="pivotCache/pivotCacheDefinition35.xml"/><Relationship Id="rId56" Type="http://schemas.openxmlformats.org/officeDocument/2006/relationships/connections" Target="connections.xml"/><Relationship Id="rId64" Type="http://schemas.openxmlformats.org/officeDocument/2006/relationships/customXml" Target="../customXml/item3.xml"/><Relationship Id="rId69" Type="http://schemas.openxmlformats.org/officeDocument/2006/relationships/customXml" Target="../customXml/item8.xml"/><Relationship Id="rId77" Type="http://schemas.openxmlformats.org/officeDocument/2006/relationships/customXml" Target="../customXml/item16.xml"/><Relationship Id="rId100" Type="http://schemas.openxmlformats.org/officeDocument/2006/relationships/customXml" Target="../customXml/item39.xml"/><Relationship Id="rId105" Type="http://schemas.openxmlformats.org/officeDocument/2006/relationships/customXml" Target="../customXml/item44.xml"/><Relationship Id="rId113" Type="http://schemas.openxmlformats.org/officeDocument/2006/relationships/customXml" Target="../customXml/item52.xml"/><Relationship Id="rId118" Type="http://schemas.openxmlformats.org/officeDocument/2006/relationships/customXml" Target="../customXml/item57.xml"/><Relationship Id="rId126" Type="http://schemas.openxmlformats.org/officeDocument/2006/relationships/customXml" Target="../customXml/item65.xml"/><Relationship Id="rId8" Type="http://schemas.openxmlformats.org/officeDocument/2006/relationships/worksheet" Target="worksheets/sheet8.xml"/><Relationship Id="rId51" Type="http://schemas.openxmlformats.org/officeDocument/2006/relationships/pivotCacheDefinition" Target="pivotCache/pivotCacheDefinition38.xml"/><Relationship Id="rId72" Type="http://schemas.openxmlformats.org/officeDocument/2006/relationships/customXml" Target="../customXml/item11.xml"/><Relationship Id="rId80" Type="http://schemas.openxmlformats.org/officeDocument/2006/relationships/customXml" Target="../customXml/item19.xml"/><Relationship Id="rId85" Type="http://schemas.openxmlformats.org/officeDocument/2006/relationships/customXml" Target="../customXml/item24.xml"/><Relationship Id="rId93" Type="http://schemas.openxmlformats.org/officeDocument/2006/relationships/customXml" Target="../customXml/item32.xml"/><Relationship Id="rId98" Type="http://schemas.openxmlformats.org/officeDocument/2006/relationships/customXml" Target="../customXml/item37.xml"/><Relationship Id="rId121" Type="http://schemas.openxmlformats.org/officeDocument/2006/relationships/customXml" Target="../customXml/item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4.xml"/><Relationship Id="rId25" Type="http://schemas.openxmlformats.org/officeDocument/2006/relationships/pivotCacheDefinition" Target="pivotCache/pivotCacheDefinition12.xml"/><Relationship Id="rId33" Type="http://schemas.openxmlformats.org/officeDocument/2006/relationships/pivotCacheDefinition" Target="pivotCache/pivotCacheDefinition20.xml"/><Relationship Id="rId38" Type="http://schemas.openxmlformats.org/officeDocument/2006/relationships/pivotCacheDefinition" Target="pivotCache/pivotCacheDefinition25.xml"/><Relationship Id="rId46" Type="http://schemas.openxmlformats.org/officeDocument/2006/relationships/pivotCacheDefinition" Target="pivotCache/pivotCacheDefinition33.xml"/><Relationship Id="rId59" Type="http://schemas.openxmlformats.org/officeDocument/2006/relationships/sheetMetadata" Target="metadata.xml"/><Relationship Id="rId67" Type="http://schemas.openxmlformats.org/officeDocument/2006/relationships/customXml" Target="../customXml/item6.xml"/><Relationship Id="rId103" Type="http://schemas.openxmlformats.org/officeDocument/2006/relationships/customXml" Target="../customXml/item42.xml"/><Relationship Id="rId108" Type="http://schemas.openxmlformats.org/officeDocument/2006/relationships/customXml" Target="../customXml/item47.xml"/><Relationship Id="rId116" Type="http://schemas.openxmlformats.org/officeDocument/2006/relationships/customXml" Target="../customXml/item55.xml"/><Relationship Id="rId124" Type="http://schemas.openxmlformats.org/officeDocument/2006/relationships/customXml" Target="../customXml/item63.xml"/><Relationship Id="rId129" Type="http://schemas.openxmlformats.org/officeDocument/2006/relationships/customXml" Target="../customXml/item68.xml"/><Relationship Id="rId20" Type="http://schemas.openxmlformats.org/officeDocument/2006/relationships/pivotCacheDefinition" Target="pivotCache/pivotCacheDefinition7.xml"/><Relationship Id="rId41" Type="http://schemas.openxmlformats.org/officeDocument/2006/relationships/pivotCacheDefinition" Target="pivotCache/pivotCacheDefinition28.xml"/><Relationship Id="rId54" Type="http://schemas.openxmlformats.org/officeDocument/2006/relationships/pivotCacheDefinition" Target="pivotCache/pivotCacheDefinition41.xml"/><Relationship Id="rId62" Type="http://schemas.openxmlformats.org/officeDocument/2006/relationships/customXml" Target="../customXml/item1.xml"/><Relationship Id="rId70" Type="http://schemas.openxmlformats.org/officeDocument/2006/relationships/customXml" Target="../customXml/item9.xml"/><Relationship Id="rId75" Type="http://schemas.openxmlformats.org/officeDocument/2006/relationships/customXml" Target="../customXml/item14.xml"/><Relationship Id="rId83" Type="http://schemas.openxmlformats.org/officeDocument/2006/relationships/customXml" Target="../customXml/item22.xml"/><Relationship Id="rId88" Type="http://schemas.openxmlformats.org/officeDocument/2006/relationships/customXml" Target="../customXml/item27.xml"/><Relationship Id="rId91" Type="http://schemas.openxmlformats.org/officeDocument/2006/relationships/customXml" Target="../customXml/item30.xml"/><Relationship Id="rId96" Type="http://schemas.openxmlformats.org/officeDocument/2006/relationships/customXml" Target="../customXml/item35.xml"/><Relationship Id="rId111" Type="http://schemas.openxmlformats.org/officeDocument/2006/relationships/customXml" Target="../customXml/item5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2.xml"/><Relationship Id="rId23" Type="http://schemas.openxmlformats.org/officeDocument/2006/relationships/pivotCacheDefinition" Target="pivotCache/pivotCacheDefinition10.xml"/><Relationship Id="rId28" Type="http://schemas.openxmlformats.org/officeDocument/2006/relationships/pivotCacheDefinition" Target="pivotCache/pivotCacheDefinition15.xml"/><Relationship Id="rId36" Type="http://schemas.openxmlformats.org/officeDocument/2006/relationships/pivotCacheDefinition" Target="pivotCache/pivotCacheDefinition23.xml"/><Relationship Id="rId49" Type="http://schemas.openxmlformats.org/officeDocument/2006/relationships/pivotCacheDefinition" Target="pivotCache/pivotCacheDefinition36.xml"/><Relationship Id="rId57" Type="http://schemas.openxmlformats.org/officeDocument/2006/relationships/styles" Target="styles.xml"/><Relationship Id="rId106" Type="http://schemas.openxmlformats.org/officeDocument/2006/relationships/customXml" Target="../customXml/item45.xml"/><Relationship Id="rId114" Type="http://schemas.openxmlformats.org/officeDocument/2006/relationships/customXml" Target="../customXml/item53.xml"/><Relationship Id="rId119" Type="http://schemas.openxmlformats.org/officeDocument/2006/relationships/customXml" Target="../customXml/item58.xml"/><Relationship Id="rId127" Type="http://schemas.openxmlformats.org/officeDocument/2006/relationships/customXml" Target="../customXml/item66.xml"/><Relationship Id="rId10" Type="http://schemas.openxmlformats.org/officeDocument/2006/relationships/worksheet" Target="worksheets/sheet10.xml"/><Relationship Id="rId31" Type="http://schemas.openxmlformats.org/officeDocument/2006/relationships/pivotCacheDefinition" Target="pivotCache/pivotCacheDefinition18.xml"/><Relationship Id="rId44" Type="http://schemas.openxmlformats.org/officeDocument/2006/relationships/pivotCacheDefinition" Target="pivotCache/pivotCacheDefinition31.xml"/><Relationship Id="rId52" Type="http://schemas.openxmlformats.org/officeDocument/2006/relationships/pivotCacheDefinition" Target="pivotCache/pivotCacheDefinition39.xml"/><Relationship Id="rId60" Type="http://schemas.microsoft.com/office/2007/relationships/customDataProps" Target="customData/itemProps1.xml"/><Relationship Id="rId65" Type="http://schemas.openxmlformats.org/officeDocument/2006/relationships/customXml" Target="../customXml/item4.xml"/><Relationship Id="rId73" Type="http://schemas.openxmlformats.org/officeDocument/2006/relationships/customXml" Target="../customXml/item12.xml"/><Relationship Id="rId78" Type="http://schemas.openxmlformats.org/officeDocument/2006/relationships/customXml" Target="../customXml/item17.xml"/><Relationship Id="rId81" Type="http://schemas.openxmlformats.org/officeDocument/2006/relationships/customXml" Target="../customXml/item20.xml"/><Relationship Id="rId86" Type="http://schemas.openxmlformats.org/officeDocument/2006/relationships/customXml" Target="../customXml/item25.xml"/><Relationship Id="rId94" Type="http://schemas.openxmlformats.org/officeDocument/2006/relationships/customXml" Target="../customXml/item33.xml"/><Relationship Id="rId99" Type="http://schemas.openxmlformats.org/officeDocument/2006/relationships/customXml" Target="../customXml/item38.xml"/><Relationship Id="rId101" Type="http://schemas.openxmlformats.org/officeDocument/2006/relationships/customXml" Target="../customXml/item40.xml"/><Relationship Id="rId122" Type="http://schemas.openxmlformats.org/officeDocument/2006/relationships/customXml" Target="../customXml/item61.xml"/><Relationship Id="rId130" Type="http://schemas.openxmlformats.org/officeDocument/2006/relationships/customXml" Target="../customXml/item6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5.xml"/><Relationship Id="rId39" Type="http://schemas.openxmlformats.org/officeDocument/2006/relationships/pivotCacheDefinition" Target="pivotCache/pivotCacheDefinition26.xml"/><Relationship Id="rId109" Type="http://schemas.openxmlformats.org/officeDocument/2006/relationships/customXml" Target="../customXml/item48.xml"/><Relationship Id="rId34" Type="http://schemas.openxmlformats.org/officeDocument/2006/relationships/pivotCacheDefinition" Target="pivotCache/pivotCacheDefinition21.xml"/><Relationship Id="rId50" Type="http://schemas.openxmlformats.org/officeDocument/2006/relationships/pivotCacheDefinition" Target="pivotCache/pivotCacheDefinition37.xml"/><Relationship Id="rId55" Type="http://schemas.openxmlformats.org/officeDocument/2006/relationships/theme" Target="theme/theme1.xml"/><Relationship Id="rId76" Type="http://schemas.openxmlformats.org/officeDocument/2006/relationships/customXml" Target="../customXml/item15.xml"/><Relationship Id="rId97" Type="http://schemas.openxmlformats.org/officeDocument/2006/relationships/customXml" Target="../customXml/item36.xml"/><Relationship Id="rId104" Type="http://schemas.openxmlformats.org/officeDocument/2006/relationships/customXml" Target="../customXml/item43.xml"/><Relationship Id="rId120" Type="http://schemas.openxmlformats.org/officeDocument/2006/relationships/customXml" Target="../customXml/item59.xml"/><Relationship Id="rId125" Type="http://schemas.openxmlformats.org/officeDocument/2006/relationships/customXml" Target="../customXml/item64.xml"/><Relationship Id="rId7" Type="http://schemas.openxmlformats.org/officeDocument/2006/relationships/worksheet" Target="worksheets/sheet7.xml"/><Relationship Id="rId71" Type="http://schemas.openxmlformats.org/officeDocument/2006/relationships/customXml" Target="../customXml/item10.xml"/><Relationship Id="rId92" Type="http://schemas.openxmlformats.org/officeDocument/2006/relationships/customXml" Target="../customXml/item31.xml"/><Relationship Id="rId2" Type="http://schemas.openxmlformats.org/officeDocument/2006/relationships/worksheet" Target="worksheets/sheet2.xml"/><Relationship Id="rId29" Type="http://schemas.openxmlformats.org/officeDocument/2006/relationships/pivotCacheDefinition" Target="pivotCache/pivotCacheDefinition16.xml"/><Relationship Id="rId24" Type="http://schemas.openxmlformats.org/officeDocument/2006/relationships/pivotCacheDefinition" Target="pivotCache/pivotCacheDefinition11.xml"/><Relationship Id="rId40" Type="http://schemas.openxmlformats.org/officeDocument/2006/relationships/pivotCacheDefinition" Target="pivotCache/pivotCacheDefinition27.xml"/><Relationship Id="rId45" Type="http://schemas.openxmlformats.org/officeDocument/2006/relationships/pivotCacheDefinition" Target="pivotCache/pivotCacheDefinition32.xml"/><Relationship Id="rId66" Type="http://schemas.openxmlformats.org/officeDocument/2006/relationships/customXml" Target="../customXml/item5.xml"/><Relationship Id="rId87" Type="http://schemas.openxmlformats.org/officeDocument/2006/relationships/customXml" Target="../customXml/item26.xml"/><Relationship Id="rId110" Type="http://schemas.openxmlformats.org/officeDocument/2006/relationships/customXml" Target="../customXml/item49.xml"/><Relationship Id="rId115" Type="http://schemas.openxmlformats.org/officeDocument/2006/relationships/customXml" Target="../customXml/item54.xml"/><Relationship Id="rId131" Type="http://schemas.openxmlformats.org/officeDocument/2006/relationships/customXml" Target="../customXml/item70.xml"/><Relationship Id="rId61" Type="http://schemas.openxmlformats.org/officeDocument/2006/relationships/calcChain" Target="calcChain.xml"/><Relationship Id="rId82" Type="http://schemas.openxmlformats.org/officeDocument/2006/relationships/customXml" Target="../customXml/item2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solidFill>
              <a:srgbClr val="C00848"/>
            </a:solidFill>
            <a:ln w="19050"/>
          </c:spPr>
          <c:invertIfNegative val="0"/>
          <c:val>
            <c:numRef>
              <c:f>Summary!$D$8:$Q$8</c:f>
              <c:numCache>
                <c:formatCode>General</c:formatCode>
                <c:ptCount val="14"/>
                <c:pt idx="0">
                  <c:v>25</c:v>
                </c:pt>
                <c:pt idx="1">
                  <c:v>30</c:v>
                </c:pt>
                <c:pt idx="2">
                  <c:v>15</c:v>
                </c:pt>
                <c:pt idx="3">
                  <c:v>17</c:v>
                </c:pt>
                <c:pt idx="4">
                  <c:v>17</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539096960"/>
        <c:axId val="539103232"/>
      </c:barChart>
      <c:lineChart>
        <c:grouping val="standard"/>
        <c:varyColors val="0"/>
        <c:ser>
          <c:idx val="0"/>
          <c:order val="0"/>
          <c:tx>
            <c:strRef>
              <c:f>Summary!$C$6</c:f>
              <c:strCache>
                <c:ptCount val="1"/>
                <c:pt idx="0">
                  <c:v>17/18</c:v>
                </c:pt>
              </c:strCache>
            </c:strRef>
          </c:tx>
          <c:spPr>
            <a:ln w="19050">
              <a:solidFill>
                <a:srgbClr val="9DA6AB"/>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539096960"/>
        <c:axId val="539103232"/>
      </c:lineChart>
      <c:catAx>
        <c:axId val="53909696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9103232"/>
        <c:crosses val="autoZero"/>
        <c:auto val="1"/>
        <c:lblAlgn val="ctr"/>
        <c:lblOffset val="100"/>
        <c:noMultiLvlLbl val="0"/>
      </c:catAx>
      <c:valAx>
        <c:axId val="539103232"/>
        <c:scaling>
          <c:orientation val="minMax"/>
        </c:scaling>
        <c:delete val="0"/>
        <c:axPos val="l"/>
        <c:numFmt formatCode="General" sourceLinked="1"/>
        <c:majorTickMark val="out"/>
        <c:minorTickMark val="none"/>
        <c:tickLblPos val="nextTo"/>
        <c:spPr>
          <a:ln w="50800">
            <a:solidFill>
              <a:srgbClr val="CED8DD"/>
            </a:solidFill>
          </a:ln>
        </c:spPr>
        <c:txPr>
          <a:bodyPr/>
          <a:lstStyle/>
          <a:p>
            <a:pPr>
              <a:defRPr sz="800" b="1"/>
            </a:pPr>
            <a:endParaRPr lang="en-US"/>
          </a:p>
        </c:txPr>
        <c:crossAx val="539096960"/>
        <c:crosses val="autoZero"/>
        <c:crossBetween val="between"/>
      </c:valAx>
    </c:plotArea>
    <c:legend>
      <c:legendPos val="r"/>
      <c:layout>
        <c:manualLayout>
          <c:xMode val="edge"/>
          <c:yMode val="edge"/>
          <c:x val="0.6985136111111111"/>
          <c:y val="5.8933888888888883E-2"/>
          <c:w val="0.2562402777777778"/>
          <c:h val="0.15891833333333333"/>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0"/>
          <c:tx>
            <c:strRef>
              <c:f>Summary!$C$190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Summary!$D$190:$Q$190</c:f>
              <c:numCache>
                <c:formatCode>#,##0</c:formatCode>
                <c:ptCount val="14"/>
                <c:pt idx="0">
                  <c:v>97472</c:v>
                </c:pt>
                <c:pt idx="1">
                  <c:v>96284</c:v>
                </c:pt>
                <c:pt idx="2">
                  <c:v>99091</c:v>
                </c:pt>
                <c:pt idx="3">
                  <c:v>99156</c:v>
                </c:pt>
                <c:pt idx="4">
                  <c:v>101949</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539189632"/>
        <c:axId val="539191552"/>
      </c:barChart>
      <c:lineChart>
        <c:grouping val="standard"/>
        <c:varyColors val="0"/>
        <c:ser>
          <c:idx val="0"/>
          <c:order val="1"/>
          <c:tx>
            <c:strRef>
              <c:f>Summary!$C$188</c:f>
              <c:strCache>
                <c:ptCount val="1"/>
                <c:pt idx="0">
                  <c:v>17/18</c:v>
                </c:pt>
              </c:strCache>
            </c:strRef>
          </c:tx>
          <c:spPr>
            <a:ln w="19050">
              <a:solidFill>
                <a:srgbClr val="9DA6AB"/>
              </a:solidFill>
              <a:prstDash val="sysDot"/>
            </a:ln>
          </c:spPr>
          <c:marker>
            <c:symbol val="none"/>
          </c:marker>
          <c:val>
            <c:numRef>
              <c:f>Summary!$D$188:$P$188</c:f>
              <c:numCache>
                <c:formatCode>#,##0</c:formatCode>
                <c:ptCount val="13"/>
                <c:pt idx="0">
                  <c:v>94584</c:v>
                </c:pt>
                <c:pt idx="1">
                  <c:v>95392</c:v>
                </c:pt>
                <c:pt idx="2">
                  <c:v>95546</c:v>
                </c:pt>
                <c:pt idx="3">
                  <c:v>97706</c:v>
                </c:pt>
                <c:pt idx="4">
                  <c:v>97072</c:v>
                </c:pt>
                <c:pt idx="5">
                  <c:v>93351</c:v>
                </c:pt>
                <c:pt idx="6">
                  <c:v>91968</c:v>
                </c:pt>
                <c:pt idx="7">
                  <c:v>93301</c:v>
                </c:pt>
                <c:pt idx="8">
                  <c:v>93460</c:v>
                </c:pt>
                <c:pt idx="9">
                  <c:v>92915</c:v>
                </c:pt>
                <c:pt idx="10">
                  <c:v>93201</c:v>
                </c:pt>
                <c:pt idx="11">
                  <c:v>93456</c:v>
                </c:pt>
                <c:pt idx="12">
                  <c:v>90799</c:v>
                </c:pt>
              </c:numCache>
            </c:numRef>
          </c:val>
          <c:smooth val="0"/>
        </c:ser>
        <c:dLbls>
          <c:showLegendKey val="0"/>
          <c:showVal val="0"/>
          <c:showCatName val="0"/>
          <c:showSerName val="0"/>
          <c:showPercent val="0"/>
          <c:showBubbleSize val="0"/>
        </c:dLbls>
        <c:marker val="1"/>
        <c:smooth val="0"/>
        <c:axId val="539189632"/>
        <c:axId val="539191552"/>
      </c:lineChart>
      <c:catAx>
        <c:axId val="53918963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9191552"/>
        <c:crosses val="autoZero"/>
        <c:auto val="1"/>
        <c:lblAlgn val="ctr"/>
        <c:lblOffset val="100"/>
        <c:noMultiLvlLbl val="0"/>
      </c:catAx>
      <c:valAx>
        <c:axId val="539191552"/>
        <c:scaling>
          <c:orientation val="minMax"/>
          <c:min val="8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9189632"/>
        <c:crosses val="autoZero"/>
        <c:crossBetween val="between"/>
        <c:majorUnit val="5000"/>
      </c:valAx>
    </c:plotArea>
    <c:legend>
      <c:legendPos val="r"/>
      <c:layout>
        <c:manualLayout>
          <c:xMode val="edge"/>
          <c:yMode val="edge"/>
          <c:x val="0.7584858333333333"/>
          <c:y val="8.0100555555555536E-2"/>
          <c:w val="0.19141722222222221"/>
          <c:h val="0.14818806662449927"/>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371388888888889"/>
          <c:y val="6.2453703703703713E-2"/>
          <c:w val="0.8813563888888889"/>
          <c:h val="0.74377762365196576"/>
        </c:manualLayout>
      </c:layout>
      <c:barChart>
        <c:barDir val="col"/>
        <c:grouping val="clustered"/>
        <c:varyColors val="0"/>
        <c:ser>
          <c:idx val="1"/>
          <c:order val="0"/>
          <c:tx>
            <c:strRef>
              <c:f>Summary!$C$210</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Summary!$D$210:$Q$210</c:f>
              <c:numCache>
                <c:formatCode>0.0%</c:formatCode>
                <c:ptCount val="14"/>
                <c:pt idx="0">
                  <c:v>1.9892892317793828E-2</c:v>
                </c:pt>
                <c:pt idx="1">
                  <c:v>1.5485438909891571E-2</c:v>
                </c:pt>
                <c:pt idx="2">
                  <c:v>1.7599983853225823E-2</c:v>
                </c:pt>
                <c:pt idx="3">
                  <c:v>1.8455766670700716E-2</c:v>
                </c:pt>
                <c:pt idx="4">
                  <c:v>2.9289154381112126E-2</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9508096"/>
        <c:axId val="539510272"/>
      </c:barChart>
      <c:lineChart>
        <c:grouping val="standard"/>
        <c:varyColors val="0"/>
        <c:ser>
          <c:idx val="0"/>
          <c:order val="1"/>
          <c:tx>
            <c:strRef>
              <c:f>Summary!$C$208</c:f>
              <c:strCache>
                <c:ptCount val="1"/>
                <c:pt idx="0">
                  <c:v>17/18</c:v>
                </c:pt>
              </c:strCache>
            </c:strRef>
          </c:tx>
          <c:spPr>
            <a:ln w="19050">
              <a:solidFill>
                <a:srgbClr val="9DA6AB"/>
              </a:solidFill>
              <a:prstDash val="sysDot"/>
            </a:ln>
          </c:spPr>
          <c:marker>
            <c:symbol val="none"/>
          </c:marker>
          <c:val>
            <c:numRef>
              <c:f>Summary!$D$208:$P$208</c:f>
              <c:numCache>
                <c:formatCode>0.0%</c:formatCode>
                <c:ptCount val="13"/>
                <c:pt idx="0">
                  <c:v>2.4708195889368182E-2</c:v>
                </c:pt>
                <c:pt idx="1">
                  <c:v>3.5893995303589402E-2</c:v>
                </c:pt>
                <c:pt idx="2">
                  <c:v>2.5254851066502E-2</c:v>
                </c:pt>
                <c:pt idx="3">
                  <c:v>4.8451476879618448E-2</c:v>
                </c:pt>
                <c:pt idx="4">
                  <c:v>5.2352892698203396E-2</c:v>
                </c:pt>
                <c:pt idx="5">
                  <c:v>2.8066116056603571E-2</c:v>
                </c:pt>
                <c:pt idx="6">
                  <c:v>2.4149704244954766E-2</c:v>
                </c:pt>
                <c:pt idx="7">
                  <c:v>2.2968671289696787E-2</c:v>
                </c:pt>
                <c:pt idx="8">
                  <c:v>2.4802054354804193E-2</c:v>
                </c:pt>
                <c:pt idx="9">
                  <c:v>2.3989667976107194E-2</c:v>
                </c:pt>
                <c:pt idx="10">
                  <c:v>3.1630561903842232E-2</c:v>
                </c:pt>
                <c:pt idx="11">
                  <c:v>3.1E-2</c:v>
                </c:pt>
                <c:pt idx="12">
                  <c:v>2.7786649632705204E-2</c:v>
                </c:pt>
              </c:numCache>
            </c:numRef>
          </c:val>
          <c:smooth val="0"/>
        </c:ser>
        <c:dLbls>
          <c:showLegendKey val="0"/>
          <c:showVal val="0"/>
          <c:showCatName val="0"/>
          <c:showSerName val="0"/>
          <c:showPercent val="0"/>
          <c:showBubbleSize val="0"/>
        </c:dLbls>
        <c:marker val="1"/>
        <c:smooth val="0"/>
        <c:axId val="539508096"/>
        <c:axId val="539510272"/>
      </c:lineChart>
      <c:catAx>
        <c:axId val="539508096"/>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9510272"/>
        <c:crosses val="autoZero"/>
        <c:auto val="1"/>
        <c:lblAlgn val="ctr"/>
        <c:lblOffset val="100"/>
        <c:noMultiLvlLbl val="0"/>
      </c:catAx>
      <c:valAx>
        <c:axId val="539510272"/>
        <c:scaling>
          <c:orientation val="minMax"/>
        </c:scaling>
        <c:delete val="0"/>
        <c:axPos val="l"/>
        <c:numFmt formatCode="0.0%" sourceLinked="0"/>
        <c:majorTickMark val="out"/>
        <c:minorTickMark val="none"/>
        <c:tickLblPos val="nextTo"/>
        <c:spPr>
          <a:ln w="50800">
            <a:solidFill>
              <a:srgbClr val="CED8DD"/>
            </a:solidFill>
          </a:ln>
        </c:spPr>
        <c:txPr>
          <a:bodyPr/>
          <a:lstStyle/>
          <a:p>
            <a:pPr>
              <a:defRPr sz="800" b="1"/>
            </a:pPr>
            <a:endParaRPr lang="en-US"/>
          </a:p>
        </c:txPr>
        <c:crossAx val="539508096"/>
        <c:crosses val="autoZero"/>
        <c:crossBetween val="between"/>
      </c:valAx>
    </c:plotArea>
    <c:legend>
      <c:legendPos val="r"/>
      <c:layout>
        <c:manualLayout>
          <c:xMode val="edge"/>
          <c:yMode val="edge"/>
          <c:x val="0.7584858333333333"/>
          <c:y val="8.0100555555555536E-2"/>
          <c:w val="0.19141722222222221"/>
          <c:h val="0.16113159101329666"/>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Summary!$C$22</c:f>
              <c:strCache>
                <c:ptCount val="1"/>
                <c:pt idx="0">
                  <c:v>18/19</c:v>
                </c:pt>
              </c:strCache>
            </c:strRef>
          </c:tx>
          <c:spPr>
            <a:solidFill>
              <a:srgbClr val="C00848"/>
            </a:solidFill>
          </c:spPr>
          <c:invertIfNegative val="0"/>
          <c:val>
            <c:numRef>
              <c:f>Summary!$D$22:$Q$22</c:f>
              <c:numCache>
                <c:formatCode>#,##0</c:formatCode>
                <c:ptCount val="14"/>
                <c:pt idx="0">
                  <c:v>93649.571428571435</c:v>
                </c:pt>
                <c:pt idx="1">
                  <c:v>93473.142857142855</c:v>
                </c:pt>
                <c:pt idx="2">
                  <c:v>93407.857142857145</c:v>
                </c:pt>
                <c:pt idx="3">
                  <c:v>92975.571428571435</c:v>
                </c:pt>
                <c:pt idx="4">
                  <c:v>93152.428571428565</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9544192"/>
        <c:axId val="539554560"/>
      </c:barChart>
      <c:lineChart>
        <c:grouping val="standard"/>
        <c:varyColors val="0"/>
        <c:ser>
          <c:idx val="0"/>
          <c:order val="0"/>
          <c:tx>
            <c:strRef>
              <c:f>Summary!$C$20</c:f>
              <c:strCache>
                <c:ptCount val="1"/>
                <c:pt idx="0">
                  <c:v>17/18</c:v>
                </c:pt>
              </c:strCache>
            </c:strRef>
          </c:tx>
          <c:spPr>
            <a:ln w="19050">
              <a:solidFill>
                <a:srgbClr val="9DA6AB"/>
              </a:solidFill>
              <a:prstDash val="sysDot"/>
            </a:ln>
          </c:spPr>
          <c:marker>
            <c:symbol val="none"/>
          </c:marker>
          <c:val>
            <c:numRef>
              <c:f>Summary!$D$20:$P$20</c:f>
              <c:numCache>
                <c:formatCode>#,##0</c:formatCode>
                <c:ptCount val="13"/>
                <c:pt idx="0">
                  <c:v>93650.428571428565</c:v>
                </c:pt>
                <c:pt idx="1">
                  <c:v>93161.71428571429</c:v>
                </c:pt>
                <c:pt idx="2">
                  <c:v>92488.71428571429</c:v>
                </c:pt>
                <c:pt idx="3">
                  <c:v>93346.71428571429</c:v>
                </c:pt>
                <c:pt idx="4">
                  <c:v>93925.857142857145</c:v>
                </c:pt>
                <c:pt idx="5">
                  <c:v>94001.571428571435</c:v>
                </c:pt>
                <c:pt idx="6">
                  <c:v>93775.71428571429</c:v>
                </c:pt>
                <c:pt idx="7">
                  <c:v>93805.28571428571</c:v>
                </c:pt>
                <c:pt idx="8">
                  <c:v>94035.71428571429</c:v>
                </c:pt>
                <c:pt idx="9">
                  <c:v>93641</c:v>
                </c:pt>
                <c:pt idx="10">
                  <c:v>93906.571428571435</c:v>
                </c:pt>
                <c:pt idx="11">
                  <c:v>94013.142857142855</c:v>
                </c:pt>
                <c:pt idx="12">
                  <c:v>93559.428571428565</c:v>
                </c:pt>
              </c:numCache>
            </c:numRef>
          </c:val>
          <c:smooth val="0"/>
        </c:ser>
        <c:dLbls>
          <c:showLegendKey val="0"/>
          <c:showVal val="0"/>
          <c:showCatName val="0"/>
          <c:showSerName val="0"/>
          <c:showPercent val="0"/>
          <c:showBubbleSize val="0"/>
        </c:dLbls>
        <c:marker val="1"/>
        <c:smooth val="0"/>
        <c:axId val="539544192"/>
        <c:axId val="539554560"/>
      </c:lineChart>
      <c:catAx>
        <c:axId val="539544192"/>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539554560"/>
        <c:crosses val="autoZero"/>
        <c:auto val="1"/>
        <c:lblAlgn val="ctr"/>
        <c:lblOffset val="100"/>
        <c:noMultiLvlLbl val="0"/>
      </c:catAx>
      <c:valAx>
        <c:axId val="539554560"/>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9544192"/>
        <c:crosses val="autoZero"/>
        <c:crossBetween val="between"/>
      </c:valAx>
    </c:plotArea>
    <c:legend>
      <c:legendPos val="r"/>
      <c:layout>
        <c:manualLayout>
          <c:xMode val="edge"/>
          <c:yMode val="edge"/>
          <c:x val="0.79376361111111116"/>
          <c:y val="0.51754500000000003"/>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082361111111112"/>
          <c:y val="6.2453703703703713E-2"/>
          <c:w val="0.87398333333333333"/>
          <c:h val="0.74377762365196576"/>
        </c:manualLayout>
      </c:layout>
      <c:barChart>
        <c:barDir val="col"/>
        <c:grouping val="clustered"/>
        <c:varyColors val="0"/>
        <c:ser>
          <c:idx val="1"/>
          <c:order val="1"/>
          <c:tx>
            <c:strRef>
              <c:f>Summary!$C$34</c:f>
              <c:strCache>
                <c:ptCount val="1"/>
                <c:pt idx="0">
                  <c:v>18/19</c:v>
                </c:pt>
              </c:strCache>
            </c:strRef>
          </c:tx>
          <c:spPr>
            <a:solidFill>
              <a:srgbClr val="C00848"/>
            </a:solidFill>
          </c:spPr>
          <c:invertIfNegative val="0"/>
          <c:val>
            <c:numRef>
              <c:f>Summary!$D$34:$Q$34</c:f>
              <c:numCache>
                <c:formatCode>#,##0</c:formatCode>
                <c:ptCount val="14"/>
                <c:pt idx="0">
                  <c:v>2399.8571428571427</c:v>
                </c:pt>
                <c:pt idx="1">
                  <c:v>2249.5714285714284</c:v>
                </c:pt>
                <c:pt idx="2">
                  <c:v>1987.4285714285713</c:v>
                </c:pt>
                <c:pt idx="3">
                  <c:v>1727.8571428571429</c:v>
                </c:pt>
                <c:pt idx="4">
                  <c:v>3065.8571428571427</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9981696"/>
        <c:axId val="539996160"/>
      </c:barChart>
      <c:lineChart>
        <c:grouping val="standard"/>
        <c:varyColors val="0"/>
        <c:ser>
          <c:idx val="0"/>
          <c:order val="0"/>
          <c:tx>
            <c:strRef>
              <c:f>Summary!$C$32</c:f>
              <c:strCache>
                <c:ptCount val="1"/>
                <c:pt idx="0">
                  <c:v>17/18</c:v>
                </c:pt>
              </c:strCache>
            </c:strRef>
          </c:tx>
          <c:spPr>
            <a:ln w="19050">
              <a:solidFill>
                <a:srgbClr val="9DA6AB"/>
              </a:solidFill>
              <a:prstDash val="sysDot"/>
            </a:ln>
          </c:spPr>
          <c:marker>
            <c:symbol val="none"/>
          </c:marker>
          <c:val>
            <c:numRef>
              <c:f>Summary!$D$32:$P$32</c:f>
              <c:numCache>
                <c:formatCode>#,##0</c:formatCode>
                <c:ptCount val="13"/>
                <c:pt idx="0">
                  <c:v>2560.2857142857142</c:v>
                </c:pt>
                <c:pt idx="1">
                  <c:v>2922.5714285714284</c:v>
                </c:pt>
                <c:pt idx="2">
                  <c:v>2430.2857142857142</c:v>
                </c:pt>
                <c:pt idx="3">
                  <c:v>2778.7142857142858</c:v>
                </c:pt>
                <c:pt idx="4">
                  <c:v>4699.4285714285716</c:v>
                </c:pt>
                <c:pt idx="5">
                  <c:v>4626</c:v>
                </c:pt>
                <c:pt idx="6">
                  <c:v>4468.1428571428569</c:v>
                </c:pt>
                <c:pt idx="7">
                  <c:v>4527.1428571428569</c:v>
                </c:pt>
                <c:pt idx="8">
                  <c:v>4496.2857142857147</c:v>
                </c:pt>
                <c:pt idx="9">
                  <c:v>4487.4285714285716</c:v>
                </c:pt>
                <c:pt idx="10">
                  <c:v>4614.8571428571431</c:v>
                </c:pt>
                <c:pt idx="11">
                  <c:v>4677.5714285714284</c:v>
                </c:pt>
                <c:pt idx="12">
                  <c:v>4551.2857142857147</c:v>
                </c:pt>
              </c:numCache>
            </c:numRef>
          </c:val>
          <c:smooth val="0"/>
        </c:ser>
        <c:dLbls>
          <c:showLegendKey val="0"/>
          <c:showVal val="0"/>
          <c:showCatName val="0"/>
          <c:showSerName val="0"/>
          <c:showPercent val="0"/>
          <c:showBubbleSize val="0"/>
        </c:dLbls>
        <c:marker val="1"/>
        <c:smooth val="0"/>
        <c:axId val="539981696"/>
        <c:axId val="539996160"/>
      </c:lineChart>
      <c:catAx>
        <c:axId val="539981696"/>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539996160"/>
        <c:crosses val="autoZero"/>
        <c:auto val="1"/>
        <c:lblAlgn val="ctr"/>
        <c:lblOffset val="100"/>
        <c:noMultiLvlLbl val="0"/>
      </c:catAx>
      <c:valAx>
        <c:axId val="539996160"/>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9981696"/>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Summary!$C$46</c:f>
              <c:strCache>
                <c:ptCount val="1"/>
                <c:pt idx="0">
                  <c:v>18/19</c:v>
                </c:pt>
              </c:strCache>
            </c:strRef>
          </c:tx>
          <c:spPr>
            <a:solidFill>
              <a:srgbClr val="C00848"/>
            </a:solidFill>
          </c:spPr>
          <c:invertIfNegative val="0"/>
          <c:val>
            <c:numRef>
              <c:f>Summary!$D$46:$Q$46</c:f>
              <c:numCache>
                <c:formatCode>#,##0</c:formatCode>
                <c:ptCount val="14"/>
                <c:pt idx="0">
                  <c:v>96049.428571428565</c:v>
                </c:pt>
                <c:pt idx="1">
                  <c:v>95721.28571428571</c:v>
                </c:pt>
                <c:pt idx="2">
                  <c:v>95395.28571428571</c:v>
                </c:pt>
                <c:pt idx="3">
                  <c:v>94648.428571428565</c:v>
                </c:pt>
                <c:pt idx="4">
                  <c:v>96218.28571428571</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052005504"/>
        <c:axId val="1052007424"/>
      </c:barChart>
      <c:lineChart>
        <c:grouping val="standard"/>
        <c:varyColors val="0"/>
        <c:ser>
          <c:idx val="0"/>
          <c:order val="0"/>
          <c:tx>
            <c:strRef>
              <c:f>Summary!$C$44</c:f>
              <c:strCache>
                <c:ptCount val="1"/>
                <c:pt idx="0">
                  <c:v>17/18</c:v>
                </c:pt>
              </c:strCache>
            </c:strRef>
          </c:tx>
          <c:spPr>
            <a:ln w="19050">
              <a:solidFill>
                <a:srgbClr val="9DA6AB"/>
              </a:solidFill>
              <a:prstDash val="sysDot"/>
            </a:ln>
          </c:spPr>
          <c:marker>
            <c:symbol val="none"/>
          </c:marker>
          <c:val>
            <c:numRef>
              <c:f>Summary!$D$44:$P$44</c:f>
              <c:numCache>
                <c:formatCode>#,##0</c:formatCode>
                <c:ptCount val="13"/>
                <c:pt idx="0">
                  <c:v>96210.71428571429</c:v>
                </c:pt>
                <c:pt idx="1">
                  <c:v>96084.28571428571</c:v>
                </c:pt>
                <c:pt idx="2">
                  <c:v>94919</c:v>
                </c:pt>
                <c:pt idx="3">
                  <c:v>96129.571428571435</c:v>
                </c:pt>
                <c:pt idx="4">
                  <c:v>98579.28571428571</c:v>
                </c:pt>
                <c:pt idx="5">
                  <c:v>98611.142857142855</c:v>
                </c:pt>
                <c:pt idx="6">
                  <c:v>98222.71428571429</c:v>
                </c:pt>
                <c:pt idx="7">
                  <c:v>98310.857142857145</c:v>
                </c:pt>
                <c:pt idx="8">
                  <c:v>98509.571428571435</c:v>
                </c:pt>
                <c:pt idx="9">
                  <c:v>98109.28571428571</c:v>
                </c:pt>
                <c:pt idx="10">
                  <c:v>98498.28571428571</c:v>
                </c:pt>
                <c:pt idx="11">
                  <c:v>98668.142857142855</c:v>
                </c:pt>
                <c:pt idx="12">
                  <c:v>98087.571428571435</c:v>
                </c:pt>
              </c:numCache>
            </c:numRef>
          </c:val>
          <c:smooth val="0"/>
        </c:ser>
        <c:dLbls>
          <c:showLegendKey val="0"/>
          <c:showVal val="0"/>
          <c:showCatName val="0"/>
          <c:showSerName val="0"/>
          <c:showPercent val="0"/>
          <c:showBubbleSize val="0"/>
        </c:dLbls>
        <c:marker val="1"/>
        <c:smooth val="0"/>
        <c:axId val="1052005504"/>
        <c:axId val="1052007424"/>
      </c:lineChart>
      <c:catAx>
        <c:axId val="1052005504"/>
        <c:scaling>
          <c:orientation val="minMax"/>
        </c:scaling>
        <c:delete val="0"/>
        <c:axPos val="b"/>
        <c:title>
          <c:tx>
            <c:rich>
              <a:bodyPr/>
              <a:lstStyle/>
              <a:p>
                <a:pPr>
                  <a:defRPr/>
                </a:pPr>
                <a:r>
                  <a:rPr lang="en-US"/>
                  <a:t>Week</a:t>
                </a:r>
              </a:p>
            </c:rich>
          </c:tx>
          <c:layout/>
          <c:overlay val="0"/>
        </c:title>
        <c:numFmt formatCode="@" sourceLinked="1"/>
        <c:majorTickMark val="out"/>
        <c:minorTickMark val="none"/>
        <c:tickLblPos val="nextTo"/>
        <c:spPr>
          <a:ln w="3175">
            <a:solidFill>
              <a:srgbClr val="9DA6AB"/>
            </a:solidFill>
          </a:ln>
        </c:spPr>
        <c:txPr>
          <a:bodyPr/>
          <a:lstStyle/>
          <a:p>
            <a:pPr>
              <a:defRPr sz="800" b="1"/>
            </a:pPr>
            <a:endParaRPr lang="en-US"/>
          </a:p>
        </c:txPr>
        <c:crossAx val="1052007424"/>
        <c:crosses val="autoZero"/>
        <c:auto val="1"/>
        <c:lblAlgn val="ctr"/>
        <c:lblOffset val="100"/>
        <c:noMultiLvlLbl val="0"/>
      </c:catAx>
      <c:valAx>
        <c:axId val="1052007424"/>
        <c:scaling>
          <c:orientation val="minMax"/>
          <c:min val="9000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052005504"/>
        <c:crosses val="autoZero"/>
        <c:crossBetween val="between"/>
      </c:valAx>
    </c:plotArea>
    <c:legend>
      <c:legendPos val="r"/>
      <c:layout>
        <c:manualLayout>
          <c:xMode val="edge"/>
          <c:yMode val="edge"/>
          <c:x val="0.78670805555555556"/>
          <c:y val="0.47521166666666664"/>
          <c:w val="0.19141722222222221"/>
          <c:h val="0.19523777777777779"/>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Summary!$C$83</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Summary!$D$83:$Q$83</c:f>
              <c:numCache>
                <c:formatCode>#,##0</c:formatCode>
                <c:ptCount val="14"/>
                <c:pt idx="0">
                  <c:v>23080.857142857141</c:v>
                </c:pt>
                <c:pt idx="1">
                  <c:v>22984.142857142859</c:v>
                </c:pt>
                <c:pt idx="2">
                  <c:v>21743.714285714286</c:v>
                </c:pt>
                <c:pt idx="3">
                  <c:v>21803.714285714286</c:v>
                </c:pt>
                <c:pt idx="4">
                  <c:v>24544.714285714286</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1052040192"/>
        <c:axId val="1052042368"/>
      </c:barChart>
      <c:catAx>
        <c:axId val="105204019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1052042368"/>
        <c:crosses val="autoZero"/>
        <c:auto val="1"/>
        <c:lblAlgn val="ctr"/>
        <c:lblOffset val="100"/>
        <c:noMultiLvlLbl val="0"/>
      </c:catAx>
      <c:valAx>
        <c:axId val="105204236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1052040192"/>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Summary!$C$8</c:f>
              <c:strCache>
                <c:ptCount val="1"/>
                <c:pt idx="0">
                  <c:v>18/19</c:v>
                </c:pt>
              </c:strCache>
            </c:strRef>
          </c:tx>
          <c:spPr>
            <a:ln w="19050"/>
          </c:spPr>
          <c:invertIfNegative val="0"/>
          <c:val>
            <c:numRef>
              <c:f>Summary!$D$8:$Q$8</c:f>
              <c:numCache>
                <c:formatCode>General</c:formatCode>
                <c:ptCount val="14"/>
                <c:pt idx="0">
                  <c:v>25</c:v>
                </c:pt>
                <c:pt idx="1">
                  <c:v>30</c:v>
                </c:pt>
                <c:pt idx="2">
                  <c:v>15</c:v>
                </c:pt>
                <c:pt idx="3">
                  <c:v>17</c:v>
                </c:pt>
                <c:pt idx="4">
                  <c:v>17</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50"/>
        <c:axId val="1062522880"/>
        <c:axId val="1062524800"/>
      </c:barChart>
      <c:lineChart>
        <c:grouping val="standard"/>
        <c:varyColors val="0"/>
        <c:ser>
          <c:idx val="0"/>
          <c:order val="0"/>
          <c:tx>
            <c:strRef>
              <c:f>Summary!$C$6</c:f>
              <c:strCache>
                <c:ptCount val="1"/>
                <c:pt idx="0">
                  <c:v>17/18</c:v>
                </c:pt>
              </c:strCache>
            </c:strRef>
          </c:tx>
          <c:spPr>
            <a:ln w="28575">
              <a:solidFill>
                <a:srgbClr val="F0532D"/>
              </a:solidFill>
              <a:prstDash val="sysDot"/>
            </a:ln>
          </c:spPr>
          <c:marker>
            <c:symbol val="none"/>
          </c:marker>
          <c:val>
            <c:numRef>
              <c:f>Summary!$D$6:$P$6</c:f>
              <c:numCache>
                <c:formatCode>General</c:formatCode>
                <c:ptCount val="13"/>
                <c:pt idx="0">
                  <c:v>25</c:v>
                </c:pt>
                <c:pt idx="1">
                  <c:v>30</c:v>
                </c:pt>
                <c:pt idx="2">
                  <c:v>6</c:v>
                </c:pt>
                <c:pt idx="3">
                  <c:v>39</c:v>
                </c:pt>
                <c:pt idx="4">
                  <c:v>32</c:v>
                </c:pt>
                <c:pt idx="5">
                  <c:v>6</c:v>
                </c:pt>
                <c:pt idx="6">
                  <c:v>20</c:v>
                </c:pt>
                <c:pt idx="7">
                  <c:v>43</c:v>
                </c:pt>
                <c:pt idx="8">
                  <c:v>36</c:v>
                </c:pt>
                <c:pt idx="9">
                  <c:v>30</c:v>
                </c:pt>
                <c:pt idx="10">
                  <c:v>23</c:v>
                </c:pt>
                <c:pt idx="11">
                  <c:v>13</c:v>
                </c:pt>
                <c:pt idx="12">
                  <c:v>33</c:v>
                </c:pt>
              </c:numCache>
            </c:numRef>
          </c:val>
          <c:smooth val="0"/>
        </c:ser>
        <c:dLbls>
          <c:showLegendKey val="0"/>
          <c:showVal val="0"/>
          <c:showCatName val="0"/>
          <c:showSerName val="0"/>
          <c:showPercent val="0"/>
          <c:showBubbleSize val="0"/>
        </c:dLbls>
        <c:marker val="1"/>
        <c:smooth val="0"/>
        <c:axId val="1062522880"/>
        <c:axId val="1062524800"/>
      </c:lineChart>
      <c:catAx>
        <c:axId val="1062522880"/>
        <c:scaling>
          <c:orientation val="minMax"/>
        </c:scaling>
        <c:delete val="0"/>
        <c:axPos val="b"/>
        <c:title>
          <c:tx>
            <c:rich>
              <a:bodyPr/>
              <a:lstStyle/>
              <a:p>
                <a:pPr>
                  <a:defRPr/>
                </a:pPr>
                <a:r>
                  <a:rPr lang="en-US"/>
                  <a:t>Week</a:t>
                </a:r>
              </a:p>
            </c:rich>
          </c:tx>
          <c:overlay val="0"/>
        </c:title>
        <c:numFmt formatCode="General" sourceLinked="1"/>
        <c:majorTickMark val="out"/>
        <c:minorTickMark val="none"/>
        <c:tickLblPos val="nextTo"/>
        <c:spPr>
          <a:ln w="15875">
            <a:solidFill>
              <a:schemeClr val="bg2"/>
            </a:solidFill>
          </a:ln>
        </c:spPr>
        <c:txPr>
          <a:bodyPr/>
          <a:lstStyle/>
          <a:p>
            <a:pPr>
              <a:defRPr sz="800" b="1"/>
            </a:pPr>
            <a:endParaRPr lang="en-US"/>
          </a:p>
        </c:txPr>
        <c:crossAx val="1062524800"/>
        <c:crosses val="autoZero"/>
        <c:auto val="1"/>
        <c:lblAlgn val="ctr"/>
        <c:lblOffset val="100"/>
        <c:noMultiLvlLbl val="0"/>
      </c:catAx>
      <c:valAx>
        <c:axId val="1062524800"/>
        <c:scaling>
          <c:orientation val="minMax"/>
        </c:scaling>
        <c:delete val="0"/>
        <c:axPos val="l"/>
        <c:numFmt formatCode="General" sourceLinked="1"/>
        <c:majorTickMark val="out"/>
        <c:minorTickMark val="none"/>
        <c:tickLblPos val="nextTo"/>
        <c:spPr>
          <a:ln w="25400"/>
        </c:spPr>
        <c:txPr>
          <a:bodyPr/>
          <a:lstStyle/>
          <a:p>
            <a:pPr>
              <a:defRPr sz="800" b="1"/>
            </a:pPr>
            <a:endParaRPr lang="en-US"/>
          </a:p>
        </c:txPr>
        <c:crossAx val="1062522880"/>
        <c:crosses val="autoZero"/>
        <c:crossBetween val="between"/>
      </c:valAx>
    </c:plotArea>
    <c:legend>
      <c:legendPos val="r"/>
      <c:layout>
        <c:manualLayout>
          <c:xMode val="edge"/>
          <c:yMode val="edge"/>
          <c:x val="0.79763861548556436"/>
          <c:y val="2.9495027910243613E-2"/>
          <c:w val="0.18853202919947507"/>
          <c:h val="0.21525636760193709"/>
        </c:manualLayout>
      </c:layout>
      <c:overlay val="0"/>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Summary!$C$57</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Summary!$D$57:$Q$57</c:f>
              <c:numCache>
                <c:formatCode>0.0%</c:formatCode>
                <c:ptCount val="14"/>
                <c:pt idx="0">
                  <c:v>0.94153307969408606</c:v>
                </c:pt>
                <c:pt idx="1">
                  <c:v>0.93393915967339702</c:v>
                </c:pt>
                <c:pt idx="2">
                  <c:v>0.91231222866658579</c:v>
                </c:pt>
                <c:pt idx="3">
                  <c:v>0.87478774834387107</c:v>
                </c:pt>
                <c:pt idx="4">
                  <c:v>0.93198946443206521</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9145728"/>
        <c:axId val="539147648"/>
      </c:barChart>
      <c:lineChart>
        <c:grouping val="standard"/>
        <c:varyColors val="0"/>
        <c:ser>
          <c:idx val="0"/>
          <c:order val="0"/>
          <c:tx>
            <c:strRef>
              <c:f>Summary!$C$55</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Summary!$D$55:$P$55</c:f>
              <c:numCache>
                <c:formatCode>0.0%</c:formatCode>
                <c:ptCount val="13"/>
                <c:pt idx="0">
                  <c:v>0.94566539218233792</c:v>
                </c:pt>
                <c:pt idx="1">
                  <c:v>0.950476516153972</c:v>
                </c:pt>
                <c:pt idx="2">
                  <c:v>0.90906682840858299</c:v>
                </c:pt>
                <c:pt idx="3">
                  <c:v>0.91743732789226451</c:v>
                </c:pt>
                <c:pt idx="4">
                  <c:v>0.9501996217692793</c:v>
                </c:pt>
                <c:pt idx="5">
                  <c:v>0.94869313522957421</c:v>
                </c:pt>
                <c:pt idx="6">
                  <c:v>0.94774848413008916</c:v>
                </c:pt>
                <c:pt idx="7">
                  <c:v>0.95097184441189464</c:v>
                </c:pt>
                <c:pt idx="8">
                  <c:v>0.95039060743916115</c:v>
                </c:pt>
                <c:pt idx="9">
                  <c:v>0.94971496800215505</c:v>
                </c:pt>
                <c:pt idx="10">
                  <c:v>0.94976272248393012</c:v>
                </c:pt>
                <c:pt idx="11">
                  <c:v>0.9524075653308276</c:v>
                </c:pt>
                <c:pt idx="12">
                  <c:v>0.95201955104258151</c:v>
                </c:pt>
              </c:numCache>
            </c:numRef>
          </c:val>
          <c:smooth val="0"/>
        </c:ser>
        <c:ser>
          <c:idx val="2"/>
          <c:order val="2"/>
          <c:tx>
            <c:v>85%</c:v>
          </c:tx>
          <c:spPr>
            <a:ln w="19050">
              <a:solidFill>
                <a:srgbClr val="00A89C"/>
              </a:solidFill>
              <a:prstDash val="dash"/>
            </a:ln>
          </c:spPr>
          <c:marker>
            <c:symbol val="none"/>
          </c:marker>
          <c:val>
            <c:numRef>
              <c:f>Summary!$D$56:$Q$56</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539145728"/>
        <c:axId val="539147648"/>
      </c:lineChart>
      <c:catAx>
        <c:axId val="539145728"/>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9147648"/>
        <c:crosses val="autoZero"/>
        <c:auto val="1"/>
        <c:lblAlgn val="ctr"/>
        <c:lblOffset val="100"/>
        <c:noMultiLvlLbl val="0"/>
      </c:catAx>
      <c:valAx>
        <c:axId val="53914764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9145728"/>
        <c:crosses val="autoZero"/>
        <c:crossBetween val="between"/>
        <c:majorUnit val="0.1"/>
      </c:valAx>
    </c:plotArea>
    <c:legend>
      <c:legendPos val="r"/>
      <c:layout>
        <c:manualLayout>
          <c:xMode val="edge"/>
          <c:yMode val="edge"/>
          <c:x val="0.78670805555555556"/>
          <c:y val="0.47521166666666664"/>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0.12393531453729574"/>
          <c:w val="0.87354694444444447"/>
          <c:h val="0.82740919481838959"/>
        </c:manualLayout>
      </c:layout>
      <c:barChart>
        <c:barDir val="col"/>
        <c:grouping val="clustered"/>
        <c:varyColors val="0"/>
        <c:ser>
          <c:idx val="1"/>
          <c:order val="0"/>
          <c:tx>
            <c:strRef>
              <c:f>Summary!$C$73</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Summary!$D$73:$Q$73</c:f>
              <c:numCache>
                <c:formatCode>#,##0</c:formatCode>
                <c:ptCount val="14"/>
                <c:pt idx="0">
                  <c:v>40658.428571428572</c:v>
                </c:pt>
                <c:pt idx="1">
                  <c:v>40129.428571428572</c:v>
                </c:pt>
                <c:pt idx="2">
                  <c:v>37680.571428571428</c:v>
                </c:pt>
                <c:pt idx="3">
                  <c:v>38508.714285714283</c:v>
                </c:pt>
                <c:pt idx="4">
                  <c:v>41687</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9906432"/>
        <c:axId val="539907968"/>
      </c:barChart>
      <c:lineChart>
        <c:grouping val="standard"/>
        <c:varyColors val="0"/>
        <c:ser>
          <c:idx val="0"/>
          <c:order val="1"/>
          <c:tx>
            <c:strRef>
              <c:f>Summary!$C$71</c:f>
              <c:strCache>
                <c:ptCount val="1"/>
                <c:pt idx="0">
                  <c:v>17/18</c:v>
                </c:pt>
              </c:strCache>
            </c:strRef>
          </c:tx>
          <c:spPr>
            <a:ln w="19050">
              <a:solidFill>
                <a:srgbClr val="9DA6AB"/>
              </a:solidFill>
              <a:prstDash val="sysDot"/>
            </a:ln>
          </c:spPr>
          <c:marker>
            <c:symbol val="none"/>
          </c:marker>
          <c:val>
            <c:numRef>
              <c:f>Summary!$D$71:$P$71</c:f>
              <c:numCache>
                <c:formatCode>#,##0</c:formatCode>
                <c:ptCount val="13"/>
                <c:pt idx="0">
                  <c:v>42999</c:v>
                </c:pt>
                <c:pt idx="1">
                  <c:v>43570.142857142855</c:v>
                </c:pt>
                <c:pt idx="2">
                  <c:v>40411</c:v>
                </c:pt>
                <c:pt idx="3">
                  <c:v>43553.142857142855</c:v>
                </c:pt>
                <c:pt idx="4">
                  <c:v>46221</c:v>
                </c:pt>
                <c:pt idx="5">
                  <c:v>45788</c:v>
                </c:pt>
                <c:pt idx="6">
                  <c:v>45820.142857142855</c:v>
                </c:pt>
                <c:pt idx="7">
                  <c:v>45732.142857142855</c:v>
                </c:pt>
                <c:pt idx="8">
                  <c:v>45634.428571428572</c:v>
                </c:pt>
                <c:pt idx="9">
                  <c:v>45175.142857142855</c:v>
                </c:pt>
                <c:pt idx="10">
                  <c:v>45500.714285714283</c:v>
                </c:pt>
                <c:pt idx="11">
                  <c:v>45469.285714285717</c:v>
                </c:pt>
                <c:pt idx="12">
                  <c:v>46331</c:v>
                </c:pt>
              </c:numCache>
            </c:numRef>
          </c:val>
          <c:smooth val="0"/>
        </c:ser>
        <c:dLbls>
          <c:showLegendKey val="0"/>
          <c:showVal val="0"/>
          <c:showCatName val="0"/>
          <c:showSerName val="0"/>
          <c:showPercent val="0"/>
          <c:showBubbleSize val="0"/>
        </c:dLbls>
        <c:marker val="1"/>
        <c:smooth val="0"/>
        <c:axId val="539906432"/>
        <c:axId val="539907968"/>
      </c:lineChart>
      <c:catAx>
        <c:axId val="539906432"/>
        <c:scaling>
          <c:orientation val="minMax"/>
        </c:scaling>
        <c:delete val="0"/>
        <c:axPos val="b"/>
        <c:numFmt formatCode="General" sourceLinked="1"/>
        <c:majorTickMark val="none"/>
        <c:minorTickMark val="none"/>
        <c:tickLblPos val="none"/>
        <c:spPr>
          <a:ln w="15875">
            <a:solidFill>
              <a:schemeClr val="bg2"/>
            </a:solidFill>
          </a:ln>
        </c:spPr>
        <c:txPr>
          <a:bodyPr/>
          <a:lstStyle/>
          <a:p>
            <a:pPr>
              <a:defRPr sz="800" b="1"/>
            </a:pPr>
            <a:endParaRPr lang="en-US"/>
          </a:p>
        </c:txPr>
        <c:crossAx val="539907968"/>
        <c:crosses val="autoZero"/>
        <c:auto val="1"/>
        <c:lblAlgn val="ctr"/>
        <c:lblOffset val="100"/>
        <c:noMultiLvlLbl val="0"/>
      </c:catAx>
      <c:valAx>
        <c:axId val="539907968"/>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9906432"/>
        <c:crosses val="autoZero"/>
        <c:crossBetween val="between"/>
      </c:valAx>
    </c:plotArea>
    <c:legend>
      <c:legendPos val="r"/>
      <c:legendEntry>
        <c:idx val="0"/>
        <c:txPr>
          <a:bodyPr/>
          <a:lstStyle/>
          <a:p>
            <a:pPr>
              <a:defRPr sz="700"/>
            </a:pPr>
            <a:endParaRPr lang="en-US"/>
          </a:p>
        </c:txPr>
      </c:legendEntry>
      <c:legendEntry>
        <c:idx val="1"/>
        <c:txPr>
          <a:bodyPr/>
          <a:lstStyle/>
          <a:p>
            <a:pPr>
              <a:defRPr sz="700"/>
            </a:pPr>
            <a:endParaRPr lang="en-US"/>
          </a:p>
        </c:txPr>
      </c:legendEntry>
      <c:layout>
        <c:manualLayout>
          <c:xMode val="edge"/>
          <c:yMode val="edge"/>
          <c:x val="0.7803605555555555"/>
          <c:y val="0.58800218154548867"/>
          <c:w val="0.19141722222222221"/>
          <c:h val="0.23958005249343833"/>
        </c:manualLayout>
      </c:layout>
      <c:overlay val="1"/>
      <c:spPr>
        <a:solidFill>
          <a:sysClr val="window" lastClr="FFFFFF"/>
        </a:solidFill>
      </c:sp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10861111111111"/>
          <c:y val="9.8247987457943595E-2"/>
          <c:w val="0.8622711111111111"/>
          <c:h val="0.652039669537952"/>
        </c:manualLayout>
      </c:layout>
      <c:barChart>
        <c:barDir val="col"/>
        <c:grouping val="clustered"/>
        <c:varyColors val="0"/>
        <c:ser>
          <c:idx val="1"/>
          <c:order val="0"/>
          <c:tx>
            <c:strRef>
              <c:f>Summary!$C$92</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Summary!$D$92:$Q$92</c:f>
              <c:numCache>
                <c:formatCode>#,##0</c:formatCode>
                <c:ptCount val="14"/>
                <c:pt idx="0">
                  <c:v>14924.714285714286</c:v>
                </c:pt>
                <c:pt idx="1">
                  <c:v>14588.571428571429</c:v>
                </c:pt>
                <c:pt idx="2">
                  <c:v>13976.857142857143</c:v>
                </c:pt>
                <c:pt idx="3">
                  <c:v>14105.857142857143</c:v>
                </c:pt>
                <c:pt idx="4">
                  <c:v>15564.142857142857</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5048192"/>
        <c:axId val="535050112"/>
      </c:barChart>
      <c:lineChart>
        <c:grouping val="standard"/>
        <c:varyColors val="0"/>
        <c:ser>
          <c:idx val="0"/>
          <c:order val="1"/>
          <c:tx>
            <c:strRef>
              <c:f>Summary!$C$90</c:f>
              <c:strCache>
                <c:ptCount val="1"/>
                <c:pt idx="0">
                  <c:v>17/18</c:v>
                </c:pt>
              </c:strCache>
            </c:strRef>
          </c:tx>
          <c:spPr>
            <a:ln w="19050">
              <a:solidFill>
                <a:srgbClr val="9DA6AB"/>
              </a:solidFill>
              <a:prstDash val="sysDot"/>
            </a:ln>
          </c:spPr>
          <c:marker>
            <c:symbol val="none"/>
          </c:marker>
          <c:val>
            <c:numRef>
              <c:f>Summary!$D$90:$P$90</c:f>
              <c:numCache>
                <c:formatCode>#,##0</c:formatCode>
                <c:ptCount val="13"/>
                <c:pt idx="0">
                  <c:v>16587.714285714286</c:v>
                </c:pt>
                <c:pt idx="1">
                  <c:v>16862</c:v>
                </c:pt>
                <c:pt idx="2">
                  <c:v>15784.142857142857</c:v>
                </c:pt>
                <c:pt idx="3">
                  <c:v>16555.714285714286</c:v>
                </c:pt>
                <c:pt idx="4">
                  <c:v>17596.142857142859</c:v>
                </c:pt>
                <c:pt idx="5">
                  <c:v>17721.142857142859</c:v>
                </c:pt>
                <c:pt idx="6">
                  <c:v>17571.714285714286</c:v>
                </c:pt>
                <c:pt idx="7">
                  <c:v>17811.714285714286</c:v>
                </c:pt>
                <c:pt idx="8">
                  <c:v>17930.428571428572</c:v>
                </c:pt>
                <c:pt idx="9">
                  <c:v>17813</c:v>
                </c:pt>
                <c:pt idx="10">
                  <c:v>17990.857142857141</c:v>
                </c:pt>
                <c:pt idx="11">
                  <c:v>17795</c:v>
                </c:pt>
                <c:pt idx="12">
                  <c:v>17920.428571428572</c:v>
                </c:pt>
              </c:numCache>
            </c:numRef>
          </c:val>
          <c:smooth val="0"/>
        </c:ser>
        <c:dLbls>
          <c:showLegendKey val="0"/>
          <c:showVal val="0"/>
          <c:showCatName val="0"/>
          <c:showSerName val="0"/>
          <c:showPercent val="0"/>
          <c:showBubbleSize val="0"/>
        </c:dLbls>
        <c:marker val="1"/>
        <c:smooth val="0"/>
        <c:axId val="535048192"/>
        <c:axId val="535050112"/>
      </c:lineChart>
      <c:catAx>
        <c:axId val="53504819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5050112"/>
        <c:crosses val="autoZero"/>
        <c:auto val="1"/>
        <c:lblAlgn val="ctr"/>
        <c:lblOffset val="100"/>
        <c:noMultiLvlLbl val="0"/>
      </c:catAx>
      <c:valAx>
        <c:axId val="535050112"/>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5048192"/>
        <c:crosses val="autoZero"/>
        <c:crossBetween val="between"/>
      </c:valAx>
    </c:plotArea>
    <c:legend>
      <c:legendPos val="r"/>
      <c:layout>
        <c:manualLayout>
          <c:xMode val="edge"/>
          <c:yMode val="edge"/>
          <c:x val="0.77965249999999997"/>
          <c:y val="0.45035909617443076"/>
          <c:w val="0.18303333333333333"/>
          <c:h val="0.2061191513072039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Summary!$C$102</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Summary!$D$102:$Q$102</c:f>
              <c:numCache>
                <c:formatCode>#,##0</c:formatCode>
                <c:ptCount val="14"/>
                <c:pt idx="0">
                  <c:v>493.57142857142856</c:v>
                </c:pt>
                <c:pt idx="1">
                  <c:v>372.85714285714283</c:v>
                </c:pt>
                <c:pt idx="2">
                  <c:v>510.85714285714283</c:v>
                </c:pt>
                <c:pt idx="3">
                  <c:v>504.28571428571428</c:v>
                </c:pt>
                <c:pt idx="4">
                  <c:v>397.85714285714283</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5096320"/>
        <c:axId val="535098496"/>
      </c:barChart>
      <c:lineChart>
        <c:grouping val="standard"/>
        <c:varyColors val="0"/>
        <c:ser>
          <c:idx val="0"/>
          <c:order val="0"/>
          <c:tx>
            <c:strRef>
              <c:f>Summary!$C$100</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Summary!$D$100:$P$100</c:f>
              <c:numCache>
                <c:formatCode>#,##0</c:formatCode>
                <c:ptCount val="13"/>
                <c:pt idx="0">
                  <c:v>1123.1428571428571</c:v>
                </c:pt>
                <c:pt idx="1">
                  <c:v>1071.4285714285713</c:v>
                </c:pt>
                <c:pt idx="2">
                  <c:v>811.71428571428567</c:v>
                </c:pt>
                <c:pt idx="3">
                  <c:v>731</c:v>
                </c:pt>
                <c:pt idx="4">
                  <c:v>943.85714285714289</c:v>
                </c:pt>
                <c:pt idx="5">
                  <c:v>621.28571428571433</c:v>
                </c:pt>
                <c:pt idx="6">
                  <c:v>742</c:v>
                </c:pt>
                <c:pt idx="7">
                  <c:v>672</c:v>
                </c:pt>
                <c:pt idx="8">
                  <c:v>640.28571428571433</c:v>
                </c:pt>
                <c:pt idx="9">
                  <c:v>816.85714285714289</c:v>
                </c:pt>
                <c:pt idx="10">
                  <c:v>840.85714285714289</c:v>
                </c:pt>
                <c:pt idx="11">
                  <c:v>949</c:v>
                </c:pt>
                <c:pt idx="12">
                  <c:v>751.28571428571433</c:v>
                </c:pt>
              </c:numCache>
            </c:numRef>
          </c:val>
          <c:smooth val="0"/>
        </c:ser>
        <c:dLbls>
          <c:showLegendKey val="0"/>
          <c:showVal val="0"/>
          <c:showCatName val="0"/>
          <c:showSerName val="0"/>
          <c:showPercent val="0"/>
          <c:showBubbleSize val="0"/>
        </c:dLbls>
        <c:marker val="1"/>
        <c:smooth val="0"/>
        <c:axId val="535096320"/>
        <c:axId val="535098496"/>
      </c:lineChart>
      <c:catAx>
        <c:axId val="535096320"/>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5098496"/>
        <c:crosses val="autoZero"/>
        <c:auto val="1"/>
        <c:lblAlgn val="ctr"/>
        <c:lblOffset val="100"/>
        <c:noMultiLvlLbl val="0"/>
      </c:catAx>
      <c:valAx>
        <c:axId val="535098496"/>
        <c:scaling>
          <c:orientation val="minMax"/>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5096320"/>
        <c:crosses val="autoZero"/>
        <c:crossBetween val="between"/>
      </c:valAx>
    </c:plotArea>
    <c:legend>
      <c:legendPos val="r"/>
      <c:layout>
        <c:manualLayout>
          <c:xMode val="edge"/>
          <c:yMode val="edge"/>
          <c:x val="0.80434694444444443"/>
          <c:y val="0.53165611111111111"/>
          <c:w val="0.17862916666666667"/>
          <c:h val="0.18714055555555556"/>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Summary!$C$116</c:f>
              <c:strCache>
                <c:ptCount val="1"/>
                <c:pt idx="0">
                  <c:v>18/19</c:v>
                </c:pt>
              </c:strCache>
            </c:strRef>
          </c:tx>
          <c:spPr>
            <a:solidFill>
              <a:srgbClr val="C00848"/>
            </a:solidFill>
            <a:ln w="19050"/>
          </c:spPr>
          <c:invertIfNegative val="0"/>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Summary!$D$116:$Q$116</c:f>
              <c:numCache>
                <c:formatCode>0</c:formatCode>
                <c:ptCount val="14"/>
                <c:pt idx="0">
                  <c:v>135.28571428571428</c:v>
                </c:pt>
                <c:pt idx="1">
                  <c:v>106.85714285714286</c:v>
                </c:pt>
                <c:pt idx="2">
                  <c:v>136</c:v>
                </c:pt>
                <c:pt idx="3">
                  <c:v>112.71428571428571</c:v>
                </c:pt>
                <c:pt idx="4">
                  <c:v>67.428571428571431</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6631552"/>
        <c:axId val="536654208"/>
      </c:barChart>
      <c:lineChart>
        <c:grouping val="standard"/>
        <c:varyColors val="0"/>
        <c:ser>
          <c:idx val="0"/>
          <c:order val="0"/>
          <c:tx>
            <c:strRef>
              <c:f>Summary!$C$114</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Summary!$D$114:$P$114</c:f>
              <c:numCache>
                <c:formatCode>#,##0</c:formatCode>
                <c:ptCount val="13"/>
                <c:pt idx="0">
                  <c:v>212.71428571428572</c:v>
                </c:pt>
                <c:pt idx="1">
                  <c:v>211.14285714285714</c:v>
                </c:pt>
                <c:pt idx="2">
                  <c:v>214.28571428571428</c:v>
                </c:pt>
                <c:pt idx="3">
                  <c:v>148.71428571428572</c:v>
                </c:pt>
                <c:pt idx="4">
                  <c:v>141.42857142857142</c:v>
                </c:pt>
                <c:pt idx="5">
                  <c:v>125.71428571428571</c:v>
                </c:pt>
                <c:pt idx="6">
                  <c:v>117.42857142857143</c:v>
                </c:pt>
                <c:pt idx="7">
                  <c:v>143.71428571428572</c:v>
                </c:pt>
                <c:pt idx="8">
                  <c:v>139.42857142857142</c:v>
                </c:pt>
                <c:pt idx="9">
                  <c:v>160</c:v>
                </c:pt>
                <c:pt idx="10">
                  <c:v>143.42857142857142</c:v>
                </c:pt>
                <c:pt idx="11">
                  <c:v>157.71428571428572</c:v>
                </c:pt>
                <c:pt idx="12">
                  <c:v>112.71428571428571</c:v>
                </c:pt>
              </c:numCache>
            </c:numRef>
          </c:val>
          <c:smooth val="0"/>
        </c:ser>
        <c:dLbls>
          <c:showLegendKey val="0"/>
          <c:showVal val="0"/>
          <c:showCatName val="0"/>
          <c:showSerName val="0"/>
          <c:showPercent val="0"/>
          <c:showBubbleSize val="0"/>
        </c:dLbls>
        <c:marker val="1"/>
        <c:smooth val="0"/>
        <c:axId val="536631552"/>
        <c:axId val="536654208"/>
      </c:lineChart>
      <c:catAx>
        <c:axId val="53663155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6654208"/>
        <c:crosses val="autoZero"/>
        <c:auto val="1"/>
        <c:lblAlgn val="ctr"/>
        <c:lblOffset val="100"/>
        <c:noMultiLvlLbl val="0"/>
      </c:catAx>
      <c:valAx>
        <c:axId val="536654208"/>
        <c:scaling>
          <c:orientation val="minMax"/>
          <c:min val="0"/>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6631552"/>
        <c:crosses val="autoZero"/>
        <c:crossBetween val="between"/>
      </c:valAx>
    </c:plotArea>
    <c:legend>
      <c:legendPos val="r"/>
      <c:layout>
        <c:manualLayout>
          <c:xMode val="edge"/>
          <c:yMode val="edge"/>
          <c:x val="0.77259694444444449"/>
          <c:y val="0.6022116666666667"/>
          <c:w val="0.19626805555555554"/>
          <c:h val="0.15891833333333333"/>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Summary!$C$130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Summary!$D$130:$Q$130</c:f>
              <c:numCache>
                <c:formatCode>0.0%</c:formatCode>
                <c:ptCount val="14"/>
                <c:pt idx="0">
                  <c:v>0.8214008988067566</c:v>
                </c:pt>
                <c:pt idx="1">
                  <c:v>0.81303841676367872</c:v>
                </c:pt>
                <c:pt idx="2">
                  <c:v>0.80945519685346001</c:v>
                </c:pt>
                <c:pt idx="3">
                  <c:v>0.76777882205513781</c:v>
                </c:pt>
                <c:pt idx="4">
                  <c:v>0.832857422256992</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7819392"/>
        <c:axId val="537821568"/>
      </c:barChart>
      <c:lineChart>
        <c:grouping val="standard"/>
        <c:varyColors val="0"/>
        <c:ser>
          <c:idx val="0"/>
          <c:order val="0"/>
          <c:tx>
            <c:strRef>
              <c:f>Summary!$C$128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Summary!$D$128:$P$128</c:f>
              <c:numCache>
                <c:formatCode>0.0%</c:formatCode>
                <c:ptCount val="13"/>
                <c:pt idx="0">
                  <c:v>0.8630408583757726</c:v>
                </c:pt>
                <c:pt idx="1">
                  <c:v>0.85207585453410328</c:v>
                </c:pt>
                <c:pt idx="2">
                  <c:v>0.82160617095422683</c:v>
                </c:pt>
                <c:pt idx="3">
                  <c:v>0.81886438291881747</c:v>
                </c:pt>
                <c:pt idx="4">
                  <c:v>0.86804004620716213</c:v>
                </c:pt>
                <c:pt idx="5">
                  <c:v>0.86891241578440803</c:v>
                </c:pt>
                <c:pt idx="6">
                  <c:v>0.86613281249999996</c:v>
                </c:pt>
                <c:pt idx="7">
                  <c:v>0.85156464183605529</c:v>
                </c:pt>
                <c:pt idx="8">
                  <c:v>0.85008205048058139</c:v>
                </c:pt>
                <c:pt idx="9">
                  <c:v>0.8552100082356171</c:v>
                </c:pt>
                <c:pt idx="10">
                  <c:v>0.84721788058768366</c:v>
                </c:pt>
                <c:pt idx="11">
                  <c:v>0.8570925041121642</c:v>
                </c:pt>
                <c:pt idx="12">
                  <c:v>0.8521715141483408</c:v>
                </c:pt>
              </c:numCache>
            </c:numRef>
          </c:val>
          <c:smooth val="0"/>
        </c:ser>
        <c:ser>
          <c:idx val="2"/>
          <c:order val="2"/>
          <c:tx>
            <c:v>85%</c:v>
          </c:tx>
          <c:spPr>
            <a:ln w="19050">
              <a:solidFill>
                <a:srgbClr val="00A89C"/>
              </a:solidFill>
              <a:prstDash val="dash"/>
            </a:ln>
          </c:spPr>
          <c:marker>
            <c:symbol val="none"/>
          </c:marker>
          <c:val>
            <c:numRef>
              <c:f>Summary!$D$129:$Q$129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537819392"/>
        <c:axId val="537821568"/>
      </c:lineChart>
      <c:catAx>
        <c:axId val="537819392"/>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7821568"/>
        <c:crosses val="autoZero"/>
        <c:auto val="1"/>
        <c:lblAlgn val="ctr"/>
        <c:lblOffset val="100"/>
        <c:noMultiLvlLbl val="0"/>
      </c:catAx>
      <c:valAx>
        <c:axId val="537821568"/>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7819392"/>
        <c:crosses val="autoZero"/>
        <c:crossBetween val="between"/>
        <c:majorUnit val="0.1"/>
      </c:valAx>
    </c:plotArea>
    <c:legend>
      <c:legendPos val="r"/>
      <c:layout>
        <c:manualLayout>
          <c:xMode val="edge"/>
          <c:yMode val="edge"/>
          <c:x val="0.79023583333333336"/>
          <c:y val="0.46815611111111111"/>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Summary!$C$150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Summary!$D$150:$Q$150</c:f>
              <c:numCache>
                <c:formatCode>0.0%</c:formatCode>
                <c:ptCount val="14"/>
                <c:pt idx="0">
                  <c:v>0.8470066518847007</c:v>
                </c:pt>
                <c:pt idx="1">
                  <c:v>0.79902329075882794</c:v>
                </c:pt>
                <c:pt idx="2">
                  <c:v>0.80173482032218091</c:v>
                </c:pt>
                <c:pt idx="3">
                  <c:v>0.75762784701332186</c:v>
                </c:pt>
                <c:pt idx="4">
                  <c:v>0.73459119496855341</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7851776"/>
        <c:axId val="538988544"/>
      </c:barChart>
      <c:lineChart>
        <c:grouping val="standard"/>
        <c:varyColors val="0"/>
        <c:ser>
          <c:idx val="0"/>
          <c:order val="0"/>
          <c:tx>
            <c:strRef>
              <c:f>Summary!$C$148</c:f>
              <c:strCache>
                <c:ptCount val="1"/>
                <c:pt idx="0">
                  <c:v>17/18</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Summary!$D$148:$P$148</c:f>
              <c:numCache>
                <c:formatCode>0.0%</c:formatCode>
                <c:ptCount val="13"/>
                <c:pt idx="0">
                  <c:v>0.82548262548262552</c:v>
                </c:pt>
                <c:pt idx="1">
                  <c:v>0.8361970217640321</c:v>
                </c:pt>
                <c:pt idx="2">
                  <c:v>0.79832572298325721</c:v>
                </c:pt>
                <c:pt idx="3">
                  <c:v>0.77777777777777779</c:v>
                </c:pt>
                <c:pt idx="4">
                  <c:v>0.77381404174573054</c:v>
                </c:pt>
                <c:pt idx="5">
                  <c:v>0.74512800917080624</c:v>
                </c:pt>
                <c:pt idx="6">
                  <c:v>0.7752417794970986</c:v>
                </c:pt>
                <c:pt idx="7">
                  <c:v>0.77072037180480246</c:v>
                </c:pt>
                <c:pt idx="8">
                  <c:v>0.78565861262665626</c:v>
                </c:pt>
                <c:pt idx="9">
                  <c:v>0.76376415462709879</c:v>
                </c:pt>
                <c:pt idx="10">
                  <c:v>0.77830188679245282</c:v>
                </c:pt>
                <c:pt idx="11">
                  <c:v>0.75872769588828548</c:v>
                </c:pt>
                <c:pt idx="12">
                  <c:v>0.73317775184753009</c:v>
                </c:pt>
              </c:numCache>
            </c:numRef>
          </c:val>
          <c:smooth val="0"/>
        </c:ser>
        <c:ser>
          <c:idx val="2"/>
          <c:order val="2"/>
          <c:tx>
            <c:v>85%</c:v>
          </c:tx>
          <c:spPr>
            <a:ln w="19050">
              <a:solidFill>
                <a:srgbClr val="00A89C"/>
              </a:solidFill>
              <a:prstDash val="dash"/>
            </a:ln>
          </c:spPr>
          <c:marker>
            <c:symbol val="none"/>
          </c:marker>
          <c:val>
            <c:numRef>
              <c:f>Summary!$D$149:$Q$149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537851776"/>
        <c:axId val="538988544"/>
      </c:lineChart>
      <c:catAx>
        <c:axId val="537851776"/>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8988544"/>
        <c:crosses val="autoZero"/>
        <c:auto val="1"/>
        <c:lblAlgn val="ctr"/>
        <c:lblOffset val="100"/>
        <c:noMultiLvlLbl val="0"/>
      </c:catAx>
      <c:valAx>
        <c:axId val="538988544"/>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7851776"/>
        <c:crosses val="autoZero"/>
        <c:crossBetween val="between"/>
        <c:majorUnit val="0.1"/>
      </c:valAx>
    </c:plotArea>
    <c:legend>
      <c:legendPos val="r"/>
      <c:layout>
        <c:manualLayout>
          <c:xMode val="edge"/>
          <c:yMode val="edge"/>
          <c:x val="0.79023583333333336"/>
          <c:y val="0.50343388888888885"/>
          <c:w val="0.19141722222222221"/>
          <c:h val="0.29285666666666665"/>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013724846894136E-2"/>
          <c:y val="6.2453703703703713E-2"/>
          <c:w val="0.90911089238845144"/>
          <c:h val="0.74377762365196576"/>
        </c:manualLayout>
      </c:layout>
      <c:barChart>
        <c:barDir val="col"/>
        <c:grouping val="clustered"/>
        <c:varyColors val="0"/>
        <c:ser>
          <c:idx val="1"/>
          <c:order val="1"/>
          <c:tx>
            <c:strRef>
              <c:f>Summary!$C$170</c:f>
              <c:strCache>
                <c:ptCount val="1"/>
                <c:pt idx="0">
                  <c:v>18/19</c:v>
                </c:pt>
              </c:strCache>
            </c:strRef>
          </c:tx>
          <c:spPr>
            <a:solidFill>
              <a:srgbClr val="C00848"/>
            </a:solidFill>
            <a:ln w="19050"/>
          </c:spPr>
          <c:invertIfNegative val="0"/>
          <c:cat>
            <c:strRef>
              <c:f>Summary!$D$4:$Q$4</c:f>
              <c:strCache>
                <c:ptCount val="13"/>
                <c:pt idx="0">
                  <c:v>Week 1</c:v>
                </c:pt>
                <c:pt idx="1">
                  <c:v>Week 2</c:v>
                </c:pt>
                <c:pt idx="2">
                  <c:v>Week 3</c:v>
                </c:pt>
                <c:pt idx="3">
                  <c:v>Week 4</c:v>
                </c:pt>
                <c:pt idx="4">
                  <c:v>Week 5</c:v>
                </c:pt>
                <c:pt idx="5">
                  <c:v>Week 6</c:v>
                </c:pt>
                <c:pt idx="6">
                  <c:v>Week 7</c:v>
                </c:pt>
                <c:pt idx="7">
                  <c:v>Week 8</c:v>
                </c:pt>
                <c:pt idx="8">
                  <c:v>Week 9</c:v>
                </c:pt>
                <c:pt idx="9">
                  <c:v>Week 10</c:v>
                </c:pt>
                <c:pt idx="10">
                  <c:v>Week 11</c:v>
                </c:pt>
                <c:pt idx="11">
                  <c:v>Week 12</c:v>
                </c:pt>
                <c:pt idx="12">
                  <c:v>Week 13</c:v>
                </c:pt>
              </c:strCache>
            </c:strRef>
          </c:cat>
          <c:val>
            <c:numRef>
              <c:f>Summary!$D$170:$Q$170</c:f>
              <c:numCache>
                <c:formatCode>0.0%</c:formatCode>
                <c:ptCount val="14"/>
                <c:pt idx="0">
                  <c:v>0.69096181730304496</c:v>
                </c:pt>
                <c:pt idx="1">
                  <c:v>0.68640308582449372</c:v>
                </c:pt>
                <c:pt idx="2">
                  <c:v>0.70125482625482627</c:v>
                </c:pt>
                <c:pt idx="3">
                  <c:v>0.67523772559673978</c:v>
                </c:pt>
                <c:pt idx="4">
                  <c:v>0.67860967773342418</c:v>
                </c:pt>
                <c:pt idx="5">
                  <c:v>0</c:v>
                </c:pt>
                <c:pt idx="6">
                  <c:v>0</c:v>
                </c:pt>
                <c:pt idx="7">
                  <c:v>0</c:v>
                </c:pt>
                <c:pt idx="8">
                  <c:v>0</c:v>
                </c:pt>
                <c:pt idx="9">
                  <c:v>0</c:v>
                </c:pt>
                <c:pt idx="10">
                  <c:v>0</c:v>
                </c:pt>
                <c:pt idx="11">
                  <c:v>0</c:v>
                </c:pt>
                <c:pt idx="12">
                  <c:v>0</c:v>
                </c:pt>
                <c:pt idx="13">
                  <c:v>0</c:v>
                </c:pt>
              </c:numCache>
            </c:numRef>
          </c:val>
        </c:ser>
        <c:dLbls>
          <c:showLegendKey val="0"/>
          <c:showVal val="0"/>
          <c:showCatName val="0"/>
          <c:showSerName val="0"/>
          <c:showPercent val="0"/>
          <c:showBubbleSize val="0"/>
        </c:dLbls>
        <c:gapWidth val="50"/>
        <c:axId val="539026944"/>
        <c:axId val="539028864"/>
      </c:barChart>
      <c:lineChart>
        <c:grouping val="standard"/>
        <c:varyColors val="0"/>
        <c:ser>
          <c:idx val="0"/>
          <c:order val="0"/>
          <c:tx>
            <c:strRef>
              <c:f>Summary!$C$167</c:f>
              <c:strCache>
                <c:ptCount val="1"/>
                <c:pt idx="0">
                  <c:v>Occupancy rate:</c:v>
                </c:pt>
              </c:strCache>
            </c:strRef>
          </c:tx>
          <c:spPr>
            <a:ln w="19050">
              <a:solidFill>
                <a:srgbClr val="9DA6AB"/>
              </a:solidFill>
              <a:prstDash val="sysDot"/>
            </a:ln>
          </c:spPr>
          <c:marker>
            <c:symbol val="none"/>
          </c:marker>
          <c:cat>
            <c:numRef>
              <c:f>Summary!$D$5:$Q$5</c:f>
              <c:numCache>
                <c:formatCode>General</c:formatCode>
                <c:ptCount val="14"/>
                <c:pt idx="0">
                  <c:v>1</c:v>
                </c:pt>
                <c:pt idx="1">
                  <c:v>2</c:v>
                </c:pt>
                <c:pt idx="2">
                  <c:v>3</c:v>
                </c:pt>
                <c:pt idx="3">
                  <c:v>4</c:v>
                </c:pt>
                <c:pt idx="4">
                  <c:v>5</c:v>
                </c:pt>
                <c:pt idx="5">
                  <c:v>6</c:v>
                </c:pt>
                <c:pt idx="6">
                  <c:v>7</c:v>
                </c:pt>
                <c:pt idx="7">
                  <c:v>8</c:v>
                </c:pt>
                <c:pt idx="8">
                  <c:v>9</c:v>
                </c:pt>
                <c:pt idx="9">
                  <c:v>10</c:v>
                </c:pt>
                <c:pt idx="10">
                  <c:v>11</c:v>
                </c:pt>
                <c:pt idx="11">
                  <c:v>12</c:v>
                </c:pt>
                <c:pt idx="12">
                  <c:v>13</c:v>
                </c:pt>
                <c:pt idx="13">
                  <c:v>14</c:v>
                </c:pt>
              </c:numCache>
            </c:numRef>
          </c:cat>
          <c:val>
            <c:numRef>
              <c:f>Summary!$D$168:$P$168</c:f>
              <c:numCache>
                <c:formatCode>0.0%</c:formatCode>
                <c:ptCount val="13"/>
                <c:pt idx="0">
                  <c:v>0.73465326833150935</c:v>
                </c:pt>
                <c:pt idx="1">
                  <c:v>0.72341918027858498</c:v>
                </c:pt>
                <c:pt idx="2">
                  <c:v>0.73064209155564463</c:v>
                </c:pt>
                <c:pt idx="3">
                  <c:v>0.7099442008768434</c:v>
                </c:pt>
                <c:pt idx="4">
                  <c:v>0.71733966745843225</c:v>
                </c:pt>
                <c:pt idx="5">
                  <c:v>0.69255791030064073</c:v>
                </c:pt>
                <c:pt idx="6">
                  <c:v>0.71183923975450403</c:v>
                </c:pt>
                <c:pt idx="7">
                  <c:v>0.69433336584414318</c:v>
                </c:pt>
                <c:pt idx="8">
                  <c:v>0.70073349633251836</c:v>
                </c:pt>
                <c:pt idx="9">
                  <c:v>0.68913410875832593</c:v>
                </c:pt>
                <c:pt idx="10">
                  <c:v>0.68751232984809629</c:v>
                </c:pt>
                <c:pt idx="11">
                  <c:v>0.68064579641661749</c:v>
                </c:pt>
                <c:pt idx="12">
                  <c:v>0.68395621733556844</c:v>
                </c:pt>
              </c:numCache>
            </c:numRef>
          </c:val>
          <c:smooth val="0"/>
        </c:ser>
        <c:ser>
          <c:idx val="2"/>
          <c:order val="2"/>
          <c:tx>
            <c:v>85%</c:v>
          </c:tx>
          <c:spPr>
            <a:ln w="19050">
              <a:solidFill>
                <a:srgbClr val="00A89C"/>
              </a:solidFill>
              <a:prstDash val="dash"/>
            </a:ln>
          </c:spPr>
          <c:marker>
            <c:symbol val="none"/>
          </c:marker>
          <c:val>
            <c:numRef>
              <c:f>Summary!$D$169:$Q$169</c:f>
              <c:numCache>
                <c:formatCode>0.00%</c:formatCode>
                <c:ptCount val="14"/>
                <c:pt idx="0">
                  <c:v>0.85</c:v>
                </c:pt>
                <c:pt idx="1">
                  <c:v>0.85</c:v>
                </c:pt>
                <c:pt idx="2">
                  <c:v>0.85</c:v>
                </c:pt>
                <c:pt idx="3">
                  <c:v>0.85</c:v>
                </c:pt>
                <c:pt idx="4">
                  <c:v>0.85</c:v>
                </c:pt>
                <c:pt idx="5">
                  <c:v>0.85</c:v>
                </c:pt>
                <c:pt idx="6">
                  <c:v>0.85</c:v>
                </c:pt>
                <c:pt idx="7">
                  <c:v>0.85</c:v>
                </c:pt>
                <c:pt idx="8">
                  <c:v>0.85</c:v>
                </c:pt>
                <c:pt idx="9">
                  <c:v>0.85</c:v>
                </c:pt>
                <c:pt idx="10">
                  <c:v>0.85</c:v>
                </c:pt>
                <c:pt idx="11">
                  <c:v>0.85</c:v>
                </c:pt>
                <c:pt idx="12">
                  <c:v>0.85</c:v>
                </c:pt>
                <c:pt idx="13">
                  <c:v>0.85</c:v>
                </c:pt>
              </c:numCache>
            </c:numRef>
          </c:val>
          <c:smooth val="0"/>
        </c:ser>
        <c:dLbls>
          <c:showLegendKey val="0"/>
          <c:showVal val="0"/>
          <c:showCatName val="0"/>
          <c:showSerName val="0"/>
          <c:showPercent val="0"/>
          <c:showBubbleSize val="0"/>
        </c:dLbls>
        <c:marker val="1"/>
        <c:smooth val="0"/>
        <c:axId val="539026944"/>
        <c:axId val="539028864"/>
      </c:lineChart>
      <c:catAx>
        <c:axId val="539026944"/>
        <c:scaling>
          <c:orientation val="minMax"/>
        </c:scaling>
        <c:delete val="0"/>
        <c:axPos val="b"/>
        <c:title>
          <c:tx>
            <c:rich>
              <a:bodyPr/>
              <a:lstStyle/>
              <a:p>
                <a:pPr>
                  <a:defRPr/>
                </a:pPr>
                <a:r>
                  <a:rPr lang="en-US"/>
                  <a:t>Week</a:t>
                </a:r>
              </a:p>
            </c:rich>
          </c:tx>
          <c:layout/>
          <c:overlay val="0"/>
        </c:title>
        <c:numFmt formatCode="General" sourceLinked="1"/>
        <c:majorTickMark val="out"/>
        <c:minorTickMark val="none"/>
        <c:tickLblPos val="nextTo"/>
        <c:spPr>
          <a:ln w="3175">
            <a:solidFill>
              <a:srgbClr val="9DA6AB"/>
            </a:solidFill>
          </a:ln>
        </c:spPr>
        <c:txPr>
          <a:bodyPr/>
          <a:lstStyle/>
          <a:p>
            <a:pPr>
              <a:defRPr sz="800" b="1"/>
            </a:pPr>
            <a:endParaRPr lang="en-US"/>
          </a:p>
        </c:txPr>
        <c:crossAx val="539028864"/>
        <c:crosses val="autoZero"/>
        <c:auto val="1"/>
        <c:lblAlgn val="ctr"/>
        <c:lblOffset val="100"/>
        <c:noMultiLvlLbl val="0"/>
      </c:catAx>
      <c:valAx>
        <c:axId val="539028864"/>
        <c:scaling>
          <c:orientation val="minMax"/>
          <c:max val="1"/>
          <c:min val="0.5"/>
        </c:scaling>
        <c:delete val="0"/>
        <c:axPos val="l"/>
        <c:numFmt formatCode="0%" sourceLinked="0"/>
        <c:majorTickMark val="out"/>
        <c:minorTickMark val="none"/>
        <c:tickLblPos val="nextTo"/>
        <c:spPr>
          <a:ln w="50800">
            <a:solidFill>
              <a:srgbClr val="CED8DD"/>
            </a:solidFill>
          </a:ln>
        </c:spPr>
        <c:txPr>
          <a:bodyPr/>
          <a:lstStyle/>
          <a:p>
            <a:pPr>
              <a:defRPr sz="800" b="1"/>
            </a:pPr>
            <a:endParaRPr lang="en-US"/>
          </a:p>
        </c:txPr>
        <c:crossAx val="539026944"/>
        <c:crosses val="autoZero"/>
        <c:crossBetween val="between"/>
        <c:majorUnit val="0.1"/>
      </c:valAx>
    </c:plotArea>
    <c:legend>
      <c:legendPos val="r"/>
      <c:layout>
        <c:manualLayout>
          <c:xMode val="edge"/>
          <c:yMode val="edge"/>
          <c:x val="0.52565249999999997"/>
          <c:y val="5.1878333333333325E-2"/>
          <c:w val="0.44541722222222224"/>
          <c:h val="0.19407888888888888"/>
        </c:manualLayout>
      </c:layout>
      <c:overlay val="0"/>
      <c:spPr>
        <a:solidFill>
          <a:sysClr val="window" lastClr="FFFFFF"/>
        </a:solidFill>
      </c:spPr>
      <c:txPr>
        <a:bodyPr/>
        <a:lstStyle/>
        <a:p>
          <a:pPr>
            <a:defRPr sz="700"/>
          </a:pPr>
          <a:endParaRPr lang="en-US"/>
        </a:p>
      </c:txPr>
    </c:legend>
    <c:plotVisOnly val="1"/>
    <c:dispBlanksAs val="gap"/>
    <c:showDLblsOverMax val="0"/>
  </c:chart>
  <c:spPr>
    <a:ln>
      <a:noFill/>
    </a:ln>
  </c:spPr>
  <c:txPr>
    <a:bodyPr/>
    <a:lstStyle/>
    <a:p>
      <a:pPr>
        <a:defRPr>
          <a:latin typeface="Myriad Pro" pitchFamily="34" charset="0"/>
        </a:defRPr>
      </a:pPr>
      <a:endParaRPr lang="en-US"/>
    </a:p>
  </c:txPr>
  <c:printSettings>
    <c:headerFooter/>
    <c:pageMargins b="0.75" l="0.7" r="0.7" t="0.75" header="0.3" footer="0.3"/>
    <c:pageSetup/>
  </c:printSettings>
</c:chartSpace>
</file>

<file path=xl/customData/_rels/itemProps1.xml.rels><?xml version="1.0" encoding="UTF-8" standalone="yes"?>
<Relationships xmlns="http://schemas.openxmlformats.org/package/2006/relationships"><Relationship Id="rId1" Type="http://schemas.microsoft.com/office/2007/relationships/customData" Target="item1.data"/></Relationships>
</file>

<file path=xl/customData/itemProps1.xml><?xml version="1.0" encoding="utf-8"?>
<datastoreItem xmlns="http://schemas.microsoft.com/office/spreadsheetml/2009/9/main" id="Microsoft_SQLServer_AnalysisServices"/>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18</xdr:col>
      <xdr:colOff>171450</xdr:colOff>
      <xdr:row>4</xdr:row>
      <xdr:rowOff>85724</xdr:rowOff>
    </xdr:from>
    <xdr:to>
      <xdr:col>24</xdr:col>
      <xdr:colOff>142425</xdr:colOff>
      <xdr:row>16</xdr:row>
      <xdr:rowOff>171224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28575</xdr:colOff>
      <xdr:row>54</xdr:row>
      <xdr:rowOff>104774</xdr:rowOff>
    </xdr:from>
    <xdr:to>
      <xdr:col>23</xdr:col>
      <xdr:colOff>580575</xdr:colOff>
      <xdr:row>66</xdr:row>
      <xdr:rowOff>95024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53</xdr:row>
      <xdr:rowOff>190500</xdr:rowOff>
    </xdr:from>
    <xdr:to>
      <xdr:col>29</xdr:col>
      <xdr:colOff>9525</xdr:colOff>
      <xdr:row>53</xdr:row>
      <xdr:rowOff>190500</xdr:rowOff>
    </xdr:to>
    <xdr:cxnSp macro="">
      <xdr:nvCxnSpPr>
        <xdr:cNvPr id="5" name="Straight Connector 4"/>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68</xdr:row>
      <xdr:rowOff>190500</xdr:rowOff>
    </xdr:from>
    <xdr:to>
      <xdr:col>29</xdr:col>
      <xdr:colOff>9525</xdr:colOff>
      <xdr:row>68</xdr:row>
      <xdr:rowOff>190500</xdr:rowOff>
    </xdr:to>
    <xdr:cxnSp macro="">
      <xdr:nvCxnSpPr>
        <xdr:cNvPr id="6" name="Straight Connector 5"/>
        <xdr:cNvCxnSpPr/>
      </xdr:nvCxnSpPr>
      <xdr:spPr>
        <a:xfrm>
          <a:off x="123825" y="2476500"/>
          <a:ext cx="13573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97</xdr:row>
      <xdr:rowOff>190500</xdr:rowOff>
    </xdr:from>
    <xdr:to>
      <xdr:col>29</xdr:col>
      <xdr:colOff>9525</xdr:colOff>
      <xdr:row>97</xdr:row>
      <xdr:rowOff>190500</xdr:rowOff>
    </xdr:to>
    <xdr:cxnSp macro="">
      <xdr:nvCxnSpPr>
        <xdr:cNvPr id="7" name="Straight Connector 6"/>
        <xdr:cNvCxnSpPr/>
      </xdr:nvCxnSpPr>
      <xdr:spPr>
        <a:xfrm>
          <a:off x="123825" y="4953000"/>
          <a:ext cx="13954125"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104775</xdr:colOff>
      <xdr:row>68</xdr:row>
      <xdr:rowOff>352425</xdr:rowOff>
    </xdr:from>
    <xdr:to>
      <xdr:col>24</xdr:col>
      <xdr:colOff>95250</xdr:colOff>
      <xdr:row>77</xdr:row>
      <xdr:rowOff>180975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28575</xdr:colOff>
      <xdr:row>87</xdr:row>
      <xdr:rowOff>161926</xdr:rowOff>
    </xdr:from>
    <xdr:to>
      <xdr:col>25</xdr:col>
      <xdr:colOff>466725</xdr:colOff>
      <xdr:row>97</xdr:row>
      <xdr:rowOff>133352</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133350</xdr:colOff>
      <xdr:row>98</xdr:row>
      <xdr:rowOff>180975</xdr:rowOff>
    </xdr:from>
    <xdr:to>
      <xdr:col>23</xdr:col>
      <xdr:colOff>494850</xdr:colOff>
      <xdr:row>110</xdr:row>
      <xdr:rowOff>171225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28575</xdr:colOff>
      <xdr:row>113</xdr:row>
      <xdr:rowOff>0</xdr:rowOff>
    </xdr:from>
    <xdr:to>
      <xdr:col>23</xdr:col>
      <xdr:colOff>580575</xdr:colOff>
      <xdr:row>124</xdr:row>
      <xdr:rowOff>180750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125</xdr:row>
      <xdr:rowOff>190500</xdr:rowOff>
    </xdr:from>
    <xdr:to>
      <xdr:col>29</xdr:col>
      <xdr:colOff>9525</xdr:colOff>
      <xdr:row>125</xdr:row>
      <xdr:rowOff>190500</xdr:rowOff>
    </xdr:to>
    <xdr:cxnSp macro="">
      <xdr:nvCxnSpPr>
        <xdr:cNvPr id="13" name="Straight Connector 12"/>
        <xdr:cNvCxnSpPr/>
      </xdr:nvCxnSpPr>
      <xdr:spPr>
        <a:xfrm>
          <a:off x="123825" y="77152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126</xdr:row>
      <xdr:rowOff>19050</xdr:rowOff>
    </xdr:from>
    <xdr:to>
      <xdr:col>23</xdr:col>
      <xdr:colOff>542475</xdr:colOff>
      <xdr:row>137</xdr:row>
      <xdr:rowOff>104550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145</xdr:row>
      <xdr:rowOff>190500</xdr:rowOff>
    </xdr:from>
    <xdr:to>
      <xdr:col>29</xdr:col>
      <xdr:colOff>9525</xdr:colOff>
      <xdr:row>145</xdr:row>
      <xdr:rowOff>190500</xdr:rowOff>
    </xdr:to>
    <xdr:cxnSp macro="">
      <xdr:nvCxnSpPr>
        <xdr:cNvPr id="15" name="Straight Connector 14"/>
        <xdr:cNvCxnSpPr/>
      </xdr:nvCxnSpPr>
      <xdr:spPr>
        <a:xfrm>
          <a:off x="123825" y="121920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165</xdr:row>
      <xdr:rowOff>190500</xdr:rowOff>
    </xdr:from>
    <xdr:to>
      <xdr:col>29</xdr:col>
      <xdr:colOff>9525</xdr:colOff>
      <xdr:row>165</xdr:row>
      <xdr:rowOff>190500</xdr:rowOff>
    </xdr:to>
    <xdr:cxnSp macro="">
      <xdr:nvCxnSpPr>
        <xdr:cNvPr id="16" name="Straight Connector 15"/>
        <xdr:cNvCxnSpPr/>
      </xdr:nvCxnSpPr>
      <xdr:spPr>
        <a:xfrm>
          <a:off x="123825" y="1552575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185</xdr:row>
      <xdr:rowOff>190500</xdr:rowOff>
    </xdr:from>
    <xdr:to>
      <xdr:col>29</xdr:col>
      <xdr:colOff>9525</xdr:colOff>
      <xdr:row>185</xdr:row>
      <xdr:rowOff>190500</xdr:rowOff>
    </xdr:to>
    <xdr:cxnSp macro="">
      <xdr:nvCxnSpPr>
        <xdr:cNvPr id="17" name="Straight Connector 16"/>
        <xdr:cNvCxnSpPr/>
      </xdr:nvCxnSpPr>
      <xdr:spPr>
        <a:xfrm>
          <a:off x="123825" y="18859500"/>
          <a:ext cx="146113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28575</xdr:colOff>
      <xdr:row>145</xdr:row>
      <xdr:rowOff>295275</xdr:rowOff>
    </xdr:from>
    <xdr:to>
      <xdr:col>23</xdr:col>
      <xdr:colOff>580575</xdr:colOff>
      <xdr:row>156</xdr:row>
      <xdr:rowOff>190275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165</xdr:row>
      <xdr:rowOff>352425</xdr:rowOff>
    </xdr:from>
    <xdr:to>
      <xdr:col>23</xdr:col>
      <xdr:colOff>552000</xdr:colOff>
      <xdr:row>177</xdr:row>
      <xdr:rowOff>56925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142875</xdr:colOff>
      <xdr:row>185</xdr:row>
      <xdr:rowOff>333375</xdr:rowOff>
    </xdr:from>
    <xdr:to>
      <xdr:col>23</xdr:col>
      <xdr:colOff>561975</xdr:colOff>
      <xdr:row>196</xdr:row>
      <xdr:rowOff>142875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28575</xdr:colOff>
      <xdr:row>207</xdr:row>
      <xdr:rowOff>114300</xdr:rowOff>
    </xdr:from>
    <xdr:to>
      <xdr:col>23</xdr:col>
      <xdr:colOff>571500</xdr:colOff>
      <xdr:row>218</xdr:row>
      <xdr:rowOff>9524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104775</xdr:colOff>
      <xdr:row>18</xdr:row>
      <xdr:rowOff>47625</xdr:rowOff>
    </xdr:from>
    <xdr:to>
      <xdr:col>23</xdr:col>
      <xdr:colOff>485775</xdr:colOff>
      <xdr:row>29</xdr:row>
      <xdr:rowOff>66449</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17</xdr:row>
      <xdr:rowOff>190500</xdr:rowOff>
    </xdr:from>
    <xdr:to>
      <xdr:col>29</xdr:col>
      <xdr:colOff>9525</xdr:colOff>
      <xdr:row>17</xdr:row>
      <xdr:rowOff>190500</xdr:rowOff>
    </xdr:to>
    <xdr:cxnSp macro="">
      <xdr:nvCxnSpPr>
        <xdr:cNvPr id="24" name="Straight Connector 23"/>
        <xdr:cNvCxnSpPr/>
      </xdr:nvCxnSpPr>
      <xdr:spPr>
        <a:xfrm>
          <a:off x="123825" y="6400800"/>
          <a:ext cx="15792450" cy="0"/>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171450</xdr:colOff>
      <xdr:row>30</xdr:row>
      <xdr:rowOff>76199</xdr:rowOff>
    </xdr:from>
    <xdr:to>
      <xdr:col>23</xdr:col>
      <xdr:colOff>514350</xdr:colOff>
      <xdr:row>42</xdr:row>
      <xdr:rowOff>18824</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17</xdr:col>
      <xdr:colOff>180975</xdr:colOff>
      <xdr:row>42</xdr:row>
      <xdr:rowOff>66675</xdr:rowOff>
    </xdr:from>
    <xdr:to>
      <xdr:col>23</xdr:col>
      <xdr:colOff>542475</xdr:colOff>
      <xdr:row>53</xdr:row>
      <xdr:rowOff>152175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47625</xdr:colOff>
      <xdr:row>78</xdr:row>
      <xdr:rowOff>57149</xdr:rowOff>
    </xdr:from>
    <xdr:to>
      <xdr:col>25</xdr:col>
      <xdr:colOff>209551</xdr:colOff>
      <xdr:row>88</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Total beds</a:t>
          </a:r>
        </a:p>
      </cdr:txBody>
    </cdr:sp>
  </cdr:relSizeAnchor>
</c:userShapes>
</file>

<file path=xl/drawings/drawing11.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14</a:t>
          </a:r>
          <a:r>
            <a:rPr lang="en-GB" sz="800" b="1" baseline="0"/>
            <a:t> days</a:t>
          </a:r>
          <a:endParaRPr lang="en-GB" sz="800" b="1"/>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4" name="Rectangle 3"/>
        <xdr:cNvSpPr/>
      </xdr:nvSpPr>
      <xdr:spPr>
        <a:xfrm>
          <a:off x="0" y="0"/>
          <a:ext cx="0" cy="0"/>
        </a:xfrm>
        <a:prstGeom prst="rect">
          <a:avLst/>
        </a:prstGeom>
        <a:solidFill>
          <a:schemeClr val="bg1">
            <a:shade val="50000"/>
            <a:alpha val="0"/>
          </a:schemeClr>
        </a:solidFill>
        <a:ln w="38100" cmpd="dbl">
          <a:solidFill>
            <a:schemeClr val="bg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xdr:col>
      <xdr:colOff>285750</xdr:colOff>
      <xdr:row>4</xdr:row>
      <xdr:rowOff>47625</xdr:rowOff>
    </xdr:from>
    <xdr:to>
      <xdr:col>9</xdr:col>
      <xdr:colOff>285750</xdr:colOff>
      <xdr:row>18</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0.10583</cdr:x>
      <cdr:y>0</cdr:y>
    </cdr:from>
    <cdr:to>
      <cdr:x>0.30163</cdr:x>
      <cdr:y>0.18548</cdr:y>
    </cdr:to>
    <cdr:sp macro="" textlink="">
      <cdr:nvSpPr>
        <cdr:cNvPr id="2" name="TextBox 1"/>
        <cdr:cNvSpPr txBox="1"/>
      </cdr:nvSpPr>
      <cdr:spPr>
        <a:xfrm xmlns:a="http://schemas.openxmlformats.org/drawingml/2006/main">
          <a:off x="381001" y="0"/>
          <a:ext cx="7048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latin typeface="+mn-lt"/>
            </a:rPr>
            <a:t>Over 7 days</a:t>
          </a:r>
        </a:p>
      </cdr:txBody>
    </cdr:sp>
  </cdr:relSizeAnchor>
</c:userShapes>
</file>

<file path=xl/drawings/drawing3.xml><?xml version="1.0" encoding="utf-8"?>
<c:userShapes xmlns:c="http://schemas.openxmlformats.org/drawingml/2006/chart">
  <cdr:relSizeAnchor xmlns:cdr="http://schemas.openxmlformats.org/drawingml/2006/chartDrawing">
    <cdr:from>
      <cdr:x>0.11113</cdr:x>
      <cdr:y>0.02013</cdr:y>
    </cdr:from>
    <cdr:to>
      <cdr:x>0.32808</cdr:x>
      <cdr:y>0.15436</cdr:y>
    </cdr:to>
    <cdr:sp macro="" textlink="">
      <cdr:nvSpPr>
        <cdr:cNvPr id="2" name="TextBox 1"/>
        <cdr:cNvSpPr txBox="1"/>
      </cdr:nvSpPr>
      <cdr:spPr>
        <a:xfrm xmlns:a="http://schemas.openxmlformats.org/drawingml/2006/main">
          <a:off x="400051" y="28576"/>
          <a:ext cx="78105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Over 21 days</a:t>
          </a:r>
        </a:p>
      </cdr:txBody>
    </cdr:sp>
  </cdr:relSizeAnchor>
</c:userShapes>
</file>

<file path=xl/drawings/drawing4.xml><?xml version="1.0" encoding="utf-8"?>
<c:userShapes xmlns:c="http://schemas.openxmlformats.org/drawingml/2006/chart">
  <cdr:relSizeAnchor xmlns:cdr="http://schemas.openxmlformats.org/drawingml/2006/chartDrawing">
    <cdr:from>
      <cdr:x>0.10142</cdr:x>
      <cdr:y>0.02552</cdr:y>
    </cdr:from>
    <cdr:to>
      <cdr:x>0.36662</cdr:x>
      <cdr:y>0.15206</cdr:y>
    </cdr:to>
    <cdr:sp macro="" textlink="">
      <cdr:nvSpPr>
        <cdr:cNvPr id="2" name="TextBox 1"/>
        <cdr:cNvSpPr txBox="1"/>
      </cdr:nvSpPr>
      <cdr:spPr>
        <a:xfrm xmlns:a="http://schemas.openxmlformats.org/drawingml/2006/main">
          <a:off x="365125" y="50800"/>
          <a:ext cx="954699" cy="25187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a:t>
          </a:r>
          <a:endParaRPr lang="en-GB" sz="800" b="1"/>
        </a:p>
      </cdr:txBody>
    </cdr:sp>
  </cdr:relSizeAnchor>
</c:userShapes>
</file>

<file path=xl/drawings/drawing5.xml><?xml version="1.0" encoding="utf-8"?>
<c:userShapes xmlns:c="http://schemas.openxmlformats.org/drawingml/2006/chart">
  <cdr:relSizeAnchor xmlns:cdr="http://schemas.openxmlformats.org/drawingml/2006/chartDrawing">
    <cdr:from>
      <cdr:x>0.0829</cdr:x>
      <cdr:y>0.03031</cdr:y>
    </cdr:from>
    <cdr:to>
      <cdr:x>0.46831</cdr:x>
      <cdr:y>0.15791</cdr:y>
    </cdr:to>
    <cdr:sp macro="" textlink="">
      <cdr:nvSpPr>
        <cdr:cNvPr id="2" name="TextBox 1"/>
        <cdr:cNvSpPr txBox="1"/>
      </cdr:nvSpPr>
      <cdr:spPr>
        <a:xfrm xmlns:a="http://schemas.openxmlformats.org/drawingml/2006/main">
          <a:off x="298449" y="60325"/>
          <a:ext cx="13874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800" b="1"/>
            <a:t>Beds</a:t>
          </a:r>
          <a:r>
            <a:rPr lang="en-GB" sz="800" b="1" baseline="0"/>
            <a:t> closed unoccupied</a:t>
          </a:r>
          <a:endParaRPr lang="en-GB" sz="800" b="1"/>
        </a:p>
      </cdr:txBody>
    </cdr:sp>
  </cdr:relSizeAnchor>
</c:userShapes>
</file>

<file path=xl/drawings/drawing6.xml><?xml version="1.0" encoding="utf-8"?>
<c:userShapes xmlns:c="http://schemas.openxmlformats.org/drawingml/2006/chart">
  <cdr:relSizeAnchor xmlns:cdr="http://schemas.openxmlformats.org/drawingml/2006/chartDrawing">
    <cdr:from>
      <cdr:x>0.11906</cdr:x>
      <cdr:y>0.02117</cdr:y>
    </cdr:from>
    <cdr:to>
      <cdr:x>0.39952</cdr:x>
      <cdr:y>0.13229</cdr:y>
    </cdr:to>
    <cdr:sp macro="" textlink="">
      <cdr:nvSpPr>
        <cdr:cNvPr id="2" name="TextBox 1"/>
        <cdr:cNvSpPr txBox="1"/>
      </cdr:nvSpPr>
      <cdr:spPr>
        <a:xfrm xmlns:a="http://schemas.openxmlformats.org/drawingml/2006/main">
          <a:off x="428626" y="38100"/>
          <a:ext cx="10096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Ambulance arrivals</a:t>
          </a:r>
        </a:p>
      </cdr:txBody>
    </cdr:sp>
  </cdr:relSizeAnchor>
</c:userShapes>
</file>

<file path=xl/drawings/drawing7.xml><?xml version="1.0" encoding="utf-8"?>
<c:userShapes xmlns:c="http://schemas.openxmlformats.org/drawingml/2006/chart">
  <cdr:relSizeAnchor xmlns:cdr="http://schemas.openxmlformats.org/drawingml/2006/chartDrawing">
    <cdr:from>
      <cdr:x>0.11378</cdr:x>
      <cdr:y>0.03175</cdr:y>
    </cdr:from>
    <cdr:to>
      <cdr:x>0.41805</cdr:x>
      <cdr:y>0.16404</cdr:y>
    </cdr:to>
    <cdr:sp macro="" textlink="">
      <cdr:nvSpPr>
        <cdr:cNvPr id="2" name="TextBox 1"/>
        <cdr:cNvSpPr txBox="1"/>
      </cdr:nvSpPr>
      <cdr:spPr>
        <a:xfrm xmlns:a="http://schemas.openxmlformats.org/drawingml/2006/main">
          <a:off x="409590" y="57153"/>
          <a:ext cx="1095372" cy="2381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800" b="1"/>
            <a:t>% delays &gt;60 mins</a:t>
          </a:r>
        </a:p>
      </cdr:txBody>
    </cdr:sp>
  </cdr:relSizeAnchor>
</c:userShapes>
</file>

<file path=xl/drawings/drawing8.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Core beds</a:t>
          </a:r>
        </a:p>
      </cdr:txBody>
    </cdr:sp>
  </cdr:relSizeAnchor>
</c:userShapes>
</file>

<file path=xl/drawings/drawing9.xml><?xml version="1.0" encoding="utf-8"?>
<c:userShapes xmlns:c="http://schemas.openxmlformats.org/drawingml/2006/chart">
  <cdr:relSizeAnchor xmlns:cdr="http://schemas.openxmlformats.org/drawingml/2006/chartDrawing">
    <cdr:from>
      <cdr:x>0.11906</cdr:x>
      <cdr:y>0.01588</cdr:y>
    </cdr:from>
    <cdr:to>
      <cdr:x>0.36248</cdr:x>
      <cdr:y>0.12171</cdr:y>
    </cdr:to>
    <cdr:sp macro="" textlink="">
      <cdr:nvSpPr>
        <cdr:cNvPr id="2" name="TextBox 1"/>
        <cdr:cNvSpPr txBox="1"/>
      </cdr:nvSpPr>
      <cdr:spPr>
        <a:xfrm xmlns:a="http://schemas.openxmlformats.org/drawingml/2006/main">
          <a:off x="428626" y="28576"/>
          <a:ext cx="876300" cy="190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800" b="1"/>
            <a:t>Escalation beds</a:t>
          </a:r>
        </a:p>
      </cdr:txBody>
    </cdr:sp>
  </cdr:relSizeAnchor>
</c:userShapes>
</file>

<file path=xl/pivotCache/pivotCacheDefinition1.xml><?xml version="1.0" encoding="utf-8"?>
<pivotCacheDefinition xmlns="http://schemas.openxmlformats.org/spreadsheetml/2006/main" xmlns:r="http://schemas.openxmlformats.org/officeDocument/2006/relationships" saveData="0" refreshedBy="Claire Helm" refreshedDate="43475.469944212964" createdVersion="4" refreshedVersion="4" minRefreshableVersion="3" recordCount="0" supportSubquery="1" supportAdvancedDrill="1">
  <cacheSource type="external" connectionId="1"/>
  <cacheFields count="4">
    <cacheField name="[Measures].[Sum of Beds occ over 14 days]" caption="Sum of Beds occ over 14 days" numFmtId="0" hierarchy="84" level="32767"/>
    <cacheField name="[Winter bed occ over 14 days].[Year].[Year]" caption="Year" numFmtId="0" hierarchy="28" level="1">
      <sharedItems containsSemiMixedTypes="0" containsString="0"/>
    </cacheField>
    <cacheField name="[Winter bed occ over 14 days].[Week].[Week]" caption="Week" numFmtId="0" hierarchy="26" level="1">
      <sharedItems count="5">
        <s v="[Winter bed occ over 14 days].[Week].&amp;[1]" c="1"/>
        <s v="[Winter bed occ over 14 days].[Week].&amp;[2]" c="2"/>
        <s v="[Winter bed occ over 14 days].[Week].&amp;[3]" c="3"/>
        <s v="[Winter bed occ over 14 days].[Week].&amp;[4]" c="4"/>
        <s v="[Winter bed occ over 14 days].[Week].&amp;[5]" c="5"/>
      </sharedItems>
    </cacheField>
    <cacheField name="[Winter bed occ over 14 days].[Region].[Region]" caption="Region" numFmtId="0" hierarchy="25" level="1">
      <sharedItems count="5">
        <s v="[Winter bed occ over 14 days].[Region].&amp;[London]" c="London"/>
        <s v="[Winter bed occ over 14 days].[Region].&amp;[Midlands And East Of England]" c="Midlands And East Of England"/>
        <s v="[Winter bed occ over 14 days].[Region].&amp;[North Of England]" c="North Of England"/>
        <s v="[Winter bed occ over 14 days].[Region].&amp;[South East of England]" c="South East of England"/>
        <s v="[Winter bed occ over 14 day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2" unbalanced="0">
      <fieldsUsage count="2">
        <fieldUsage x="-1"/>
        <fieldUsage x="3"/>
      </fieldsUsage>
    </cacheHierarchy>
    <cacheHierarchy uniqueName="[Winter bed occ over 14 days].[Week]" caption="Week" attribute="1" defaultMemberUniqueName="[Winter bed occ over 14 days].[Week].[All]" allUniqueName="[Winter bed occ over 14 days].[Week].[All]" dimensionUniqueName="[Winter bed occ over 14 days]" displayFolder="" count="2" unbalanced="0">
      <fieldsUsage count="2">
        <fieldUsage x="-1"/>
        <fieldUsage x="2"/>
      </fieldsUsage>
    </cacheHierarchy>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2" unbalanced="0">
      <fieldsUsage count="2">
        <fieldUsage x="-1"/>
        <fieldUsage x="1"/>
      </fieldsUsage>
    </cacheHierarchy>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0" unbalanced="0"/>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oneField="1">
      <fieldsUsage count="1">
        <fieldUsage x="0"/>
      </fieldsUsage>
    </cacheHierarchy>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Claire Helm" refreshedDate="43475.46995694444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Claire Helm" refreshedDate="43475.46995810185"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Claire Helm" refreshedDate="43475.46995949074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Claire Helm" refreshedDate="43475.469960648152"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Adult CC beds avail]" caption="Sum of Adult CC beds avail" numFmtId="0" hierarchy="75" level="32767"/>
    <cacheField name="[Measures].[Sum of Adult CC beds occ]" caption="Sum of Adult CC beds occ" numFmtId="0" hierarchy="76" level="32767"/>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4"/>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1"/>
      </fieldsUsage>
    </cacheHierarchy>
    <cacheHierarchy uniqueName="[Measures].[Sum of Adult CC beds occ]" caption="Sum of Adult CC beds occ" measure="1" displayFolder="" measureGroup="Winter daily sitreps" count="0" oneField="1">
      <fieldsUsage count="1">
        <fieldUsage x="2"/>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Claire Helm" refreshedDate="43475.469961805553"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35">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Claire Helm" refreshedDate="43475.46996307870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Claire Helm" refreshedDate="43475.46996423610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3"/>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Claire Helm" refreshedDate="43475.469965509263"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Date].[Date]" caption="Date" numFmtId="0" hierarchy="48" level="1">
      <sharedItems count="35">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1"/>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Claire Helm" refreshedDate="43475.46996678241"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3"/>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Claire Helm" refreshedDate="43475.46996793981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Beds closed norovirus]" caption="Sum of Beds closed norovirus" numFmtId="0" hierarchy="72" level="32767"/>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1"/>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Claire Helm" refreshedDate="43475.4699456018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Measures].[Sum of Beds occ over 7 days]" caption="Sum of Beds occ over 7 days" numFmtId="0" hierarchy="9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oneField="1" hidden="1">
      <fieldsUsage count="1">
        <fieldUsage x="3"/>
      </fieldsUsage>
    </cacheHierarchy>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Claire Helm" refreshedDate="43475.46997013888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Winter daily sitreps].[Day].[Day]" caption="Day" numFmtId="0" hierarchy="49" level="1">
      <sharedItems count="7">
        <s v="[Winter daily sitreps].[Day].&amp;[Friday]" c="Friday"/>
        <s v="[Winter daily sitreps].[Day].&amp;[Monday]" c="Monday"/>
        <s v="[Winter daily sitreps].[Day].&amp;[Saturday]" c="Saturday"/>
        <s v="[Winter daily sitreps].[Day].&amp;[Sunday]" c="Sunday"/>
        <s v="[Winter daily sitreps].[Day].&amp;[Thursday]" c="Thursday"/>
        <s v="[Winter daily sitreps].[Day].&amp;[Tuesday]" c="Tuesday"/>
        <s v="[Winter daily sitreps].[Day].&amp;[Wednesday]" c="Wednesday"/>
      </sharedItems>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Measures].[Average of GA bed occupancy]" caption="Average of GA bed occupancy" numFmtId="0" hierarchy="8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2" unbalanced="0">
      <fieldsUsage count="2">
        <fieldUsage x="-1"/>
        <fieldUsage x="2"/>
      </fieldsUsage>
    </cacheHierarchy>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1"/>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oneField="1">
      <fieldsUsage count="1">
        <fieldUsage x="4"/>
      </fieldsUsage>
    </cacheHierarchy>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Claire Helm" refreshedDate="43475.46997199074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4"/>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Claire Helm" refreshedDate="43475.46997314814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Measures].[Sum of GA total beds avail]" caption="Sum of GA total beds avail" numFmtId="0" hierarchy="71" level="32767"/>
    <cacheField name="[Measures].[Sum of GA total beds occupied]" caption="Sum of GA total beds occupied" numFmtId="0" hierarchy="88" level="32767"/>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3"/>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1"/>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oneField="1" hidden="1">
      <fieldsUsage count="1">
        <fieldUsage x="2"/>
      </fieldsUsage>
    </cacheHierarchy>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Claire Helm" refreshedDate="43475.46997430555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35">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Claire Helm" refreshedDate="43475.469975462962"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GA total beds avail]" caption="Sum of GA total beds avail" numFmtId="0" hierarchy="71" level="32767"/>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5"/>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Claire Helm" refreshedDate="43475.46997662037"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4"/>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2"/>
      </fieldsUsage>
    </cacheHierarchy>
    <cacheHierarchy uniqueName="[Measures].[Sum of GA escalation beds avail]" caption="Sum of GA escalation beds avail" measure="1" displayFolder="" measureGroup="Winter daily sitreps" count="0" oneField="1">
      <fieldsUsage count="1">
        <fieldUsage x="3"/>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Claire Helm" refreshedDate="43475.469977893517" createdVersion="4" refreshedVersion="4" minRefreshableVersion="3" recordCount="0" supportSubquery="1" supportAdvancedDrill="1">
  <cacheSource type="external" connectionId="1"/>
  <cacheFields count="4">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3"/>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Claire Helm" refreshedDate="43475.469978935187"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Winter daily sitreps].[Year].[Year]" caption="Year" numFmtId="0" hierarchy="69" level="1">
      <sharedItems containsSemiMixedTypes="0" containsString="0"/>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2"/>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Claire Helm" refreshedDate="43475.469980092596"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35">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Claire Helm" refreshedDate="43475.469981249997" createdVersion="4" refreshedVersion="4" minRefreshableVersion="3" recordCount="0" supportSubquery="1" supportAdvancedDrill="1">
  <cacheSource type="external" connectionId="1"/>
  <cacheFields count="3">
    <cacheField name="[Measures].[Sum of AE diverts]" caption="Sum of AE diverts" numFmtId="0" hierarchy="70" level="32767"/>
    <cacheField name="[Winter daily sitreps].[Year].[Year]" caption="Year" numFmtId="0" hierarchy="69" level="1">
      <sharedItems containsSemiMixedTypes="0" containsString="0"/>
    </cacheField>
    <cacheField name="[Winter daily sitreps].[Date].[Date]" caption="Date" numFmtId="0" hierarchy="48" level="1">
      <sharedItems count="35">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2"/>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1"/>
      </fieldsUsage>
    </cacheHierarchy>
    <cacheHierarchy uniqueName="[Measures].[Sum of AE diverts]" caption="Sum of AE diverts" measure="1" displayFolder="" measureGroup="Winter daily sitreps" count="0" oneField="1">
      <fieldsUsage count="1">
        <fieldUsage x="0"/>
      </fieldsUsage>
    </cacheHierarchy>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Claire Helm" refreshedDate="43475.46994745370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Name].[Name]" caption="Name" numFmtId="0" hierarchy="58" level="1">
      <sharedItems count="134">
        <s v="[Winter daily sitreps].[Name].&amp;[AINTREE UNIVERSITY HOSPITAL NHS FOUNDATION TRUST]" c="AINTREE UNIVERSITY HOSPITAL NHS FOUNDATION TRUST"/>
        <s v="[Winter daily sitreps].[Name].&amp;[AIREDALE NHS FOUNDATION TRUST]" c="AIREDALE NHS FOUNDATION TRUST"/>
        <s v="[Winter daily sitreps].[Name].&amp;[ALDER HEY CHILDREN'S NHS FOUNDATION TRUST]" c="ALDER HEY CHILDREN'S NHS FOUNDATION TRUST"/>
        <s v="[Winter daily sitreps].[Name].&amp;[ASHFORD AND ST. PETER'S HOSPITALS NHS FOUNDATION TRUST]" c="ASHFORD AND ST. PETER'S HOSPITALS NHS FOUNDATION TRUST"/>
        <s v="[Winter daily sitreps].[Name].&amp;[BARKING, HAVERING AND REDBRIDGE UNIVERSITY HOSPITALS NHS TRUST]" c="BARKING, HAVERING AND REDBRIDGE UNIVERSITY HOSPITALS NHS TRUST"/>
        <s v="[Winter daily sitreps].[Name].&amp;[BARNSLEY HOSPITAL NHS FOUNDATION TRUST]" c="BARNSLEY HOSPITAL NHS FOUNDATION TRUST"/>
        <s v="[Winter daily sitreps].[Name].&amp;[BARTS HEALTH NHS TRUST]" c="BARTS HEALTH NHS TRUST"/>
        <s v="[Winter daily sitreps].[Name].&amp;[BASILDON AND THURROCK UNIVERSITY HOSPITALS NHS FOUNDATION TRUST]" c="BASILDON AND THURROCK UNIVERSITY HOSPITALS NHS FOUNDATION TRUST"/>
        <s v="[Winter daily sitreps].[Name].&amp;[BEDFORD HOSPITAL NHS TRUST]" c="BEDFORD HOSPITAL NHS TRUST"/>
        <s v="[Winter daily sitreps].[Name].&amp;[BIRMINGHAM WOMEN'S AND CHILDREN'S NHS FOUNDATION TRUST]" c="BIRMINGHAM WOMEN'S AND CHILDREN'S NHS FOUNDATION TRUST"/>
        <s v="[Winter daily sitreps].[Name].&amp;[BLACKPOOL TEACHING HOSPITALS NHS FOUNDATION TRUST]" c="BLACKPOOL TEACHING HOSPITALS NHS FOUNDATION TRUST"/>
        <s v="[Winter daily sitreps].[Name].&amp;[BOLTON NHS FOUNDATION TRUST]" c="BOLTON NHS FOUNDATION TRUST"/>
        <s v="[Winter daily sitreps].[Name].&amp;[BRADFORD TEACHING HOSPITALS NHS FOUNDATION TRUST]" c="BRADFORD TEACHING HOSPITALS NHS FOUNDATION TRUST"/>
        <s v="[Winter daily sitreps].[Name].&amp;[BRIGHTON AND SUSSEX UNIVERSITY HOSPITALS NHS TRUST]" c="BRIGHTON AND SUSSEX UNIVERSITY HOSPITALS NHS TRUST"/>
        <s v="[Winter daily sitreps].[Name].&amp;[BUCKINGHAMSHIRE HEALTHCARE NHS TRUST]" c="BUCKINGHAMSHIRE HEALTHCARE NHS TRUST"/>
        <s v="[Winter daily sitreps].[Name].&amp;[CALDERDALE AND HUDDERSFIELD NHS FOUNDATION TRUST]" c="CALDERDALE AND HUDDERSFIELD NHS FOUNDATION TRUST"/>
        <s v="[Winter daily sitreps].[Name].&amp;[CAMBRIDGE UNIVERSITY HOSPITALS NHS FOUNDATION TRUST]" c="CAMBRIDGE UNIVERSITY HOSPITALS NHS FOUNDATION TRUST"/>
        <s v="[Winter daily sitreps].[Name].&amp;[CHELSEA AND WESTMINSTER HOSPITAL NHS FOUNDATION TRUST]" c="CHELSEA AND WESTMINSTER HOSPITAL NHS FOUNDATION TRUST"/>
        <s v="[Winter daily sitreps].[Name].&amp;[CHESTERFIELD ROYAL HOSPITAL NHS FOUNDATION TRUST]" c="CHESTERFIELD ROYAL HOSPITAL NHS FOUNDATION TRUST"/>
        <s v="[Winter daily sitreps].[Name].&amp;[CITY HOSPITALS SUNDERLAND NHS FOUNDATION TRUST]" c="CITY HOSPITALS SUNDERLAND NHS FOUNDATION TRUST"/>
        <s v="[Winter daily sitreps].[Name].&amp;[COUNTESS OF CHESTER HOSPITAL NHS FOUNDATION TRUST]" c="COUNTESS OF CHESTER HOSPITAL NHS FOUNDATION TRUST"/>
        <s v="[Winter daily sitreps].[Name].&amp;[COUNTY DURHAM AND DARLINGTON NHS FOUNDATION TRUST]" c="COUNTY DURHAM AND DARLINGTON NHS FOUNDATION TRUST"/>
        <s v="[Winter daily sitreps].[Name].&amp;[CROYDON HEALTH SERVICES NHS TRUST]" c="CROYDON HEALTH SERVICES NHS TRUST"/>
        <s v="[Winter daily sitreps].[Name].&amp;[DARTFORD AND GRAVESHAM NHS TRUST]" c="DARTFORD AND GRAVESHAM NHS TRUST"/>
        <s v="[Winter daily sitreps].[Name].&amp;[DONCASTER AND BASSETLAW TEACHING HOSPITALS NHS FOUNDATION TRUST]" c="DONCASTER AND BASSETLAW TEACHING HOSPITALS NHS FOUNDATION TRUST"/>
        <s v="[Winter daily sitreps].[Name].&amp;[DORSET COUNTY HOSPITAL NHS FOUNDATION TRUST]" c="DORSET COUNTY HOSPITAL NHS FOUNDATION TRUST"/>
        <s v="[Winter daily sitreps].[Name].&amp;[EAST AND NORTH HERTFORDSHIRE NHS TRUST]" c="EAST AND NORTH HERTFORDSHIRE NHS TRUST"/>
        <s v="[Winter daily sitreps].[Name].&amp;[EAST CHESHIRE NHS TRUST]" c="EAST CHESHIRE NHS TRUST"/>
        <s v="[Winter daily sitreps].[Name].&amp;[EAST KENT HOSPITALS UNIVERSITY NHS FOUNDATION TRUST]" c="EAST KENT HOSPITALS UNIVERSITY NHS FOUNDATION TRUST"/>
        <s v="[Winter daily sitreps].[Name].&amp;[EAST LANCASHIRE HOSPITALS NHS TRUST]" c="EAST LANCASHIRE HOSPITALS NHS TRUST"/>
        <s v="[Winter daily sitreps].[Name].&amp;[EAST SUFFOLK AND NORTH EAST ESSEX NHS FOUNDATION TRUST]" c="EAST SUFFOLK AND NORTH EAST ESSEX NHS FOUNDATION TRUST"/>
        <s v="[Winter daily sitreps].[Name].&amp;[EAST SUSSEX HEALTHCARE NHS TRUST]" c="EAST SUSSEX HEALTHCARE NHS TRUST"/>
        <s v="[Winter daily sitreps].[Name].&amp;[EPSOM AND ST HELIER UNIVERSITY HOSPITALS NHS TRUST]" c="EPSOM AND ST HELIER UNIVERSITY HOSPITALS NHS TRUST"/>
        <s v="[Winter daily sitreps].[Name].&amp;[FRIMLEY HEALTH NHS FOUNDATION TRUST]" c="FRIMLEY HEALTH NHS FOUNDATION TRUST"/>
        <s v="[Winter daily sitreps].[Name].&amp;[GATESHEAD HEALTH NHS FOUNDATION TRUST]" c="GATESHEAD HEALTH NHS FOUNDATION TRUST"/>
        <s v="[Winter daily sitreps].[Name].&amp;[GEORGE ELIOT HOSPITAL NHS TRUST]" c="GEORGE ELIOT HOSPITAL NHS TRUST"/>
        <s v="[Winter daily sitreps].[Name].&amp;[GLOUCESTERSHIRE HOSPITALS NHS FOUNDATION TRUST]" c="GLOUCESTERSHIRE HOSPITALS NHS FOUNDATION TRUST"/>
        <s v="[Winter daily sitreps].[Name].&amp;[GREAT WESTERN HOSPITALS NHS FOUNDATION TRUST]" c="GREAT WESTERN HOSPITALS NHS FOUNDATION TRUST"/>
        <s v="[Winter daily sitreps].[Name].&amp;[GUY'S AND ST THOMAS' NHS FOUNDATION TRUST]" c="GUY'S AND ST THOMAS' NHS FOUNDATION TRUST"/>
        <s v="[Winter daily sitreps].[Name].&amp;[HAMPSHIRE HOSPITALS NHS FOUNDATION TRUST]" c="HAMPSHIRE HOSPITALS NHS FOUNDATION TRUST"/>
        <s v="[Winter daily sitreps].[Name].&amp;[HARROGATE AND DISTRICT NHS FOUNDATION TRUST]" c="HARROGATE AND DISTRICT NHS FOUNDATION TRUST"/>
        <s v="[Winter daily sitreps].[Name].&amp;[HOMERTON UNIVERSITY HOSPITAL NHS FOUNDATION TRUST]" c="HOMERTON UNIVERSITY HOSPITAL NHS FOUNDATION TRUST"/>
        <s v="[Winter daily sitreps].[Name].&amp;[HULL AND EAST YORKSHIRE HOSPITALS NHS TRUST]" c="HULL AND EAST YORKSHIRE HOSPITALS NHS TRUST"/>
        <s v="[Winter daily sitreps].[Name].&amp;[IMPERIAL COLLEGE HEALTHCARE NHS TRUST]" c="IMPERIAL COLLEGE HEALTHCARE NHS TRUST"/>
        <s v="[Winter daily sitreps].[Name].&amp;[ISLE OF WIGHT NHS TRUST]" c="ISLE OF WIGHT NHS TRUST"/>
        <s v="[Winter daily sitreps].[Name].&amp;[JAMES PAGET UNIVERSITY HOSPITALS NHS FOUNDATION TRUST]" c="JAMES PAGET UNIVERSITY HOSPITALS NHS FOUNDATION TRUST"/>
        <s v="[Winter daily sitreps].[Name].&amp;[KETTERING GENERAL HOSPITAL NHS FOUNDATION TRUST]" c="KETTERING GENERAL HOSPITAL NHS FOUNDATION TRUST"/>
        <s v="[Winter daily sitreps].[Name].&amp;[KING'S COLLEGE HOSPITAL NHS FOUNDATION TRUST]" c="KING'S COLLEGE HOSPITAL NHS FOUNDATION TRUST"/>
        <s v="[Winter daily sitreps].[Name].&amp;[KINGSTON HOSPITAL NHS FOUNDATION TRUST]" c="KINGSTON HOSPITAL NHS FOUNDATION TRUST"/>
        <s v="[Winter daily sitreps].[Name].&amp;[LANCASHIRE TEACHING HOSPITALS NHS FOUNDATION TRUST]" c="LANCASHIRE TEACHING HOSPITALS NHS FOUNDATION TRUST"/>
        <s v="[Winter daily sitreps].[Name].&amp;[LEEDS TEACHING HOSPITALS NHS TRUST]" c="LEEDS TEACHING HOSPITALS NHS TRUST"/>
        <s v="[Winter daily sitreps].[Name].&amp;[LEWISHAM AND GREENWICH NHS TRUST]" c="LEWISHAM AND GREENWICH NHS TRUST"/>
        <s v="[Winter daily sitreps].[Name].&amp;[LONDON NORTH WEST UNIVERSITY HEALTHCARE NHS TRUST]" c="LONDON NORTH WEST UNIVERSITY HEALTHCARE NHS TRUST"/>
        <s v="[Winter daily sitreps].[Name].&amp;[LUTON AND DUNSTABLE UNIVERSITY HOSPITAL NHS FOUNDATION TRUST]" c="LUTON AND DUNSTABLE UNIVERSITY HOSPITAL NHS FOUNDATION TRUST"/>
        <s v="[Winter daily sitreps].[Name].&amp;[MAIDSTONE AND TUNBRIDGE WELLS NHS TRUST]" c="MAIDSTONE AND TUNBRIDGE WELLS NHS TRUST"/>
        <s v="[Winter daily sitreps].[Name].&amp;[MANCHESTER UNIVERSITY NHS FOUNDATION TRUST]" c="MANCHESTER UNIVERSITY NHS FOUNDATION TRUST"/>
        <s v="[Winter daily sitreps].[Name].&amp;[MEDWAY NHS FOUNDATION TRUST]" c="MEDWAY NHS FOUNDATION TRUST"/>
        <s v="[Winter daily sitreps].[Name].&amp;[MID CHESHIRE HOSPITALS NHS FOUNDATION TRUST]" c="MID CHESHIRE HOSPITALS NHS FOUNDATION TRUST"/>
        <s v="[Winter daily sitreps].[Name].&amp;[MID ESSEX HOSPITAL SERVICES NHS TRUST]" c="MID ESSEX HOSPITAL SERVICES NHS TRUST"/>
        <s v="[Winter daily sitreps].[Name].&amp;[MID YORKSHIRE HOSPITALS NHS TRUST]" c="MID YORKSHIRE HOSPITALS NHS TRUST"/>
        <s v="[Winter daily sitreps].[Name].&amp;[MILTON KEYNES UNIVERSITY HOSPITAL NHS FOUNDATION TRUST]" c="MILTON KEYNES UNIVERSITY HOSPITAL NHS FOUNDATION TRUST"/>
        <s v="[Winter daily sitreps].[Name].&amp;[NORFOLK AND NORWICH UNIVERSITY HOSPITALS NHS FOUNDATION TRUST]" c="NORFOLK AND NORWICH UNIVERSITY HOSPITALS NHS FOUNDATION TRUST"/>
        <s v="[Winter daily sitreps].[Name].&amp;[NORTH BRISTOL NHS TRUST]" c="NORTH BRISTOL NHS TRUST"/>
        <s v="[Winter daily sitreps].[Name].&amp;[NORTH CUMBRIA UNIVERSITY HOSPITALS NHS TRUST]" c="NORTH CUMBRIA UNIVERSITY HOSPITALS NHS TRUST"/>
        <s v="[Winter daily sitreps].[Name].&amp;[NORTH MIDDLESEX UNIVERSITY HOSPITAL NHS TRUST]" c="NORTH MIDDLESEX UNIVERSITY HOSPITAL NHS TRUST"/>
        <s v="[Winter daily sitreps].[Name].&amp;[NORTH TEES AND HARTLEPOOL NHS FOUNDATION TRUST]" c="NORTH TEES AND HARTLEPOOL NHS FOUNDATION TRUST"/>
        <s v="[Winter daily sitreps].[Name].&amp;[NORTH WEST ANGLIA NHS FOUNDATION TRUST]" c="NORTH WEST ANGLIA NHS FOUNDATION TRUST"/>
        <s v="[Winter daily sitreps].[Name].&amp;[NORTHAMPTON GENERAL HOSPITAL NHS TRUST]" c="NORTHAMPTON GENERAL HOSPITAL NHS TRUST"/>
        <s v="[Winter daily sitreps].[Name].&amp;[NORTHERN DEVON HEALTHCARE NHS TRUST]" c="NORTHERN DEVON HEALTHCARE NHS TRUST"/>
        <s v="[Winter daily sitreps].[Name].&amp;[NORTHERN LINCOLNSHIRE AND GOOLE NHS FOUNDATION TRUST]" c="NORTHERN LINCOLNSHIRE AND GOOLE NHS FOUNDATION TRUST"/>
        <s v="[Winter daily sitreps].[Name].&amp;[NORTHUMBRIA HEALTHCARE NHS FOUNDATION TRUST]" c="NORTHUMBRIA HEALTHCARE NHS FOUNDATION TRUST"/>
        <s v="[Winter daily sitreps].[Name].&amp;[NOTTINGHAM UNIVERSITY HOSPITALS NHS TRUST]" c="NOTTINGHAM UNIVERSITY HOSPITALS NHS TRUST"/>
        <s v="[Winter daily sitreps].[Name].&amp;[OXFORD UNIVERSITY HOSPITALS NHS FOUNDATION TRUST]" c="OXFORD UNIVERSITY HOSPITALS NHS FOUNDATION TRUST"/>
        <s v="[Winter daily sitreps].[Name].&amp;[PENNINE ACUTE HOSPITALS NHS TRUST]" c="PENNINE ACUTE HOSPITALS NHS TRUST"/>
        <s v="[Winter daily sitreps].[Name].&amp;[POOLE HOSPITAL NHS FOUNDATION TRUST]" c="POOLE HOSPITAL NHS FOUNDATION TRUST"/>
        <s v="[Winter daily sitreps].[Name].&amp;[PORTSMOUTH HOSPITALS NHS TRUST]" c="PORTSMOUTH HOSPITALS NHS TRUST"/>
        <s v="[Winter daily sitreps].[Name].&amp;[ROYAL BERKSHIRE NHS FOUNDATION TRUST]" c="ROYAL BERKSHIRE NHS FOUNDATION TRUST"/>
        <s v="[Winter daily sitreps].[Name].&amp;[ROYAL CORNWALL HOSPITALS NHS TRUST]" c="ROYAL CORNWALL HOSPITALS NHS TRUST"/>
        <s v="[Winter daily sitreps].[Name].&amp;[ROYAL DEVON AND EXETER NHS FOUNDATION TRUST]" c="ROYAL DEVON AND EXETER NHS FOUNDATION TRUST"/>
        <s v="[Winter daily sitreps].[Name].&amp;[ROYAL FREE LONDON NHS FOUNDATION TRUST]" c="ROYAL FREE LONDON NHS FOUNDATION TRUST"/>
        <s v="[Winter daily sitreps].[Name].&amp;[ROYAL LIVERPOOL AND BROADGREEN UNIVERSITY HOSPITALS NHS TRUST]" c="ROYAL LIVERPOOL AND BROADGREEN UNIVERSITY HOSPITALS NHS TRUST"/>
        <s v="[Winter daily sitreps].[Name].&amp;[ROYAL SURREY COUNTY HOSPITAL NHS FOUNDATION TRUST]" c="ROYAL SURREY COUNTY HOSPITAL NHS FOUNDATION TRUST"/>
        <s v="[Winter daily sitreps].[Name].&amp;[ROYAL UNITED HOSPITALS BATH NHS FOUNDATION TRUST]" c="ROYAL UNITED HOSPITALS BATH NHS FOUNDATION TRUST"/>
        <s v="[Winter daily sitreps].[Name].&amp;[SALFORD ROYAL NHS FOUNDATION TRUST]" c="SALFORD ROYAL NHS FOUNDATION TRUST"/>
        <s v="[Winter daily sitreps].[Name].&amp;[SALISBURY NHS FOUNDATION TRUST]" c="SALISBURY NHS FOUNDATION TRUST"/>
        <s v="[Winter daily sitreps].[Name].&amp;[SANDWELL AND WEST BIRMINGHAM HOSPITALS NHS TRUST]" c="SANDWELL AND WEST BIRMINGHAM HOSPITALS NHS TRUST"/>
        <s v="[Winter daily sitreps].[Name].&amp;[SHEFFIELD CHILDREN'S NHS FOUNDATION TRUST]" c="SHEFFIELD CHILDREN'S NHS FOUNDATION TRUST"/>
        <s v="[Winter daily sitreps].[Name].&amp;[SHEFFIELD TEACHING HOSPITALS NHS FOUNDATION TRUST]" c="SHEFFIELD TEACHING HOSPITALS NHS FOUNDATION TRUST"/>
        <s v="[Winter daily sitreps].[Name].&amp;[SHERWOOD FOREST HOSPITALS NHS FOUNDATION TRUST]" c="SHERWOOD FOREST HOSPITALS NHS FOUNDATION TRUST"/>
        <s v="[Winter daily sitreps].[Name].&amp;[SHREWSBURY AND TELFORD HOSPITAL NHS TRUST]" c="SHREWSBURY AND TELFORD HOSPITAL NHS TRUST"/>
        <s v="[Winter daily sitreps].[Name].&amp;[SOUTH TEES HOSPITALS NHS FOUNDATION TRUST]" c="SOUTH TEES HOSPITALS NHS FOUNDATION TRUST"/>
        <s v="[Winter daily sitreps].[Name].&amp;[SOUTH TYNESIDE NHS FOUNDATION TRUST]" c="SOUTH TYNESIDE NHS FOUNDATION TRUST"/>
        <s v="[Winter daily sitreps].[Name].&amp;[SOUTH WARWICKSHIRE NHS FOUNDATION TRUST]" c="SOUTH WARWICKSHIRE NHS FOUNDATION TRUST"/>
        <s v="[Winter daily sitreps].[Name].&amp;[SOUTHEND UNIVERSITY HOSPITAL NHS FOUNDATION TRUST]" c="SOUTHEND UNIVERSITY HOSPITAL NHS FOUNDATION TRUST"/>
        <s v="[Winter daily sitreps].[Name].&amp;[SOUTHPORT AND ORMSKIRK HOSPITAL NHS TRUST]" c="SOUTHPORT AND ORMSKIRK HOSPITAL NHS TRUST"/>
        <s v="[Winter daily sitreps].[Name].&amp;[ST GEORGE'S UNIVERSITY HOSPITALS NHS FOUNDATION TRUST]" c="ST GEORGE'S UNIVERSITY HOSPITALS NHS FOUNDATION TRUST"/>
        <s v="[Winter daily sitreps].[Name].&amp;[ST HELENS AND KNOWSLEY HOSPITALS NHS TRUST]" c="ST HELENS AND KNOWSLEY HOSPITALS NHS TRUST"/>
        <s v="[Winter daily sitreps].[Name].&amp;[STOCKPORT NHS FOUNDATION TRUST]" c="STOCKPORT NHS FOUNDATION TRUST"/>
        <s v="[Winter daily sitreps].[Name].&amp;[SURREY AND SUSSEX HEALTHCARE NHS TRUST]" c="SURREY AND SUSSEX HEALTHCARE NHS TRUST"/>
        <s v="[Winter daily sitreps].[Name].&amp;[TAMESIDE AND GLOSSOP INTEGRATED CARE NHS FOUNDATION TRUST]" c="TAMESIDE AND GLOSSOP INTEGRATED CARE NHS FOUNDATION TRUST"/>
        <s v="[Winter daily sitreps].[Name].&amp;[TAUNTON AND SOMERSET NHS FOUNDATION TRUST]" c="TAUNTON AND SOMERSET NHS FOUNDATION TRUST"/>
        <s v="[Winter daily sitreps].[Name].&amp;[THE DUDLEY GROUP NHS FOUNDATION TRUST]" c="THE DUDLEY GROUP NHS FOUNDATION TRUST"/>
        <s v="[Winter daily sitreps].[Name].&amp;[THE HILLINGDON HOSPITALS NHS FOUNDATION TRUST]" c="THE HILLINGDON HOSPITALS NHS FOUNDATION TRUST"/>
        <s v="[Winter daily sitreps].[Name].&amp;[THE NEWCASTLE UPON TYNE HOSPITALS NHS FOUNDATION TRUST]" c="THE NEWCASTLE UPON TYNE HOSPITALS NHS FOUNDATION TRUST"/>
        <s v="[Winter daily sitreps].[Name].&amp;[THE PRINCESS ALEXANDRA HOSPITAL NHS TRUST]" c="THE PRINCESS ALEXANDRA HOSPITAL NHS TRUST"/>
        <s v="[Winter daily sitreps].[Name].&amp;[THE QUEEN ELIZABETH HOSPITAL, KING'S LYNN, NHS FOUNDATION TRUST]" c="THE QUEEN ELIZABETH HOSPITAL, KING'S LYNN, NHS FOUNDATION TRUST"/>
        <s v="[Winter daily sitreps].[Name].&amp;[THE ROTHERHAM NHS FOUNDATION TRUST]" c="THE ROTHERHAM NHS FOUNDATION TRUST"/>
        <s v="[Winter daily sitreps].[Name].&amp;[THE ROYAL BOURNEMOUTH AND CHRISTCHURCH HOSPITALS NHS FOUNDATION TRUST]" c="THE ROYAL BOURNEMOUTH AND CHRISTCHURCH HOSPITALS NHS FOUNDATION TRUST"/>
        <s v="[Winter daily sitreps].[Name].&amp;[THE ROYAL WOLVERHAMPTON NHS TRUST]" c="THE ROYAL WOLVERHAMPTON NHS TRUST"/>
        <s v="[Winter daily sitreps].[Name].&amp;[TORBAY AND SOUTH DEVON NHS FOUNDATION TRUST]" c="TORBAY AND SOUTH DEVON NHS FOUNDATION TRUST"/>
        <s v="[Winter daily sitreps].[Name].&amp;[UNITED LINCOLNSHIRE HOSPITALS NHS TRUST]" c="UNITED LINCOLNSHIRE HOSPITALS NHS TRUST"/>
        <s v="[Winter daily sitreps].[Name].&amp;[UNIVERSITY COLLEGE LONDON HOSPITALS NHS FOUNDATION TRUST]" c="UNIVERSITY COLLEGE LONDON HOSPITALS NHS FOUNDATION TRUST"/>
        <s v="[Winter daily sitreps].[Name].&amp;[UNIVERSITY HOSPITAL SOUTHAMPTON NHS FOUNDATION TRUST]" c="UNIVERSITY HOSPITAL SOUTHAMPTON NHS FOUNDATION TRUST"/>
        <s v="[Winter daily sitreps].[Name].&amp;[UNIVERSITY HOSPITALS BIRMINGHAM NHS FOUNDATION TRUST]" c="UNIVERSITY HOSPITALS BIRMINGHAM NHS FOUNDATION TRUST"/>
        <s v="[Winter daily sitreps].[Name].&amp;[UNIVERSITY HOSPITALS BRISTOL NHS FOUNDATION TRUST]" c="UNIVERSITY HOSPITALS BRISTOL NHS FOUNDATION TRUST"/>
        <s v="[Winter daily sitreps].[Name].&amp;[UNIVERSITY HOSPITALS COVENTRY AND WARWICKSHIRE NHS TRUST]" c="UNIVERSITY HOSPITALS COVENTRY AND WARWICKSHIRE NHS TRUST"/>
        <s v="[Winter daily sitreps].[Name].&amp;[UNIVERSITY HOSPITALS OF DERBY AND BURTON NHS FOUNDATION TRUST]" c="UNIVERSITY HOSPITALS OF DERBY AND BURTON NHS FOUNDATION TRUST"/>
        <s v="[Winter daily sitreps].[Name].&amp;[UNIVERSITY HOSPITALS OF LEICESTER NHS TRUST]" c="UNIVERSITY HOSPITALS OF LEICESTER NHS TRUST"/>
        <s v="[Winter daily sitreps].[Name].&amp;[UNIVERSITY HOSPITALS OF MORECAMBE BAY NHS FOUNDATION TRUST]" c="UNIVERSITY HOSPITALS OF MORECAMBE BAY NHS FOUNDATION TRUST"/>
        <s v="[Winter daily sitreps].[Name].&amp;[UNIVERSITY HOSPITALS OF NORTH MIDLANDS NHS TRUST]" c="UNIVERSITY HOSPITALS OF NORTH MIDLANDS NHS TRUST"/>
        <s v="[Winter daily sitreps].[Name].&amp;[UNIVERSITY HOSPITALS PLYMOUTH NHS TRUST]" c="UNIVERSITY HOSPITALS PLYMOUTH NHS TRUST"/>
        <s v="[Winter daily sitreps].[Name].&amp;[WALSALL HEALTHCARE NHS TRUST]" c="WALSALL HEALTHCARE NHS TRUST"/>
        <s v="[Winter daily sitreps].[Name].&amp;[WARRINGTON AND HALTON HOSPITALS NHS FOUNDATION TRUST]" c="WARRINGTON AND HALTON HOSPITALS NHS FOUNDATION TRUST"/>
        <s v="[Winter daily sitreps].[Name].&amp;[WEST HERTFORDSHIRE HOSPITALS NHS TRUST]" c="WEST HERTFORDSHIRE HOSPITALS NHS TRUST"/>
        <s v="[Winter daily sitreps].[Name].&amp;[WEST SUFFOLK NHS FOUNDATION TRUST]" c="WEST SUFFOLK NHS FOUNDATION TRUST"/>
        <s v="[Winter daily sitreps].[Name].&amp;[WESTERN SUSSEX HOSPITALS NHS FOUNDATION TRUST]" c="WESTERN SUSSEX HOSPITALS NHS FOUNDATION TRUST"/>
        <s v="[Winter daily sitreps].[Name].&amp;[WESTON AREA HEALTH NHS TRUST]" c="WESTON AREA HEALTH NHS TRUST"/>
        <s v="[Winter daily sitreps].[Name].&amp;[WHITTINGTON HEALTH NHS TRUST]" c="WHITTINGTON HEALTH NHS TRUST"/>
        <s v="[Winter daily sitreps].[Name].&amp;[WIRRAL UNIVERSITY TEACHING HOSPITAL NHS FOUNDATION TRUST]" c="WIRRAL UNIVERSITY TEACHING HOSPITAL NHS FOUNDATION TRUST"/>
        <s v="[Winter daily sitreps].[Name].&amp;[WORCESTERSHIRE ACUTE HOSPITALS NHS TRUST]" c="WORCESTERSHIRE ACUTE HOSPITALS NHS TRUST"/>
        <s v="[Winter daily sitreps].[Name].&amp;[WRIGHTINGTON, WIGAN AND LEIGH NHS FOUNDATION TRUST]" c="WRIGHTINGTON, WIGAN AND LEIGH NHS FOUNDATION TRUST"/>
        <s v="[Winter daily sitreps].[Name].&amp;[WYE VALLEY NHS TRUST]" c="WYE VALLEY NHS TRUST"/>
        <s v="[Winter daily sitreps].[Name].&amp;[YEOVIL DISTRICT HOSPITAL NHS FOUNDATION TRUST]" c="YEOVIL DISTRICT HOSPITAL NHS FOUNDATION TRUST"/>
        <s v="[Winter daily sitreps].[Name].&amp;[YORK TEACHING HOSPITAL NHS FOUNDATION TRUST]" c="YORK TEACHING HOSPITAL NHS FOUNDATION TRUST"/>
      </sharedItems>
    </cacheField>
    <cacheField name="[Measures].[Sum of Amb delays over 60 mins]" caption="Sum of Amb delays over 60 mins" numFmtId="0" hierarchy="7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2" unbalanced="0">
      <fieldsUsage count="2">
        <fieldUsage x="-1"/>
        <fieldUsage x="2"/>
      </fieldsUsage>
    </cacheHierarchy>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3"/>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Claire Helm" refreshedDate="43475.46998240740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Measures].[Sum of Beds occ over 21 days]" caption="Sum of Beds occ over 21 days" numFmtId="0" hierarchy="91"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1"/>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2"/>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oneField="1" hidden="1">
      <fieldsUsage count="1">
        <fieldUsage x="3"/>
      </fieldsUsage>
    </cacheHierarchy>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Claire Helm" refreshedDate="43475.469983796298"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Measures].[Sum of GA core beds avail]" caption="Sum of GA core beds avail" numFmtId="0" hierarchy="82" level="32767"/>
    <cacheField name="[Measures].[Sum of GA escalation beds avail]" caption="Sum of GA escalation beds avail" numFmtId="0" hierarchy="83" level="32767"/>
    <cacheField name="[Measures].[Sum of GA total beds avail]" caption="Sum of GA total beds avail" numFmtId="0" hierarchy="71" level="32767"/>
    <cacheField name="[Winter daily sitreps].[Date].[Date]" caption="Date" numFmtId="0" hierarchy="48" level="1">
      <sharedItems count="35">
        <s v="[Winter daily sitreps].[Date].&amp;[2018-12-03T00:00:00]" c="03/12/18"/>
        <s v="[Winter daily sitreps].[Date].&amp;[2018-12-04T00:00:00]" c="04/12/18"/>
        <s v="[Winter daily sitreps].[Date].&amp;[2018-12-05T00:00:00]" c="05/12/18"/>
        <s v="[Winter daily sitreps].[Date].&amp;[2018-12-06T00:00:00]" c="06/12/18"/>
        <s v="[Winter daily sitreps].[Date].&amp;[2018-12-07T00:00:00]" c="07/12/18"/>
        <s v="[Winter daily sitreps].[Date].&amp;[2018-12-08T00:00:00]" c="08/12/18"/>
        <s v="[Winter daily sitreps].[Date].&amp;[2018-12-09T00:00:00]" c="09/12/18"/>
        <s v="[Winter daily sitreps].[Date].&amp;[2018-12-10T00:00:00]" c="10/12/18"/>
        <s v="[Winter daily sitreps].[Date].&amp;[2018-12-11T00:00:00]" c="11/12/18"/>
        <s v="[Winter daily sitreps].[Date].&amp;[2018-12-12T00:00:00]" c="12/12/18"/>
        <s v="[Winter daily sitreps].[Date].&amp;[2018-12-13T00:00:00]" c="13/12/18"/>
        <s v="[Winter daily sitreps].[Date].&amp;[2018-12-14T00:00:00]" c="14/12/18"/>
        <s v="[Winter daily sitreps].[Date].&amp;[2018-12-15T00:00:00]" c="15/12/18"/>
        <s v="[Winter daily sitreps].[Date].&amp;[2018-12-16T00:00:00]" c="16/12/18"/>
        <s v="[Winter daily sitreps].[Date].&amp;[2018-12-17T00:00:00]" c="17/12/18"/>
        <s v="[Winter daily sitreps].[Date].&amp;[2018-12-18T00:00:00]" c="18/12/18"/>
        <s v="[Winter daily sitreps].[Date].&amp;[2018-12-19T00:00:00]" c="19/12/18"/>
        <s v="[Winter daily sitreps].[Date].&amp;[2018-12-20T00:00:00]" c="20/12/18"/>
        <s v="[Winter daily sitreps].[Date].&amp;[2018-12-21T00:00:00]" c="21/12/18"/>
        <s v="[Winter daily sitreps].[Date].&amp;[2018-12-22T00:00:00]" c="22/12/18"/>
        <s v="[Winter daily sitreps].[Date].&amp;[2018-12-23T00:00:00]" c="23/12/18"/>
        <s v="[Winter daily sitreps].[Date].&amp;[2018-12-24T00:00:00]" c="24/12/18"/>
        <s v="[Winter daily sitreps].[Date].&amp;[2018-12-25T00:00:00]" c="25/12/18"/>
        <s v="[Winter daily sitreps].[Date].&amp;[2018-12-26T00:00:00]" c="26/12/18"/>
        <s v="[Winter daily sitreps].[Date].&amp;[2018-12-27T00:00:00]" c="27/12/18"/>
        <s v="[Winter daily sitreps].[Date].&amp;[2018-12-28T00:00:00]" c="28/12/18"/>
        <s v="[Winter daily sitreps].[Date].&amp;[2018-12-29T00:00:00]" c="29/12/18"/>
        <s v="[Winter daily sitreps].[Date].&amp;[2018-12-30T00:00:00]" c="30/12/18"/>
        <s v="[Winter daily sitreps].[Date].&amp;[2018-12-31T00:00:00]" c="31/12/18"/>
        <s v="[Winter daily sitreps].[Date].&amp;[2019-01-01T00:00:00]" c="01/01/19"/>
        <s v="[Winter daily sitreps].[Date].&amp;[2019-01-02T00:00:00]" c="02/01/19"/>
        <s v="[Winter daily sitreps].[Date].&amp;[2019-01-03T00:00:00]" c="03/01/19"/>
        <s v="[Winter daily sitreps].[Date].&amp;[2019-01-04T00:00:00]" c="04/01/19"/>
        <s v="[Winter daily sitreps].[Date].&amp;[2019-01-05T00:00:00]" c="05/01/19"/>
        <s v="[Winter daily sitreps].[Date].&amp;[2019-01-06T00:00:00]" c="06/01/19"/>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2" unbalanced="0">
      <fieldsUsage count="2">
        <fieldUsage x="-1"/>
        <fieldUsage x="4"/>
      </fieldsUsage>
    </cacheHierarchy>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oneField="1">
      <fieldsUsage count="1">
        <fieldUsage x="3"/>
      </fieldsUsage>
    </cacheHierarchy>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oneField="1">
      <fieldsUsage count="1">
        <fieldUsage x="1"/>
      </fieldsUsage>
    </cacheHierarchy>
    <cacheHierarchy uniqueName="[Measures].[Sum of GA escalation beds avail]" caption="Sum of GA escalation beds avail" measure="1" displayFolder="" measureGroup="Winter daily sitreps" count="0" oneField="1">
      <fieldsUsage count="1">
        <fieldUsage x="2"/>
      </fieldsUsage>
    </cacheHierarchy>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Claire Helm" refreshedDate="43475.469984953706"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Measures].[Sum of Beds closed norovirus]" caption="Sum of Beds closed norovirus" numFmtId="0" hierarchy="72"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oneField="1">
      <fieldsUsage count="1">
        <fieldUsage x="2"/>
      </fieldsUsage>
    </cacheHierarchy>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Claire Helm" refreshedDate="43475.469986226854" createdVersion="4" refreshedVersion="4" minRefreshableVersion="3" recordCount="0" supportSubquery="1" supportAdvancedDrill="1">
  <cacheSource type="external" connectionId="1"/>
  <cacheFields count="3">
    <cacheField name="[Winter daily sitreps].[Year].[Year]" caption="Year" numFmtId="0" hierarchy="69" level="1">
      <sharedItems containsSemiMixedTypes="0" containsString="0"/>
    </cacheField>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Measures].[Sum of Beds closed norovius unocc]" caption="Sum of Beds closed norovius unocc" numFmtId="0" hierarchy="73"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oneField="1">
      <fieldsUsage count="1">
        <fieldUsage x="2"/>
      </fieldsUsage>
    </cacheHierarchy>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4.xml><?xml version="1.0" encoding="utf-8"?>
<pivotCacheDefinition xmlns="http://schemas.openxmlformats.org/spreadsheetml/2006/main" xmlns:r="http://schemas.openxmlformats.org/officeDocument/2006/relationships" saveData="0" refreshedBy="Claire Helm" refreshedDate="43475.46998738426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5.xml><?xml version="1.0" encoding="utf-8"?>
<pivotCacheDefinition xmlns="http://schemas.openxmlformats.org/spreadsheetml/2006/main" xmlns:r="http://schemas.openxmlformats.org/officeDocument/2006/relationships" saveData="0" refreshedBy="Claire Helm" refreshedDate="43475.469988773148"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Measures].[Sum of Adult CC beds avail]" caption="Sum of Adult CC beds avail" numFmtId="0" hierarchy="75" level="32767"/>
    <cacheField name="[Measures].[Sum of Adult CC beds occ]" caption="Sum of Adult CC beds occ" numFmtId="0" hierarchy="76"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oneField="1">
      <fieldsUsage count="1">
        <fieldUsage x="2"/>
      </fieldsUsage>
    </cacheHierarchy>
    <cacheHierarchy uniqueName="[Measures].[Sum of Adult CC beds occ]" caption="Sum of Adult CC beds occ" measure="1" displayFolder="" measureGroup="Winter daily sitreps" count="0" oneField="1">
      <fieldsUsage count="1">
        <fieldUsage x="3"/>
      </fieldsUsage>
    </cacheHierarchy>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6.xml><?xml version="1.0" encoding="utf-8"?>
<pivotCacheDefinition xmlns="http://schemas.openxmlformats.org/spreadsheetml/2006/main" xmlns:r="http://schemas.openxmlformats.org/officeDocument/2006/relationships" saveData="0" refreshedBy="Claire Helm" refreshedDate="43475.469990046295"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7.xml><?xml version="1.0" encoding="utf-8"?>
<pivotCacheDefinition xmlns="http://schemas.openxmlformats.org/spreadsheetml/2006/main" xmlns:r="http://schemas.openxmlformats.org/officeDocument/2006/relationships" saveData="0" refreshedBy="Claire Helm" refreshedDate="43475.46999120370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8.xml><?xml version="1.0" encoding="utf-8"?>
<pivotCacheDefinition xmlns="http://schemas.openxmlformats.org/spreadsheetml/2006/main" xmlns:r="http://schemas.openxmlformats.org/officeDocument/2006/relationships" saveData="0" refreshedBy="Claire Helm" refreshedDate="43475.46999236111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14">
        <s v="[Winter daily sitreps].[Week].&amp;[1.]" c="1"/>
        <s v="[Winter daily sitreps].[Week].&amp;[2.]" c="2"/>
        <s v="[Winter daily sitreps].[Week].&amp;[3.]" c="3"/>
        <s v="[Winter daily sitreps].[Week].&amp;[4.]" c="4"/>
        <s v="[Winter daily sitreps].[Week].&amp;[5.]" c="5"/>
        <s v="[Winter daily sitreps].[Week].&amp;[6.]" c="6"/>
        <s v="[Winter daily sitreps].[Week].&amp;[7.]" c="7"/>
        <s v="[Winter daily sitreps].[Week].&amp;[8.]" c="8"/>
        <s v="[Winter daily sitreps].[Week].&amp;[9.]" c="9"/>
        <s v="[Winter daily sitreps].[Week].&amp;[1.E1]" c="10"/>
        <s v="[Winter daily sitreps].[Week].&amp;[1.1E1]" c="11"/>
        <s v="[Winter daily sitreps].[Week].&amp;[1.2E1]" c="12"/>
        <s v="[Winter daily sitreps].[Week].&amp;[1.3E1]" c="13"/>
        <s v="[Winter daily sitreps].[Week].&amp;[1.4E1]" c="14"/>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9.xml><?xml version="1.0" encoding="utf-8"?>
<pivotCacheDefinition xmlns="http://schemas.openxmlformats.org/spreadsheetml/2006/main" xmlns:r="http://schemas.openxmlformats.org/officeDocument/2006/relationships" saveData="0" refreshedBy="Claire Helm" refreshedDate="43475.469993981482"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2"/>
      </fieldsUsage>
    </cacheHierarchy>
    <cacheHierarchy uniqueName="[Measures].[Sum of Paed Int Care Occ]" caption="Sum of Paed Int Care Occ" measure="1" displayFolder="" measureGroup="Winter daily sitreps" count="0" oneField="1">
      <fieldsUsage count="1">
        <fieldUsage x="3"/>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Claire Helm" refreshedDate="43475.469948958336" createdVersion="4" refreshedVersion="4" minRefreshableVersion="3" recordCount="0" supportSubquery="1" supportAdvancedDrill="1">
  <cacheSource type="external" connectionId="1"/>
  <cacheFields count="6">
    <cacheField name="[Winter daily sitreps].[Year].[Year]" caption="Year" numFmtId="0" hierarchy="69" level="1">
      <sharedItems containsSemiMixedTypes="0" containsString="0"/>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Amb delays 30-60 mins]" caption="Sum of Amb delays 30-60 mins" numFmtId="0" hierarchy="95" level="32767"/>
    <cacheField name="[Measures].[Sum of Amb delays over 60 mins]" caption="Sum of Amb delays over 60 mins" numFmtId="0" hierarchy="74" level="32767"/>
    <cacheField name="[Measures].[Sum of Amb arrivals]" caption="Sum of Amb arrivals" numFmtId="0" hierarchy="94"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oneField="1">
      <fieldsUsage count="1">
        <fieldUsage x="4"/>
      </fieldsUsage>
    </cacheHierarchy>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5"/>
      </fieldsUsage>
    </cacheHierarchy>
    <cacheHierarchy uniqueName="[Measures].[Sum of Amb delays 30-60 mins]" caption="Sum of Amb delays 30-60 mins" measure="1" displayFolder="" measureGroup="Winter daily sitreps" count="0" oneField="1" hidden="1">
      <fieldsUsage count="1">
        <fieldUsage x="3"/>
      </fieldsUsage>
    </cacheHierarchy>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0.xml><?xml version="1.0" encoding="utf-8"?>
<pivotCacheDefinition xmlns="http://schemas.openxmlformats.org/spreadsheetml/2006/main" xmlns:r="http://schemas.openxmlformats.org/officeDocument/2006/relationships" saveData="0" refreshedBy="Claire Helm" refreshedDate="43475.46999513889"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1.xml><?xml version="1.0" encoding="utf-8"?>
<pivotCacheDefinition xmlns="http://schemas.openxmlformats.org/spreadsheetml/2006/main" xmlns:r="http://schemas.openxmlformats.org/officeDocument/2006/relationships" saveData="0" refreshedBy="Claire Helm" refreshedDate="43475.469996180553"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Week]" caption="Week" numFmtId="0" hierarchy="66" level="1">
      <sharedItems count="5">
        <s v="[Winter daily sitreps].[Week].&amp;[1.]" c="1"/>
        <s v="[Winter daily sitreps].[Week].&amp;[2.]" c="2"/>
        <s v="[Winter daily sitreps].[Week].&amp;[3.]" c="3"/>
        <s v="[Winter daily sitreps].[Week].&amp;[4.]" c="4"/>
        <s v="[Winter daily sitreps].[Week].&amp;[5.]" c="5"/>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0" unbalanced="0"/>
    <cacheHierarchy uniqueName="[Winter daily sitreps].[Week]" caption="Week" attribute="1" defaultMemberUniqueName="[Winter daily sitreps].[Week].[All]" allUniqueName="[Winter daily sitreps].[Week].[All]" dimensionUniqueName="[Winter daily sitreps]" displayFolder="" count="2" unbalanced="0">
      <fieldsUsage count="2">
        <fieldUsage x="-1"/>
        <fieldUsage x="1"/>
      </fieldsUsage>
    </cacheHierarchy>
    <cacheHierarchy uniqueName="[Winter daily sitreps].[Week long]" caption="Week long" attribute="1" defaultMemberUniqueName="[Winter daily sitreps].[Week long].[All]" allUniqueName="[Winter daily sitreps].[Week long].[All]" dimensionUniqueName="[Winter daily sitreps]" displayFolder="" count="0" unbalanced="0"/>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2"/>
      </fieldsUsage>
    </cacheHierarchy>
    <cacheHierarchy uniqueName="[Measures].[Sum of Neo Int Care occ]" caption="Sum of Neo Int Care occ" measure="1" displayFolder="" measureGroup="Winter daily sitreps" count="0" oneField="1">
      <fieldsUsage count="1">
        <fieldUsage x="3"/>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Claire Helm" refreshedDate="43475.469950115737" createdVersion="4" refreshedVersion="4" minRefreshableVersion="3" recordCount="0" supportSubquery="1" supportAdvancedDrill="1">
  <cacheSource type="external" connectionId="1"/>
  <cacheFields count="4">
    <cacheField name="[Winter daily sitreps].[Year].[Year]" caption="Year" numFmtId="0" hierarchy="69" level="1">
      <sharedItems containsSemiMixedTypes="0" containsString="0"/>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Measures].[Sum of Amb arrivals]" caption="Sum of Amb arrivals" numFmtId="0" hierarchy="94" level="32767"/>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3"/>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oneField="1" hidden="1">
      <fieldsUsage count="1">
        <fieldUsage x="2"/>
      </fieldsUsage>
    </cacheHierarchy>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Claire Helm" refreshedDate="43475.46995150463"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Claire Helm" refreshedDate="43475.469952893516"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Neo Int Care Avail]" caption="Sum of Neo Int Care Avail" numFmtId="0" hierarchy="79" level="32767"/>
    <cacheField name="[Measures].[Sum of Neo Int Care occ]" caption="Sum of Neo Int Care occ" numFmtId="0" hierarchy="80"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cacheHierarchy uniqueName="[Measures].[Sum of Paed Int Care Occ]" caption="Sum of Paed Int Care Occ" measure="1" displayFolder="" measureGroup="Winter daily sitreps" count="0"/>
    <cacheHierarchy uniqueName="[Measures].[Sum of Neo Int Care Avail]" caption="Sum of Neo Int Care Avail" measure="1" displayFolder="" measureGroup="Winter daily sitreps" count="0" oneField="1">
      <fieldsUsage count="1">
        <fieldUsage x="3"/>
      </fieldsUsage>
    </cacheHierarchy>
    <cacheHierarchy uniqueName="[Measures].[Sum of Neo Int Care occ]" caption="Sum of Neo Int Care occ" measure="1" displayFolder="" measureGroup="Winter daily sitreps" count="0" oneField="1">
      <fieldsUsage count="1">
        <fieldUsage x="4"/>
      </fieldsUsage>
    </cacheHierarchy>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Claire Helm" refreshedDate="43475.469954282409"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5">
        <s v="[Winter daily sitreps].[Week long].&amp;[Week 1]" c="Week 1"/>
        <s v="[Winter daily sitreps].[Week long].&amp;[Week 2]" c="Week 2"/>
        <s v="[Winter daily sitreps].[Week long].&amp;[Week 3]" c="Week 3"/>
        <s v="[Winter daily sitreps].[Week long].&amp;[Week 4]" c="Week 4"/>
        <s v="[Winter daily sitreps].[Week long].&amp;[Week 5]" c="Week 5"/>
      </sharedItems>
    </cacheField>
    <cacheField name="[Winter daily sitreps].[Region].[Region]" caption="Region" numFmtId="0" hierarchy="65" level="1">
      <sharedItems count="5">
        <s v="[Winter daily sitreps].[Region].&amp;[London]" c="London"/>
        <s v="[Winter daily sitreps].[Region].&amp;[Midlands And East Of England]" c="Midlands And East Of England"/>
        <s v="[Winter daily sitreps].[Region].&amp;[North of England]" c="North of England"/>
        <s v="[Winter daily sitreps].[Region].&amp;[South East of England]" c="South East of England"/>
        <s v="[Winter daily sitreps].[Region].&amp;[South West of England]" c="South West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Claire Helm" refreshedDate="43475.469955787034" createdVersion="4" refreshedVersion="4" minRefreshableVersion="3" recordCount="0" supportSubquery="1" supportAdvancedDrill="1">
  <cacheSource type="external" connectionId="1"/>
  <cacheFields count="5">
    <cacheField name="[Winter daily sitreps].[Year].[Year]" caption="Year" numFmtId="0" hierarchy="69" level="1">
      <sharedItems containsSemiMixedTypes="0" containsString="0"/>
    </cacheField>
    <cacheField name="[Winter daily sitreps].[Week long].[Week long]" caption="Week long" numFmtId="0" hierarchy="67" level="1">
      <sharedItems count="14">
        <s v="[Winter daily sitreps].[Week long].&amp;[Week 1]" c="Week 1"/>
        <s v="[Winter daily sitreps].[Week long].&amp;[Week 10]" c="Week 10"/>
        <s v="[Winter daily sitreps].[Week long].&amp;[Week 11]" c="Week 11"/>
        <s v="[Winter daily sitreps].[Week long].&amp;[Week 12]" c="Week 12"/>
        <s v="[Winter daily sitreps].[Week long].&amp;[Week 13]" c="Week 13"/>
        <s v="[Winter daily sitreps].[Week long].&amp;[Week 14]" c="Week 14"/>
        <s v="[Winter daily sitreps].[Week long].&amp;[Week 2]" c="Week 2"/>
        <s v="[Winter daily sitreps].[Week long].&amp;[Week 3]" c="Week 3"/>
        <s v="[Winter daily sitreps].[Week long].&amp;[Week 4]" c="Week 4"/>
        <s v="[Winter daily sitreps].[Week long].&amp;[Week 5]" c="Week 5"/>
        <s v="[Winter daily sitreps].[Week long].&amp;[Week 6]" c="Week 6"/>
        <s v="[Winter daily sitreps].[Week long].&amp;[Week 7]" c="Week 7"/>
        <s v="[Winter daily sitreps].[Week long].&amp;[Week 8]" c="Week 8"/>
        <s v="[Winter daily sitreps].[Week long].&amp;[Week 9]" c="Week 9"/>
      </sharedItems>
    </cacheField>
    <cacheField name="[Winter daily sitreps].[Region].[Region]" caption="Region" numFmtId="0" hierarchy="65" level="1">
      <sharedItems count="4">
        <s v="[Winter daily sitreps].[Region].&amp;[London]" c="London"/>
        <s v="[Winter daily sitreps].[Region].&amp;[Midlands &amp; East]" c="Midlands &amp; East"/>
        <s v="[Winter daily sitreps].[Region].&amp;[North of England]" c="North of England"/>
        <s v="[Winter daily sitreps].[Region].&amp;[South of England]" c="South of England"/>
      </sharedItems>
    </cacheField>
    <cacheField name="[Measures].[Sum of Paed Int Care Avail]" caption="Sum of Paed Int Care Avail" numFmtId="0" hierarchy="77" level="32767"/>
    <cacheField name="[Measures].[Sum of Paed Int Care Occ]" caption="Sum of Paed Int Care Occ" numFmtId="0" hierarchy="78" level="32767"/>
  </cacheFields>
  <cacheHierarchies count="99">
    <cacheHierarchy uniqueName="[Winter bed occ over 14 days].[A E closures]" caption="A E closures" attribute="1" defaultMemberUniqueName="[Winter bed occ over 14 days].[A E closures].[All]" allUniqueName="[Winter bed occ over 14 days].[A E closures].[All]" dimensionUniqueName="[Winter bed occ over 14 days]" displayFolder="" count="0" unbalanced="0"/>
    <cacheHierarchy uniqueName="[Winter bed occ over 14 days].[A E diverts]" caption="A E diverts" attribute="1" defaultMemberUniqueName="[Winter bed occ over 14 days].[A E diverts].[All]" allUniqueName="[Winter bed occ over 14 days].[A E diverts].[All]" dimensionUniqueName="[Winter bed occ over 14 days]" displayFolder="" count="0" unbalanced="0"/>
    <cacheHierarchy uniqueName="[Winter bed occ over 14 days].[Adult CC beds avail]" caption="Adult CC beds avail" attribute="1" defaultMemberUniqueName="[Winter bed occ over 14 days].[Adult CC beds avail].[All]" allUniqueName="[Winter bed occ over 14 days].[Adult CC beds avail].[All]" dimensionUniqueName="[Winter bed occ over 14 days]" displayFolder="" count="0" unbalanced="0"/>
    <cacheHierarchy uniqueName="[Winter bed occ over 14 days].[Adult CC beds occ]" caption="Adult CC beds occ" attribute="1" defaultMemberUniqueName="[Winter bed occ over 14 days].[Adult CC beds occ].[All]" allUniqueName="[Winter bed occ over 14 days].[Adult CC beds occ].[All]" dimensionUniqueName="[Winter bed occ over 14 days]" displayFolder="" count="0" unbalanced="0"/>
    <cacheHierarchy uniqueName="[Winter bed occ over 14 days].[Amb arrivals]" caption="Amb arrivals" attribute="1" defaultMemberUniqueName="[Winter bed occ over 14 days].[Amb arrivals].[All]" allUniqueName="[Winter bed occ over 14 days].[Amb arrivals].[All]" dimensionUniqueName="[Winter bed occ over 14 days]" displayFolder="" count="0" unbalanced="0"/>
    <cacheHierarchy uniqueName="[Winter bed occ over 14 days].[Amb delays 30-60 mins]" caption="Amb delays 30-60 mins" attribute="1" defaultMemberUniqueName="[Winter bed occ over 14 days].[Amb delays 30-60 mins].[All]" allUniqueName="[Winter bed occ over 14 days].[Amb delays 30-60 mins].[All]" dimensionUniqueName="[Winter bed occ over 14 days]" displayFolder="" count="0" unbalanced="0"/>
    <cacheHierarchy uniqueName="[Winter bed occ over 14 days].[Amb delays over 60 mins]" caption="Amb delays over 60 mins" attribute="1" defaultMemberUniqueName="[Winter bed occ over 14 days].[Amb delays over 60 mins].[All]" allUniqueName="[Winter bed occ over 14 days].[Amb delays over 60 mins].[All]" dimensionUniqueName="[Winter bed occ over 14 days]" displayFolder="" count="0" unbalanced="0"/>
    <cacheHierarchy uniqueName="[Winter bed occ over 14 days].[Bank holiday]" caption="Bank holiday" attribute="1" defaultMemberUniqueName="[Winter bed occ over 14 days].[Bank holiday].[All]" allUniqueName="[Winter bed occ over 14 days].[Bank holiday].[All]" dimensionUniqueName="[Winter bed occ over 14 days]" displayFolder="" count="0" unbalanced="0"/>
    <cacheHierarchy uniqueName="[Winter bed occ over 14 days].[Beds closed norovirus]" caption="Beds closed norovirus" attribute="1" defaultMemberUniqueName="[Winter bed occ over 14 days].[Beds closed norovirus].[All]" allUniqueName="[Winter bed occ over 14 days].[Beds closed norovirus].[All]" dimensionUniqueName="[Winter bed occ over 14 days]" displayFolder="" count="0" unbalanced="0"/>
    <cacheHierarchy uniqueName="[Winter bed occ over 14 days].[Beds closed norovius unocc]" caption="Beds closed norovius unocc" attribute="1" defaultMemberUniqueName="[Winter bed occ over 14 days].[Beds closed norovius unocc].[All]" allUniqueName="[Winter bed occ over 14 days].[Beds closed norovius unocc].[All]" dimensionUniqueName="[Winter bed occ over 14 days]" displayFolder="" count="0" unbalanced="0"/>
    <cacheHierarchy uniqueName="[Winter bed occ over 14 days].[Beds occ over 14 days]" caption="Beds occ over 14 days" attribute="1" defaultMemberUniqueName="[Winter bed occ over 14 days].[Beds occ over 14 days].[All]" allUniqueName="[Winter bed occ over 14 days].[Beds occ over 14 days].[All]" dimensionUniqueName="[Winter bed occ over 14 days]" displayFolder="" count="0" unbalanced="0"/>
    <cacheHierarchy uniqueName="[Winter bed occ over 14 days].[Beds occ over 21 days]" caption="Beds occ over 21 days" attribute="1" defaultMemberUniqueName="[Winter bed occ over 14 days].[Beds occ over 21 days].[All]" allUniqueName="[Winter bed occ over 14 days].[Beds occ over 21 days].[All]" dimensionUniqueName="[Winter bed occ over 14 days]" displayFolder="" count="0" unbalanced="0"/>
    <cacheHierarchy uniqueName="[Winter bed occ over 14 days].[Beds occ over 7 days]" caption="Beds occ over 7 days" attribute="1" defaultMemberUniqueName="[Winter bed occ over 14 days].[Beds occ over 7 days].[All]" allUniqueName="[Winter bed occ over 14 days].[Beds occ over 7 days].[All]" dimensionUniqueName="[Winter bed occ over 14 days]" displayFolder="" count="0" unbalanced="0"/>
    <cacheHierarchy uniqueName="[Winter bed occ over 14 days].[Code]" caption="Code" attribute="1" defaultMemberUniqueName="[Winter bed occ over 14 days].[Code].[All]" allUniqueName="[Winter bed occ over 14 days].[Code].[All]" dimensionUniqueName="[Winter bed occ over 14 days]" displayFolder="" count="0" unbalanced="0"/>
    <cacheHierarchy uniqueName="[Winter bed occ over 14 days].[Date]" caption="Date" attribute="1" defaultMemberUniqueName="[Winter bed occ over 14 days].[Date].[All]" allUniqueName="[Winter bed occ over 14 days].[Date].[All]" dimensionUniqueName="[Winter bed occ over 14 days]" displayFolder="" count="0" unbalanced="0"/>
    <cacheHierarchy uniqueName="[Winter bed occ over 14 days].[Day]" caption="Day" attribute="1" defaultMemberUniqueName="[Winter bed occ over 14 days].[Day].[All]" allUniqueName="[Winter bed occ over 14 days].[Day].[All]" dimensionUniqueName="[Winter bed occ over 14 days]" displayFolder="" count="0" unbalanced="0"/>
    <cacheHierarchy uniqueName="[Winter bed occ over 14 days].[G A core beds avail]" caption="G A core beds avail" attribute="1" defaultMemberUniqueName="[Winter bed occ over 14 days].[G A core beds avail].[All]" allUniqueName="[Winter bed occ over 14 days].[G A core beds avail].[All]" dimensionUniqueName="[Winter bed occ over 14 days]" displayFolder="" count="0" unbalanced="0"/>
    <cacheHierarchy uniqueName="[Winter bed occ over 14 days].[G A escalation beds avail]" caption="G A escalation beds avail" attribute="1" defaultMemberUniqueName="[Winter bed occ over 14 days].[G A escalation beds avail].[All]" allUniqueName="[Winter bed occ over 14 days].[G A escalation beds avail].[All]" dimensionUniqueName="[Winter bed occ over 14 days]" displayFolder="" count="0" unbalanced="0"/>
    <cacheHierarchy uniqueName="[Winter bed occ over 14 days].[G A total beds avail]" caption="G A total beds avail" attribute="1" defaultMemberUniqueName="[Winter bed occ over 14 days].[G A total beds avail].[All]" allUniqueName="[Winter bed occ over 14 days].[G A total beds avail].[All]" dimensionUniqueName="[Winter bed occ over 14 days]" displayFolder="" count="0" unbalanced="0"/>
    <cacheHierarchy uniqueName="[Winter bed occ over 14 days].[G A total beds occupied]" caption="G A total beds occupied" attribute="1" defaultMemberUniqueName="[Winter bed occ over 14 days].[G A total beds occupied].[All]" allUniqueName="[Winter bed occ over 14 days].[G A total beds occupied].[All]" dimensionUniqueName="[Winter bed occ over 14 days]" displayFolder="" count="0" unbalanced="0"/>
    <cacheHierarchy uniqueName="[Winter bed occ over 14 days].[Name]" caption="Name" attribute="1" defaultMemberUniqueName="[Winter bed occ over 14 days].[Name].[All]" allUniqueName="[Winter bed occ over 14 days].[Name].[All]" dimensionUniqueName="[Winter bed occ over 14 days]" displayFolder="" count="0" unbalanced="0"/>
    <cacheHierarchy uniqueName="[Winter bed occ over 14 days].[Neo Int Care Avail]" caption="Neo Int Care Avail" attribute="1" defaultMemberUniqueName="[Winter bed occ over 14 days].[Neo Int Care Avail].[All]" allUniqueName="[Winter bed occ over 14 days].[Neo Int Care Avail].[All]" dimensionUniqueName="[Winter bed occ over 14 days]" displayFolder="" count="0" unbalanced="0"/>
    <cacheHierarchy uniqueName="[Winter bed occ over 14 days].[Neo Int Care occ]" caption="Neo Int Care occ" attribute="1" defaultMemberUniqueName="[Winter bed occ over 14 days].[Neo Int Care occ].[All]" allUniqueName="[Winter bed occ over 14 days].[Neo Int Care occ].[All]" dimensionUniqueName="[Winter bed occ over 14 days]" displayFolder="" count="0" unbalanced="0"/>
    <cacheHierarchy uniqueName="[Winter bed occ over 14 days].[Paed Int Care Avail]" caption="Paed Int Care Avail" attribute="1" defaultMemberUniqueName="[Winter bed occ over 14 days].[Paed Int Care Avail].[All]" allUniqueName="[Winter bed occ over 14 days].[Paed Int Care Avail].[All]" dimensionUniqueName="[Winter bed occ over 14 days]" displayFolder="" count="0" unbalanced="0"/>
    <cacheHierarchy uniqueName="[Winter bed occ over 14 days].[Paed Int Care Occ]" caption="Paed Int Care Occ" attribute="1" defaultMemberUniqueName="[Winter bed occ over 14 days].[Paed Int Care Occ].[All]" allUniqueName="[Winter bed occ over 14 days].[Paed Int Care Occ].[All]" dimensionUniqueName="[Winter bed occ over 14 days]" displayFolder="" count="0" unbalanced="0"/>
    <cacheHierarchy uniqueName="[Winter bed occ over 14 days].[Region]" caption="Region" attribute="1" defaultMemberUniqueName="[Winter bed occ over 14 days].[Region].[All]" allUniqueName="[Winter bed occ over 14 days].[Region].[All]" dimensionUniqueName="[Winter bed occ over 14 days]" displayFolder="" count="0" unbalanced="0"/>
    <cacheHierarchy uniqueName="[Winter bed occ over 14 days].[Week]" caption="Week" attribute="1" defaultMemberUniqueName="[Winter bed occ over 14 days].[Week].[All]" allUniqueName="[Winter bed occ over 14 days].[Week].[All]" dimensionUniqueName="[Winter bed occ over 14 days]" displayFolder="" count="0" unbalanced="0"/>
    <cacheHierarchy uniqueName="[Winter bed occ over 14 days].[Weekend]" caption="Weekend" attribute="1" defaultMemberUniqueName="[Winter bed occ over 14 days].[Weekend].[All]" allUniqueName="[Winter bed occ over 14 days].[Weekend].[All]" dimensionUniqueName="[Winter bed occ over 14 days]" displayFolder="" count="0" unbalanced="0"/>
    <cacheHierarchy uniqueName="[Winter bed occ over 14 days].[Year]" caption="Year" attribute="1" defaultMemberUniqueName="[Winter bed occ over 14 days].[Year].[All]" allUniqueName="[Winter bed occ over 14 days].[Year].[All]" dimensionUniqueName="[Winter bed occ over 14 days]" displayFolder="" count="0" unbalanced="0"/>
    <cacheHierarchy uniqueName="[Winter daily sitreps].[Adult CC beds avail]" caption="Adult CC beds avail" attribute="1" defaultMemberUniqueName="[Winter daily sitreps].[Adult CC beds avail].[All]" allUniqueName="[Winter daily sitreps].[Adult CC beds avail].[All]" dimensionUniqueName="[Winter daily sitreps]" displayFolder="" count="0" unbalanced="0"/>
    <cacheHierarchy uniqueName="[Winter daily sitreps].[Adult CC beds occ]" caption="Adult CC beds occ" attribute="1" defaultMemberUniqueName="[Winter daily sitreps].[Adult CC beds occ].[All]" allUniqueName="[Winter daily sitreps].[Adult CC beds occ].[All]" dimensionUniqueName="[Winter daily sitreps]" displayFolder="" count="0" unbalanced="0"/>
    <cacheHierarchy uniqueName="[Winter daily sitreps].[AE closures]" caption="AE closures" attribute="1" defaultMemberUniqueName="[Winter daily sitreps].[AE closures].[All]" allUniqueName="[Winter daily sitreps].[AE closures].[All]" dimensionUniqueName="[Winter daily sitreps]" displayFolder="" count="0" unbalanced="0"/>
    <cacheHierarchy uniqueName="[Winter daily sitreps].[AE diverts]" caption="AE diverts" attribute="1" defaultMemberUniqueName="[Winter daily sitreps].[AE diverts].[All]" allUniqueName="[Winter daily sitreps].[AE diverts].[All]" dimensionUniqueName="[Winter daily sitreps]" displayFolder="" count="0" unbalanced="0"/>
    <cacheHierarchy uniqueName="[Winter daily sitreps].[AE total attendances]" caption="AE total attendances" attribute="1" defaultMemberUniqueName="[Winter daily sitreps].[AE total attendances].[All]" allUniqueName="[Winter daily sitreps].[AE total attendances].[All]" dimensionUniqueName="[Winter daily sitreps]" displayFolder="" count="0" unbalanced="0"/>
    <cacheHierarchy uniqueName="[Winter daily sitreps].[AE type 1 attendances]" caption="AE type 1 attendances" attribute="1" defaultMemberUniqueName="[Winter daily sitreps].[AE type 1 attendances].[All]" allUniqueName="[Winter daily sitreps].[AE type 1 attendances].[All]" dimensionUniqueName="[Winter daily sitreps]" displayFolder="" count="0" unbalanced="0"/>
    <cacheHierarchy uniqueName="[Winter daily sitreps].[AE type 2 attendances]" caption="AE type 2 attendances" attribute="1" defaultMemberUniqueName="[Winter daily sitreps].[AE type 2 attendances].[All]" allUniqueName="[Winter daily sitreps].[AE type 2 attendances].[All]" dimensionUniqueName="[Winter daily sitreps]" displayFolder="" count="0" unbalanced="0"/>
    <cacheHierarchy uniqueName="[Winter daily sitreps].[AE type 3 attendances]" caption="AE type 3 attendances" attribute="1" defaultMemberUniqueName="[Winter daily sitreps].[AE type 3 attendances].[All]" allUniqueName="[Winter daily sitreps].[AE type 3 attendances].[All]" dimensionUniqueName="[Winter daily sitreps]" displayFolder="" count="0" unbalanced="0"/>
    <cacheHierarchy uniqueName="[Winter daily sitreps].[Amb arrivals]" caption="Amb arrivals" attribute="1" defaultMemberUniqueName="[Winter daily sitreps].[Amb arrivals].[All]" allUniqueName="[Winter daily sitreps].[Amb arrivals].[All]" dimensionUniqueName="[Winter daily sitreps]" displayFolder="" count="0" unbalanced="0"/>
    <cacheHierarchy uniqueName="[Winter daily sitreps].[Amb delays 30-60 mins]" caption="Amb delays 30-60 mins" attribute="1" defaultMemberUniqueName="[Winter daily sitreps].[Amb delays 30-60 mins].[All]" allUniqueName="[Winter daily sitreps].[Amb delays 30-60 mins].[All]" dimensionUniqueName="[Winter daily sitreps]" displayFolder="" count="0" unbalanced="0"/>
    <cacheHierarchy uniqueName="[Winter daily sitreps].[Amb delays over 60 mins]" caption="Amb delays over 60 mins" attribute="1" defaultMemberUniqueName="[Winter daily sitreps].[Amb delays over 60 mins].[All]" allUniqueName="[Winter daily sitreps].[Amb delays over 60 mins].[All]" dimensionUniqueName="[Winter daily sitreps]" displayFolder="" count="0" unbalanced="0"/>
    <cacheHierarchy uniqueName="[Winter daily sitreps].[Bank holiday]" caption="Bank holiday" attribute="1" defaultMemberUniqueName="[Winter daily sitreps].[Bank holiday].[All]" allUniqueName="[Winter daily sitreps].[Bank holiday].[All]" dimensionUniqueName="[Winter daily sitreps]" displayFolder="" count="0" unbalanced="0"/>
    <cacheHierarchy uniqueName="[Winter daily sitreps].[Beds closed norovirus]" caption="Beds closed norovirus" attribute="1" defaultMemberUniqueName="[Winter daily sitreps].[Beds closed norovirus].[All]" allUniqueName="[Winter daily sitreps].[Beds closed norovirus].[All]" dimensionUniqueName="[Winter daily sitreps]" displayFolder="" count="0" unbalanced="0"/>
    <cacheHierarchy uniqueName="[Winter daily sitreps].[Beds closed norovius unocc]" caption="Beds closed norovius unocc" attribute="1" defaultMemberUniqueName="[Winter daily sitreps].[Beds closed norovius unocc].[All]" allUniqueName="[Winter daily sitreps].[Beds closed norovius unocc].[All]" dimensionUniqueName="[Winter daily sitreps]" displayFolder="" count="0" unbalanced="0"/>
    <cacheHierarchy uniqueName="[Winter daily sitreps].[Beds occ over 21 days]" caption="Beds occ over 21 days" attribute="1" defaultMemberUniqueName="[Winter daily sitreps].[Beds occ over 21 days].[All]" allUniqueName="[Winter daily sitreps].[Beds occ over 21 days].[All]" dimensionUniqueName="[Winter daily sitreps]" displayFolder="" count="0" unbalanced="0"/>
    <cacheHierarchy uniqueName="[Winter daily sitreps].[Beds occ over 7 days]" caption="Beds occ over 7 days" attribute="1" defaultMemberUniqueName="[Winter daily sitreps].[Beds occ over 7 days].[All]" allUniqueName="[Winter daily sitreps].[Beds occ over 7 days].[All]" dimensionUniqueName="[Winter daily sitreps]" displayFolder="" count="0" unbalanced="0"/>
    <cacheHierarchy uniqueName="[Winter daily sitreps].[Code]" caption="Code" attribute="1" defaultMemberUniqueName="[Winter daily sitreps].[Code].[All]" allUniqueName="[Winter daily sitreps].[Code].[All]" dimensionUniqueName="[Winter daily sitreps]" displayFolder="" count="0" unbalanced="0"/>
    <cacheHierarchy uniqueName="[Winter daily sitreps].[cri_dataperiodstart]" caption="cri_dataperiodstart" attribute="1" defaultMemberUniqueName="[Winter daily sitreps].[cri_dataperiodstart].[All]" allUniqueName="[Winter daily sitreps].[cri_dataperiodstart].[All]" dimensionUniqueName="[Winter daily sitreps]" displayFolder="" count="0" unbalanced="0"/>
    <cacheHierarchy uniqueName="[Winter daily sitreps].[cri_id]" caption="cri_id" attribute="1" defaultMemberUniqueName="[Winter daily sitreps].[cri_id].[All]" allUniqueName="[Winter daily sitreps].[cri_id].[All]" dimensionUniqueName="[Winter daily sitreps]" displayFolder="" count="0" unbalanced="0"/>
    <cacheHierarchy uniqueName="[Winter daily sitreps].[Date]" caption="Date" attribute="1" defaultMemberUniqueName="[Winter daily sitreps].[Date].[All]" allUniqueName="[Winter daily sitreps].[Date].[All]" dimensionUniqueName="[Winter daily sitreps]" displayFolder="" count="0" unbalanced="0"/>
    <cacheHierarchy uniqueName="[Winter daily sitreps].[Day]" caption="Day" attribute="1" defaultMemberUniqueName="[Winter daily sitreps].[Day].[All]" allUniqueName="[Winter daily sitreps].[Day].[All]" dimensionUniqueName="[Winter daily sitreps]" displayFolder="" count="0" unbalanced="0"/>
    <cacheHierarchy uniqueName="[Winter daily sitreps].[dr_id]" caption="dr_id" attribute="1" defaultMemberUniqueName="[Winter daily sitreps].[dr_id].[All]" allUniqueName="[Winter daily sitreps].[dr_id].[All]" dimensionUniqueName="[Winter daily sitreps]" displayFolder="" count="0" unbalanced="0"/>
    <cacheHierarchy uniqueName="[Winter daily sitreps].[Emergency admissions]" caption="Emergency admissions" attribute="1" defaultMemberUniqueName="[Winter daily sitreps].[Emergency admissions].[All]" allUniqueName="[Winter daily sitreps].[Emergency admissions].[All]" dimensionUniqueName="[Winter daily sitreps]" displayFolder="" count="0" unbalanced="0"/>
    <cacheHierarchy uniqueName="[Winter daily sitreps].[GA bed occupancy]" caption="GA bed occupancy" attribute="1" defaultMemberUniqueName="[Winter daily sitreps].[GA bed occupancy].[All]" allUniqueName="[Winter daily sitreps].[GA bed occupancy].[All]" dimensionUniqueName="[Winter daily sitreps]" displayFolder="" count="0" unbalanced="0"/>
    <cacheHierarchy uniqueName="[Winter daily sitreps].[GA core beds avail]" caption="GA core beds avail" attribute="1" defaultMemberUniqueName="[Winter daily sitreps].[GA core beds avail].[All]" allUniqueName="[Winter daily sitreps].[GA core beds avail].[All]" dimensionUniqueName="[Winter daily sitreps]" displayFolder="" count="0" unbalanced="0"/>
    <cacheHierarchy uniqueName="[Winter daily sitreps].[GA escalation beds avail]" caption="GA escalation beds avail" attribute="1" defaultMemberUniqueName="[Winter daily sitreps].[GA escalation beds avail].[All]" allUniqueName="[Winter daily sitreps].[GA escalation beds avail].[All]" dimensionUniqueName="[Winter daily sitreps]" displayFolder="" count="0" unbalanced="0"/>
    <cacheHierarchy uniqueName="[Winter daily sitreps].[GA total beds avail]" caption="GA total beds avail" attribute="1" defaultMemberUniqueName="[Winter daily sitreps].[GA total beds avail].[All]" allUniqueName="[Winter daily sitreps].[GA total beds avail].[All]" dimensionUniqueName="[Winter daily sitreps]" displayFolder="" count="0" unbalanced="0"/>
    <cacheHierarchy uniqueName="[Winter daily sitreps].[GA total beds occupied]" caption="GA total beds occupied" attribute="1" defaultMemberUniqueName="[Winter daily sitreps].[GA total beds occupied].[All]" allUniqueName="[Winter daily sitreps].[GA total beds occupied].[All]" dimensionUniqueName="[Winter daily sitreps]" displayFolder="" count="0" unbalanced="0"/>
    <cacheHierarchy uniqueName="[Winter daily sitreps].[ID]" caption="ID" attribute="1" defaultMemberUniqueName="[Winter daily sitreps].[ID].[All]" allUniqueName="[Winter daily sitreps].[ID].[All]" dimensionUniqueName="[Winter daily sitreps]" displayFolder="" count="0" unbalanced="0"/>
    <cacheHierarchy uniqueName="[Winter daily sitreps].[Name]" caption="Name" attribute="1" defaultMemberUniqueName="[Winter daily sitreps].[Name].[All]" allUniqueName="[Winter daily sitreps].[Name].[All]" dimensionUniqueName="[Winter daily sitreps]" displayFolder="" count="0" unbalanced="0"/>
    <cacheHierarchy uniqueName="[Winter daily sitreps].[Neo Int Care Avail]" caption="Neo Int Care Avail" attribute="1" defaultMemberUniqueName="[Winter daily sitreps].[Neo Int Care Avail].[All]" allUniqueName="[Winter daily sitreps].[Neo Int Care Avail].[All]" dimensionUniqueName="[Winter daily sitreps]" displayFolder="" count="0" unbalanced="0"/>
    <cacheHierarchy uniqueName="[Winter daily sitreps].[Neo Int Care occ]" caption="Neo Int Care occ" attribute="1" defaultMemberUniqueName="[Winter daily sitreps].[Neo Int Care occ].[All]" allUniqueName="[Winter daily sitreps].[Neo Int Care occ].[All]" dimensionUniqueName="[Winter daily sitreps]" displayFolder="" count="0" unbalanced="0"/>
    <cacheHierarchy uniqueName="[Winter daily sitreps].[OPEL 3 or above]" caption="OPEL 3 or above" attribute="1" defaultMemberUniqueName="[Winter daily sitreps].[OPEL 3 or above].[All]" allUniqueName="[Winter daily sitreps].[OPEL 3 or above].[All]" dimensionUniqueName="[Winter daily sitreps]" displayFolder="" count="0" unbalanced="0"/>
    <cacheHierarchy uniqueName="[Winter daily sitreps].[org_id]" caption="org_id" attribute="1" defaultMemberUniqueName="[Winter daily sitreps].[org_id].[All]" allUniqueName="[Winter daily sitreps].[org_id].[All]" dimensionUniqueName="[Winter daily sitreps]" displayFolder="" count="0" unbalanced="0"/>
    <cacheHierarchy uniqueName="[Winter daily sitreps].[Paed Int Care Avail]" caption="Paed Int Care Avail" attribute="1" defaultMemberUniqueName="[Winter daily sitreps].[Paed Int Care Avail].[All]" allUniqueName="[Winter daily sitreps].[Paed Int Care Avail].[All]" dimensionUniqueName="[Winter daily sitreps]" displayFolder="" count="0" unbalanced="0"/>
    <cacheHierarchy uniqueName="[Winter daily sitreps].[Paed Int Care Occ]" caption="Paed Int Care Occ" attribute="1" defaultMemberUniqueName="[Winter daily sitreps].[Paed Int Care Occ].[All]" allUniqueName="[Winter daily sitreps].[Paed Int Care Occ].[All]" dimensionUniqueName="[Winter daily sitreps]" displayFolder="" count="0" unbalanced="0"/>
    <cacheHierarchy uniqueName="[Winter daily sitreps].[Region]" caption="Region" attribute="1" defaultMemberUniqueName="[Winter daily sitreps].[Region].[All]" allUniqueName="[Winter daily sitreps].[Region].[All]" dimensionUniqueName="[Winter daily sitreps]" displayFolder="" count="2" unbalanced="0">
      <fieldsUsage count="2">
        <fieldUsage x="-1"/>
        <fieldUsage x="2"/>
      </fieldsUsage>
    </cacheHierarchy>
    <cacheHierarchy uniqueName="[Winter daily sitreps].[Week]" caption="Week" attribute="1" defaultMemberUniqueName="[Winter daily sitreps].[Week].[All]" allUniqueName="[Winter daily sitreps].[Week].[All]" dimensionUniqueName="[Winter daily sitreps]" displayFolder="" count="0" unbalanced="0"/>
    <cacheHierarchy uniqueName="[Winter daily sitreps].[Week long]" caption="Week long" attribute="1" defaultMemberUniqueName="[Winter daily sitreps].[Week long].[All]" allUniqueName="[Winter daily sitreps].[Week long].[All]" dimensionUniqueName="[Winter daily sitreps]" displayFolder="" count="2" unbalanced="0">
      <fieldsUsage count="2">
        <fieldUsage x="-1"/>
        <fieldUsage x="1"/>
      </fieldsUsage>
    </cacheHierarchy>
    <cacheHierarchy uniqueName="[Winter daily sitreps].[Weekend]" caption="Weekend" attribute="1" defaultMemberUniqueName="[Winter daily sitreps].[Weekend].[All]" allUniqueName="[Winter daily sitreps].[Weekend].[All]" dimensionUniqueName="[Winter daily sitreps]" displayFolder="" count="0" unbalanced="0"/>
    <cacheHierarchy uniqueName="[Winter daily sitreps].[Year]" caption="Year" attribute="1" defaultMemberUniqueName="[Winter daily sitreps].[Year].[All]" allUniqueName="[Winter daily sitreps].[Year].[All]" dimensionUniqueName="[Winter daily sitreps]" displayFolder="" count="2" unbalanced="0">
      <fieldsUsage count="2">
        <fieldUsage x="-1"/>
        <fieldUsage x="0"/>
      </fieldsUsage>
    </cacheHierarchy>
    <cacheHierarchy uniqueName="[Measures].[Sum of AE diverts]" caption="Sum of AE diverts" measure="1" displayFolder="" measureGroup="Winter daily sitreps" count="0"/>
    <cacheHierarchy uniqueName="[Measures].[Sum of GA total beds avail]" caption="Sum of GA total beds avail" measure="1" displayFolder="" measureGroup="Winter daily sitreps" count="0"/>
    <cacheHierarchy uniqueName="[Measures].[Sum of Beds closed norovirus]" caption="Sum of Beds closed norovirus" measure="1" displayFolder="" measureGroup="Winter daily sitreps" count="0"/>
    <cacheHierarchy uniqueName="[Measures].[Sum of Beds closed norovius unocc]" caption="Sum of Beds closed norovius unocc" measure="1" displayFolder="" measureGroup="Winter daily sitreps" count="0"/>
    <cacheHierarchy uniqueName="[Measures].[Sum of Amb delays over 60 mins]" caption="Sum of Amb delays over 60 mins" measure="1" displayFolder="" measureGroup="Winter daily sitreps" count="0"/>
    <cacheHierarchy uniqueName="[Measures].[Sum of Adult CC beds avail]" caption="Sum of Adult CC beds avail" measure="1" displayFolder="" measureGroup="Winter daily sitreps" count="0"/>
    <cacheHierarchy uniqueName="[Measures].[Sum of Adult CC beds occ]" caption="Sum of Adult CC beds occ" measure="1" displayFolder="" measureGroup="Winter daily sitreps" count="0"/>
    <cacheHierarchy uniqueName="[Measures].[Sum of Paed Int Care Avail]" caption="Sum of Paed Int Care Avail" measure="1" displayFolder="" measureGroup="Winter daily sitreps" count="0" oneField="1">
      <fieldsUsage count="1">
        <fieldUsage x="3"/>
      </fieldsUsage>
    </cacheHierarchy>
    <cacheHierarchy uniqueName="[Measures].[Sum of Paed Int Care Occ]" caption="Sum of Paed Int Care Occ" measure="1" displayFolder="" measureGroup="Winter daily sitreps" count="0" oneField="1">
      <fieldsUsage count="1">
        <fieldUsage x="4"/>
      </fieldsUsage>
    </cacheHierarchy>
    <cacheHierarchy uniqueName="[Measures].[Sum of Neo Int Care Avail]" caption="Sum of Neo Int Care Avail" measure="1" displayFolder="" measureGroup="Winter daily sitreps" count="0"/>
    <cacheHierarchy uniqueName="[Measures].[Sum of Neo Int Care occ]" caption="Sum of Neo Int Care occ" measure="1" displayFolder="" measureGroup="Winter daily sitreps" count="0"/>
    <cacheHierarchy uniqueName="[Measures].[Average of GA bed occupancy]" caption="Average of GA bed occupancy" measure="1" displayFolder="" measureGroup="Winter daily sitreps" count="0"/>
    <cacheHierarchy uniqueName="[Measures].[Sum of GA core beds avail]" caption="Sum of GA core beds avail" measure="1" displayFolder="" measureGroup="Winter daily sitreps" count="0"/>
    <cacheHierarchy uniqueName="[Measures].[Sum of GA escalation beds avail]" caption="Sum of GA escalation beds avail" measure="1" displayFolder="" measureGroup="Winter daily sitreps" count="0"/>
    <cacheHierarchy uniqueName="[Measures].[Sum of Beds occ over 14 days]" caption="Sum of Beds occ over 14 days" measure="1" displayFolder="" measureGroup="Winter bed occ over 14 days" count="0"/>
    <cacheHierarchy uniqueName="[Measures].[_Count Winter daily sitreps]" caption="_Count Winter daily sitreps" measure="1" displayFolder="" measureGroup="Winter daily sitreps" count="0" hidden="1"/>
    <cacheHierarchy uniqueName="[Measures].[_Count Winter bed occ over 14 days]" caption="_Count Winter bed occ over 14 days" measure="1" displayFolder="" measureGroup="Winter bed occ over 14 days" count="0" hidden="1"/>
    <cacheHierarchy uniqueName="[Measures].[__No measures defined]" caption="__No measures defined" measure="1" displayFolder="" count="0" hidden="1"/>
    <cacheHierarchy uniqueName="[Measures].[Sum of GA total beds occupied]" caption="Sum of GA total beds occupied" measure="1" displayFolder="" measureGroup="Winter daily sitreps" count="0" hidden="1"/>
    <cacheHierarchy uniqueName="[Measures].[Average of GA total beds occupied]" caption="Average of GA total beds occupied" measure="1" displayFolder="" measureGroup="Winter daily sitreps" count="0" hidden="1"/>
    <cacheHierarchy uniqueName="[Measures].[Sum of Beds occ over 7 days]" caption="Sum of Beds occ over 7 days" measure="1" displayFolder="" measureGroup="Winter daily sitreps" count="0" hidden="1"/>
    <cacheHierarchy uniqueName="[Measures].[Sum of Beds occ over 21 days]" caption="Sum of Beds occ over 21 days" measure="1" displayFolder="" measureGroup="Winter daily sitreps" count="0" hidden="1"/>
    <cacheHierarchy uniqueName="[Measures].[Average of Beds occ over 21 days]" caption="Average of Beds occ over 21 days" measure="1" displayFolder="" measureGroup="Winter daily sitreps" count="0" hidden="1"/>
    <cacheHierarchy uniqueName="[Measures].[Average of Beds closed norovirus]" caption="Average of Beds closed norovirus" measure="1" displayFolder="" measureGroup="Winter daily sitreps" count="0" hidden="1"/>
    <cacheHierarchy uniqueName="[Measures].[Sum of Amb arrivals]" caption="Sum of Amb arrivals" measure="1" displayFolder="" measureGroup="Winter daily sitreps" count="0" hidden="1"/>
    <cacheHierarchy uniqueName="[Measures].[Sum of Amb delays 30-60 mins]" caption="Sum of Amb delays 30-60 mins" measure="1" displayFolder="" measureGroup="Winter daily sitreps" count="0" hidden="1"/>
    <cacheHierarchy uniqueName="[Measures].[Average of Neo Int Care Avail]" caption="Average of Neo Int Care Avail" measure="1" displayFolder="" measureGroup="Winter daily sitreps" count="0" hidden="1"/>
    <cacheHierarchy uniqueName="[Measures].[Average of Neo Int Care occ]" caption="Average of Neo Int Care occ" measure="1" displayFolder="" measureGroup="Winter daily sitreps" count="0" hidden="1"/>
    <cacheHierarchy uniqueName="[Measures].[Sum of GA bed occupancy]" caption="Sum of GA bed occupancy" measure="1" displayFolder="" measureGroup="Winter daily sitreps" count="0" hidden="1"/>
  </cacheHierarchies>
  <kpis count="0"/>
  <dimensions count="3">
    <dimension measure="1" name="Measures" uniqueName="[Measures]" caption="Measures"/>
    <dimension name="Winter bed occ over 14 days" uniqueName="[Winter bed occ over 14 days]" caption="Winter bed occ over 14 days"/>
    <dimension name="Winter daily sitreps" uniqueName="[Winter daily sitreps]" caption="Winter daily sitreps"/>
  </dimensions>
  <measureGroups count="2">
    <measureGroup name="Winter bed occ over 14 days" caption="Winter bed occ over 14 days"/>
    <measureGroup name="Winter daily sitreps" caption="Winter daily sitreps"/>
  </measureGroups>
  <maps count="2">
    <map measureGroup="0" dimension="1"/>
    <map measureGroup="1" dimension="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pivotTable1.xml><?xml version="1.0" encoding="utf-8"?>
<pivotTableDefinition xmlns="http://schemas.openxmlformats.org/spreadsheetml/2006/main" name="PivotTable6" cacheId="867" applyNumberFormats="0" applyBorderFormats="0" applyFontFormats="0" applyPatternFormats="0" applyAlignmentFormats="0" applyWidthHeightFormats="1" dataCaption="Values" tag="70907dcb-9db8-4617-8784-43e18385953c" updatedVersion="4" minRefreshableVersion="3" useAutoFormatting="1" rowGrandTotals="0" colGrandTotals="0" itemPrintTitles="1" createdVersion="4" indent="0" outline="1" outlineData="1" multipleFieldFilters="0" fieldListSortAscending="1">
  <location ref="AB5:AC40"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s>
  <rowFields count="1">
    <field x="2"/>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PivotTable16" cacheId="859" applyNumberFormats="0" applyBorderFormats="0" applyFontFormats="0" applyPatternFormats="0" applyAlignmentFormats="0" applyWidthHeightFormats="1" dataCaption="Values" tag="75108420-684c-4036-bdfe-dfd1f973e47b" updatedVersion="4" minRefreshableVersion="3" useAutoFormatting="1" itemPrintTitles="1" createdVersion="4" indent="0" outline="1" outlineData="1" multipleFieldFilters="0" fieldListSortAscending="1">
  <location ref="AG5:BV14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axis="axisCol" allDrilled="1" showAll="0" dataSourceSort="1" defaultAttributeDrillState="1">
      <items count="8">
        <item x="0"/>
        <item x="1"/>
        <item x="2"/>
        <item x="3"/>
        <item x="4"/>
        <item x="5"/>
        <item x="6"/>
        <item t="default"/>
      </items>
    </pivotField>
    <pivotField axis="axisCol" allDrilled="1" showAll="0" defaultAttributeDrillState="1">
      <items count="6">
        <item x="0"/>
        <item x="1"/>
        <item x="2"/>
        <item x="3"/>
        <item x="4"/>
        <item t="default"/>
      </items>
    </pivotField>
    <pivotField dataField="1" showAll="0"/>
  </pivotFields>
  <rowFields count="1">
    <field x="1"/>
  </rowFields>
  <rowItems count="1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t="grand">
      <x/>
    </i>
  </rowItems>
  <colFields count="2">
    <field x="3"/>
    <field x="2"/>
  </colFields>
  <colItems count="41">
    <i>
      <x/>
      <x/>
    </i>
    <i r="1">
      <x v="1"/>
    </i>
    <i r="1">
      <x v="2"/>
    </i>
    <i r="1">
      <x v="3"/>
    </i>
    <i r="1">
      <x v="4"/>
    </i>
    <i r="1">
      <x v="5"/>
    </i>
    <i r="1">
      <x v="6"/>
    </i>
    <i t="default">
      <x/>
    </i>
    <i>
      <x v="1"/>
      <x/>
    </i>
    <i r="1">
      <x v="1"/>
    </i>
    <i r="1">
      <x v="2"/>
    </i>
    <i r="1">
      <x v="3"/>
    </i>
    <i r="1">
      <x v="4"/>
    </i>
    <i r="1">
      <x v="5"/>
    </i>
    <i r="1">
      <x v="6"/>
    </i>
    <i t="default">
      <x v="1"/>
    </i>
    <i>
      <x v="2"/>
      <x/>
    </i>
    <i r="1">
      <x v="1"/>
    </i>
    <i r="1">
      <x v="2"/>
    </i>
    <i r="1">
      <x v="3"/>
    </i>
    <i r="1">
      <x v="4"/>
    </i>
    <i r="1">
      <x v="5"/>
    </i>
    <i r="1">
      <x v="6"/>
    </i>
    <i t="default">
      <x v="2"/>
    </i>
    <i>
      <x v="3"/>
      <x/>
    </i>
    <i r="1">
      <x v="1"/>
    </i>
    <i r="1">
      <x v="2"/>
    </i>
    <i r="1">
      <x v="3"/>
    </i>
    <i r="1">
      <x v="4"/>
    </i>
    <i r="1">
      <x v="5"/>
    </i>
    <i r="1">
      <x v="6"/>
    </i>
    <i t="default">
      <x v="3"/>
    </i>
    <i>
      <x v="4"/>
      <x/>
    </i>
    <i r="1">
      <x v="1"/>
    </i>
    <i r="1">
      <x v="2"/>
    </i>
    <i r="1">
      <x v="3"/>
    </i>
    <i r="1">
      <x v="4"/>
    </i>
    <i r="1">
      <x v="5"/>
    </i>
    <i r="1">
      <x v="6"/>
    </i>
    <i t="default">
      <x v="4"/>
    </i>
    <i t="grand">
      <x/>
    </i>
  </colItems>
  <pageFields count="1">
    <pageField fld="0" hier="69" name="[Winter daily sitreps].[Year].&amp;[2018/19]" cap="2018/19"/>
  </pageFields>
  <dataFields count="1">
    <dataField name="Average of GA bed occupancy" fld="4" baseField="1" baseItem="6" numFmtId="164"/>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verage of GA bed occupanc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GA bed occupancy"/>
  </pivotHierarchies>
  <pivotTableStyleInfo name="PivotStyleLight16" showRowHeaders="1" showColHeaders="1" showRowStripes="0" showColStripes="0" showLastColumn="1"/>
  <rowHierarchiesUsage count="1">
    <rowHierarchyUsage hierarchyUsage="58"/>
  </rowHierarchiesUsage>
  <colHierarchiesUsage count="2">
    <colHierarchyUsage hierarchyUsage="67"/>
    <colHierarchyUsage hierarchyUsage="49"/>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PivotTable15" cacheId="860" applyNumberFormats="0" applyBorderFormats="0" applyFontFormats="0" applyPatternFormats="0" applyAlignmentFormats="0" applyWidthHeightFormats="1" dataCaption="Values" tag="a352aa7b-46c6-4630-a505-e65dd965d25a" updatedVersion="4" minRefreshableVersion="3" useAutoFormatting="1" subtotalHiddenItems="1" itemPrintTitles="1" createdVersion="4" indent="0" outline="1" outlineData="1" multipleFieldFilters="0" fieldListSortAscending="1">
  <location ref="I5:U13"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6">
        <item x="0"/>
        <item x="1"/>
        <item x="2"/>
        <item x="3"/>
        <item x="4"/>
        <item t="default"/>
      </items>
    </pivotField>
  </pivotFields>
  <rowFields count="1">
    <field x="4"/>
  </rowFields>
  <rowItems count="6">
    <i>
      <x/>
    </i>
    <i>
      <x v="1"/>
    </i>
    <i>
      <x v="2"/>
    </i>
    <i>
      <x v="3"/>
    </i>
    <i>
      <x v="4"/>
    </i>
    <i t="grand">
      <x/>
    </i>
  </rowItems>
  <colFields count="2">
    <field x="3"/>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PivotTable1" cacheId="840" applyNumberFormats="0" applyBorderFormats="0" applyFontFormats="0" applyPatternFormats="0" applyAlignmentFormats="0" applyWidthHeightFormats="1" dataCaption="Values" tag="adfc440e-7866-4953-bb1b-eb581333be63" updatedVersion="4" minRefreshableVersion="3" useAutoFormatting="1" subtotalHiddenItems="1" itemPrintTitles="1" createdVersion="4" indent="0" outline="1" outlineData="1" multipleFieldFilters="0" fieldListSortAscending="1">
  <location ref="AI6:AO13" firstHeaderRow="1" firstDataRow="2" firstDataCol="1" rowPageCount="1" colPageCount="1"/>
  <pivotFields count="4">
    <pivotField dataField="1" showAll="0"/>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s>
  <rowFields count="1">
    <field x="2"/>
  </rowFields>
  <rowItems count="6">
    <i>
      <x/>
    </i>
    <i>
      <x v="1"/>
    </i>
    <i>
      <x v="2"/>
    </i>
    <i>
      <x v="3"/>
    </i>
    <i>
      <x v="4"/>
    </i>
    <i t="grand">
      <x/>
    </i>
  </rowItems>
  <colFields count="1">
    <field x="3"/>
  </colFields>
  <colItems count="6">
    <i>
      <x/>
    </i>
    <i>
      <x v="1"/>
    </i>
    <i>
      <x v="2"/>
    </i>
    <i>
      <x v="3"/>
    </i>
    <i>
      <x v="4"/>
    </i>
    <i t="grand">
      <x/>
    </i>
  </colItems>
  <pageFields count="1">
    <pageField fld="1" hier="28" name="[Winter bed occ over 14 days].[Year].&amp;[2018/19]" cap="2018/19"/>
  </pageFields>
  <dataFields count="1">
    <dataField name="Sum of Beds occ over 14 day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14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6"/>
  </rowHierarchiesUsage>
  <colHierarchiesUsage count="1">
    <colHierarchyUsage hierarchyUsage="2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PivotTable3" cacheId="869" applyNumberFormats="0" applyBorderFormats="0" applyFontFormats="0" applyPatternFormats="0" applyAlignmentFormats="0" applyWidthHeightFormats="1" dataCaption="Values" tag="ecb01006-d778-4523-bb61-3a857638a5df" updatedVersion="4" minRefreshableVersion="3" useAutoFormatting="1" itemPrintTitles="1" createdVersion="4" indent="0" outline="1" outlineData="1" multipleFieldFilters="0" fieldListSortAscending="1">
  <location ref="R5:X12"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6">
        <item x="0"/>
        <item x="1"/>
        <item x="2"/>
        <item x="3"/>
        <item x="4"/>
        <item t="default"/>
      </items>
    </pivotField>
    <pivotField dataField="1" showAll="0"/>
  </pivotFields>
  <rowFields count="1">
    <field x="2"/>
  </rowFields>
  <rowItems count="6">
    <i>
      <x/>
    </i>
    <i>
      <x v="1"/>
    </i>
    <i>
      <x v="2"/>
    </i>
    <i>
      <x v="3"/>
    </i>
    <i>
      <x v="4"/>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21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caption="Sum of Beds occ over 21 days"/>
    <pivotHierarchy dragToRow="0" dragToCol="0" dragToPage="0" dragToData="1" caption="Sum of Beds occ over 21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PivotTable2" cacheId="841" applyNumberFormats="0" applyBorderFormats="0" applyFontFormats="0" applyPatternFormats="0" applyAlignmentFormats="0" applyWidthHeightFormats="1" dataCaption="Values" tag="68ce7bb5-b9a1-4618-b6f2-2507f223e533" updatedVersion="4" minRefreshableVersion="3" useAutoFormatting="1" itemPrintTitles="1" createdVersion="4" indent="0" outline="1" outlineData="1" multipleFieldFilters="0" fieldListSortAscending="1">
  <location ref="B5:H12"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6">
        <item x="0"/>
        <item x="1"/>
        <item x="2"/>
        <item x="3"/>
        <item x="4"/>
        <item t="default"/>
      </items>
    </pivotField>
    <pivotField dataField="1" showAll="0"/>
  </pivotFields>
  <rowFields count="1">
    <field x="2"/>
  </rowFields>
  <rowItems count="6">
    <i>
      <x/>
    </i>
    <i>
      <x v="1"/>
    </i>
    <i>
      <x v="2"/>
    </i>
    <i>
      <x v="3"/>
    </i>
    <i>
      <x v="4"/>
    </i>
    <i t="grand">
      <x/>
    </i>
  </rowItems>
  <colFields count="1">
    <field x="1"/>
  </colFields>
  <colItems count="6">
    <i>
      <x/>
    </i>
    <i>
      <x v="1"/>
    </i>
    <i>
      <x v="2"/>
    </i>
    <i>
      <x v="3"/>
    </i>
    <i>
      <x v="4"/>
    </i>
    <i t="grand">
      <x/>
    </i>
  </colItems>
  <pageFields count="1">
    <pageField fld="0" hier="69" name="[Winter daily sitreps].[Year].&amp;[2018/19]" cap="2018/19"/>
  </pageFields>
  <dataFields count="1">
    <dataField name="Sum of Beds occ over 7 day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Sum of Beds occ over 7 day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PivotTable22" cacheId="855" applyNumberFormats="0" applyBorderFormats="0" applyFontFormats="0" applyPatternFormats="0" applyAlignmentFormats="0" applyWidthHeightFormats="1" dataCaption="Values" tag="f6e7f0b5-4ed5-4fba-bac3-7097d79e854c" updatedVersion="4" minRefreshableVersion="3" useAutoFormatting="1" subtotalHiddenItems="1" itemPrintTitles="1" createdVersion="4" indent="0" outline="1" outlineData="1" multipleFieldFilters="0" fieldListSortAscending="1">
  <location ref="AZ5:BF12"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 dataField="1" showAll="0"/>
  </pivotFields>
  <rowFields count="1">
    <field x="1"/>
  </rowFields>
  <rowItems count="6">
    <i>
      <x/>
    </i>
    <i>
      <x v="1"/>
    </i>
    <i>
      <x v="2"/>
    </i>
    <i>
      <x v="3"/>
    </i>
    <i>
      <x v="4"/>
    </i>
    <i t="grand">
      <x/>
    </i>
  </rowItems>
  <colFields count="1">
    <field x="2"/>
  </colFields>
  <colItems count="6">
    <i>
      <x/>
    </i>
    <i>
      <x v="1"/>
    </i>
    <i>
      <x v="2"/>
    </i>
    <i>
      <x v="3"/>
    </i>
    <i>
      <x v="4"/>
    </i>
    <i t="grand">
      <x/>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PivotTable23" cacheId="854" applyNumberFormats="0" applyBorderFormats="0" applyFontFormats="0" applyPatternFormats="0" applyAlignmentFormats="0" applyWidthHeightFormats="1" dataCaption="Values" tag="2d9d57d6-241a-4b7d-8007-23756dbf9354" updatedVersion="4" minRefreshableVersion="3" useAutoFormatting="1" rowGrandTotals="0" colGrandTotals="0" itemPrintTitles="1" createdVersion="4" indent="0" outline="1" outlineData="1" multipleFieldFilters="0" fieldListSortAscending="1">
  <location ref="BR5:BW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5">
    <i>
      <x/>
    </i>
    <i>
      <x v="1"/>
    </i>
    <i>
      <x v="2"/>
    </i>
    <i>
      <x v="3"/>
    </i>
    <i>
      <x v="4"/>
    </i>
  </colItems>
  <pageFields count="1">
    <pageField fld="0" hier="69" name="[Winter daily sitreps].[Year].&amp;[2018/19]" cap="2018/19"/>
  </pageFields>
  <dataFields count="1">
    <dataField name="Sum of Beds closed norovius un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PivotTable19" cacheId="857" applyNumberFormats="0" applyBorderFormats="0" applyFontFormats="0" applyPatternFormats="0" applyAlignmentFormats="0" applyWidthHeightFormats="1" dataCaption="Values" tag="e2de2b40-f58f-4522-b985-c9b08a98f818" updatedVersion="4" minRefreshableVersion="3" useAutoFormatting="1" subtotalHiddenItems="1" rowGrandTotals="0" colGrandTotals="0" itemPrintTitles="1" createdVersion="4" indent="0" outline="1" outlineData="1" multipleFieldFilters="0" fieldListSortAscending="1">
  <location ref="Y5:AD140" firstHeaderRow="1" firstDataRow="2" firstDataCol="1" rowPageCount="1" colPageCount="1"/>
  <pivotFields count="4">
    <pivotField axis="axisPage" allDrilled="1" showAll="0" dataSourceSort="1" defaultAttributeDrillState="1">
      <items count="1">
        <item t="default"/>
      </items>
    </pivotField>
    <pivotField dataField="1" showAll="0"/>
    <pivotField axis="axisCol" allDrilled="1" showAll="0" dataSourceSort="1" defaultAttributeDrillState="1">
      <items count="6">
        <item x="0"/>
        <item x="1"/>
        <item x="2"/>
        <item x="3"/>
        <item x="4"/>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s>
  <rowFields count="1">
    <field x="3"/>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2"/>
  </colFields>
  <colItems count="5">
    <i>
      <x/>
    </i>
    <i>
      <x v="1"/>
    </i>
    <i>
      <x v="2"/>
    </i>
    <i>
      <x v="3"/>
    </i>
    <i>
      <x v="4"/>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PivotTable24" cacheId="853" applyNumberFormats="0" applyBorderFormats="0" applyFontFormats="0" applyPatternFormats="0" applyAlignmentFormats="0" applyWidthHeightFormats="1" dataCaption="Values" tag="6a6694bf-2579-4d47-ad99-0cf669c79fb5" updatedVersion="4" minRefreshableVersion="3" useAutoFormatting="1" rowGrandTotals="0" colGrandTotals="0" itemPrintTitles="1" createdVersion="4" indent="0" outline="1" outlineData="1" multipleFieldFilters="0" fieldListSortAscending="1">
  <location ref="CI5:CJ40"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dataField="1" showAll="0"/>
  </pivotFields>
  <rowFields count="1">
    <field x="1"/>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PivotTable17" cacheId="871" applyNumberFormats="0" applyBorderFormats="0" applyFontFormats="0" applyPatternFormats="0" applyAlignmentFormats="0" applyWidthHeightFormats="1" dataCaption="Values" tag="97b77543-1b1d-432f-8c12-86d5d61267bb" updatedVersion="4" minRefreshableVersion="3" useAutoFormatting="1" rowGrandTotals="0" colGrandTotals="0" itemPrintTitles="1" createdVersion="4" indent="0" outline="1" outlineData="1" multipleFieldFilters="0" fieldListSortAscending="1">
  <location ref="B5:C10"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s>
  <rowFields count="1">
    <field x="1"/>
  </rowFields>
  <rowItems count="5">
    <i>
      <x/>
    </i>
    <i>
      <x v="1"/>
    </i>
    <i>
      <x v="2"/>
    </i>
    <i>
      <x v="3"/>
    </i>
    <i>
      <x v="4"/>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PivotTable4" cacheId="868" applyNumberFormats="0" applyBorderFormats="0" applyFontFormats="0" applyPatternFormats="0" applyAlignmentFormats="0" applyWidthHeightFormats="1" dataCaption="Values" tag="9d06cd80-18ab-4970-aab5-c7eca71eb3db" updatedVersion="4" minRefreshableVersion="3" useAutoFormatting="1" rowGrandTotals="0" colGrandTotals="0" itemPrintTitles="1" createdVersion="4" indent="0" outline="1" outlineData="1" multipleFieldFilters="0" fieldListSortAscending="1">
  <location ref="W5:X40" firstHeaderRow="1" firstDataRow="1" firstDataCol="1" rowPageCount="1" colPageCount="1"/>
  <pivotFields count="3">
    <pivotField dataField="1" showAll="0"/>
    <pivotField axis="axisPage" allDrilled="1" showAll="0" dataSourceSort="1" defaultAttributeDrillState="1">
      <items count="1">
        <item t="default"/>
      </items>
    </pivotField>
    <pivotField axis="axisRow" allDrilled="1" showAll="0" dataSourceSort="1"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s>
  <rowFields count="1">
    <field x="2"/>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rowItems>
  <colItems count="1">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PivotTable18" cacheId="858" applyNumberFormats="0" applyBorderFormats="0" applyFontFormats="0" applyPatternFormats="0" applyAlignmentFormats="0" applyWidthHeightFormats="1" dataCaption="Values" tag="8602e907-ddc4-40bb-89ca-8369de914bb2" updatedVersion="4" minRefreshableVersion="3" useAutoFormatting="1" itemPrintTitles="1" createdVersion="4" indent="0" outline="1" outlineData="1" multipleFieldFilters="0" fieldListSortAscending="1">
  <location ref="G5:M12" firstHeaderRow="1" firstDataRow="2" firstDataCol="1" rowPageCount="1" colPageCount="1"/>
  <pivotFields count="4">
    <pivotField axis="axisPage" allDrilled="1" showAll="0" dataSourceSort="1" defaultAttributeDrillState="1">
      <items count="1">
        <item t="default"/>
      </items>
    </pivotField>
    <pivotField dataField="1" showAll="0"/>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s>
  <rowFields count="1">
    <field x="2"/>
  </rowFields>
  <rowItems count="6">
    <i>
      <x/>
    </i>
    <i>
      <x v="1"/>
    </i>
    <i>
      <x v="2"/>
    </i>
    <i>
      <x v="3"/>
    </i>
    <i>
      <x v="4"/>
    </i>
    <i t="grand">
      <x/>
    </i>
  </rowItems>
  <colFields count="1">
    <field x="3"/>
  </colFields>
  <colItems count="6">
    <i>
      <x/>
    </i>
    <i>
      <x v="1"/>
    </i>
    <i>
      <x v="2"/>
    </i>
    <i>
      <x v="3"/>
    </i>
    <i>
      <x v="4"/>
    </i>
    <i t="grand">
      <x/>
    </i>
  </colItems>
  <pageFields count="1">
    <pageField fld="0" hier="69" name="[Winter daily sitreps].[Year].&amp;[2018/19]" cap="2018/19"/>
  </pageFields>
  <dataFields count="1">
    <dataField name="Sum of Beds closed norovirus" fld="1"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PivotTable20" cacheId="856" applyNumberFormats="0" applyBorderFormats="0" applyFontFormats="0" applyPatternFormats="0" applyAlignmentFormats="0" applyWidthHeightFormats="1" dataCaption="Values" tag="7ec86bb0-3bf3-4944-b894-a8057789e36b" updatedVersion="4" minRefreshableVersion="3" useAutoFormatting="1" rowGrandTotals="0" colGrandTotals="0" itemPrintTitles="1" createdVersion="4" indent="0" outline="1" outlineData="1" multipleFieldFilters="0" fieldListSortAscending="1">
  <location ref="AO5:AP40"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 dataField="1" showAll="0"/>
  </pivotFields>
  <rowFields count="1">
    <field x="1"/>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rowItems>
  <colItems count="1">
    <i/>
  </colItems>
  <pageFields count="1">
    <pageField fld="0" hier="69" name="[Winter daily sitreps].[Year].&amp;[2018/19]" cap="2018/19"/>
  </pageFields>
  <dataFields count="1">
    <dataField name="Sum of Beds closed noroviru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PivotTable21" cacheId="872" applyNumberFormats="0" applyBorderFormats="0" applyFontFormats="0" applyPatternFormats="0" applyAlignmentFormats="0" applyWidthHeightFormats="1" dataCaption="Values" tag="fb069d29-b488-44cf-b4dd-a64c1834045e" updatedVersion="4" minRefreshableVersion="3" useAutoFormatting="1" rowGrandTotals="0" colGrandTotals="0" itemPrintTitles="1" createdVersion="4" indent="0" outline="1" outlineData="1" multipleFieldFilters="0" fieldListSortAscending="1">
  <location ref="AU5:AV10" firstHeaderRow="1" firstDataRow="1" firstDataCol="1" rowPageCount="1" colPageCount="1"/>
  <pivotFields count="3">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s>
  <rowFields count="1">
    <field x="1"/>
  </rowFields>
  <rowItems count="5">
    <i>
      <x/>
    </i>
    <i>
      <x v="1"/>
    </i>
    <i>
      <x v="2"/>
    </i>
    <i>
      <x v="3"/>
    </i>
    <i>
      <x v="4"/>
    </i>
  </rowItems>
  <colItems count="1">
    <i/>
  </colItems>
  <pageFields count="1">
    <pageField fld="0" hier="69" name="[Winter daily sitreps].[Year].&amp;[2018/19]" cap="2018/19"/>
  </pageFields>
  <dataFields count="1">
    <dataField name="Sum of Beds closed norovius un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PivotTable28" cacheId="851" applyNumberFormats="0" applyBorderFormats="0" applyFontFormats="0" applyPatternFormats="0" applyAlignmentFormats="0" applyWidthHeightFormats="1" dataCaption="Values" tag="b9575012-05ef-4632-bede-b87d05a4d489" updatedVersion="4" minRefreshableVersion="3" useAutoFormatting="1" itemPrintTitles="1" createdVersion="4" indent="0" outline="1" outlineData="1" multipleFieldFilters="0" fieldListSortAscending="1">
  <location ref="AL5:AX13"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s>
  <rowFields count="1">
    <field x="3"/>
  </rowFields>
  <rowItems count="6">
    <i>
      <x/>
    </i>
    <i>
      <x v="1"/>
    </i>
    <i>
      <x v="2"/>
    </i>
    <i>
      <x v="3"/>
    </i>
    <i>
      <x v="4"/>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PivotTable26" cacheId="852" applyNumberFormats="0" applyBorderFormats="0" applyFontFormats="0" applyPatternFormats="0" applyAlignmentFormats="0" applyWidthHeightFormats="1" dataCaption="Values" tag="c1fa9d37-cafa-4c6c-bd29-455cc7cea9b3" updatedVersion="4" minRefreshableVersion="3" useAutoFormatting="1" itemPrintTitles="1" createdVersion="4" indent="0" outline="1" outlineData="1" multipleFieldFilters="0" fieldListSortAscending="1">
  <location ref="I5:U13" firstHeaderRow="1" firstDataRow="3" firstDataCol="1" rowPageCount="1" colPageCount="1"/>
  <pivotFields count="5">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s>
  <rowFields count="1">
    <field x="3"/>
  </rowFields>
  <rowItems count="6">
    <i>
      <x/>
    </i>
    <i>
      <x v="1"/>
    </i>
    <i>
      <x v="2"/>
    </i>
    <i>
      <x v="3"/>
    </i>
    <i>
      <x v="4"/>
    </i>
    <i t="grand">
      <x/>
    </i>
  </rowItems>
  <colFields count="2">
    <field x="4"/>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Avail" fld="1" baseField="0" baseItem="0"/>
    <dataField name="Occ"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PivotTable25" cacheId="873" applyNumberFormats="0" applyBorderFormats="0" applyFontFormats="0" applyPatternFormats="0" applyAlignmentFormats="0" applyWidthHeightFormats="1" dataCaption="Values" tag="61ac615e-4002-46a2-afd6-5601e05c1057" updatedVersion="4" minRefreshableVersion="3" useAutoFormatting="1" rowGrandTotals="0" colGrandTotals="0" itemPrintTitles="1" createdVersion="4" indent="0" outline="1" outlineData="1" multipleFieldFilters="0" fieldListSortAscending="1">
  <location ref="C5:E10"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x v="4"/>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PivotTable27" cacheId="874" applyNumberFormats="0" applyBorderFormats="0" applyFontFormats="0" applyPatternFormats="0" applyAlignmentFormats="0" applyWidthHeightFormats="1" dataCaption="Values" tag="dd0981dd-8639-45ae-b501-a497897f676e" updatedVersion="4" minRefreshableVersion="3" useAutoFormatting="1" rowGrandTotals="0" colGrandTotals="0" itemPrintTitles="1" createdVersion="4" indent="0" outline="1" outlineData="1" multipleFieldFilters="0" fieldListSortAscending="1">
  <location ref="AF5:AH10"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x v="4"/>
    </i>
  </rowItems>
  <colFields count="1">
    <field x="-2"/>
  </colFields>
  <colItems count="2">
    <i>
      <x/>
    </i>
    <i i="1">
      <x v="1"/>
    </i>
  </colItems>
  <pageFields count="1">
    <pageField fld="0" hier="69" name="[Winter daily sitreps].[Year].&amp;[2018/19]" cap="2018/19"/>
  </pageFields>
  <dataFields count="2">
    <dataField name="Avail" fld="2" baseField="0" baseItem="0"/>
    <dataField name="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PivotTable4" cacheId="847" applyNumberFormats="0" applyBorderFormats="0" applyFontFormats="0" applyPatternFormats="0" applyAlignmentFormats="0" applyWidthHeightFormats="1" dataCaption="Values" tag="e4f2c472-a146-4ee5-be49-5287088b7209" updatedVersion="4" minRefreshableVersion="3" useAutoFormatting="1" itemPrintTitles="1" createdVersion="4" indent="0" outline="1" outlineData="1" multipleFieldFilters="0" fieldListSortAscending="1">
  <location ref="CE5:CQ13"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6">
    <i>
      <x/>
    </i>
    <i>
      <x v="1"/>
    </i>
    <i>
      <x v="2"/>
    </i>
    <i>
      <x v="3"/>
    </i>
    <i>
      <x v="4"/>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PivotTable3" cacheId="878" applyNumberFormats="0" applyBorderFormats="0" applyFontFormats="0" applyPatternFormats="0" applyAlignmentFormats="0" applyWidthHeightFormats="1" dataCaption="Values" tag="ba0b1b6b-253c-4af3-8da1-40f03654e889" updatedVersion="4" minRefreshableVersion="3" useAutoFormatting="1" rowGrandTotals="0" colGrandTotals="0" itemPrintTitles="1" createdVersion="4" indent="0" outline="1" outlineData="1" multipleFieldFilters="0" fieldListSortAscending="1">
  <location ref="BG5:BI10"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x v="4"/>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PivotTable12" cacheId="850" applyNumberFormats="0" applyBorderFormats="0" applyFontFormats="0" applyPatternFormats="0" applyAlignmentFormats="0" applyWidthHeightFormats="1" dataCaption="Values" tag="358dad61-fa71-44e8-8354-35ea41b29d4d" updatedVersion="4" minRefreshableVersion="3" useAutoFormatting="1" itemPrintTitles="1" createdVersion="4" indent="0" outline="1" outlineData="1" multipleFieldFilters="0" fieldListSortAscending="1">
  <location ref="L5:V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PivotTable9" cacheId="865" applyNumberFormats="0" applyBorderFormats="0" applyFontFormats="0" applyPatternFormats="0" applyAlignmentFormats="0" applyWidthHeightFormats="1" dataCaption="Values" tag="7cdba49d-4c8e-4517-a4e1-6ff5fedbb3a1" updatedVersion="4" minRefreshableVersion="3" useAutoFormatting="1" subtotalHiddenItems="1" itemPrintTitles="1" createdVersion="4" indent="0" outline="1" outlineData="1" multipleFieldFilters="0" fieldListSortAscending="1">
  <location ref="E5:K12" firstHeaderRow="1" firstDataRow="2" firstDataCol="1" rowPageCount="1" colPageCount="1"/>
  <pivotFields count="4">
    <pivotField dataField="1" showAll="0"/>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6">
        <item x="0"/>
        <item x="1"/>
        <item x="2"/>
        <item x="3"/>
        <item x="4"/>
        <item t="default"/>
      </items>
    </pivotField>
  </pivotFields>
  <rowFields count="1">
    <field x="3"/>
  </rowFields>
  <rowItems count="6">
    <i>
      <x/>
    </i>
    <i>
      <x v="1"/>
    </i>
    <i>
      <x v="2"/>
    </i>
    <i>
      <x v="3"/>
    </i>
    <i>
      <x v="4"/>
    </i>
    <i t="grand">
      <x/>
    </i>
  </rowItems>
  <colFields count="1">
    <field x="2"/>
  </colFields>
  <colItems count="6">
    <i>
      <x/>
    </i>
    <i>
      <x v="1"/>
    </i>
    <i>
      <x v="2"/>
    </i>
    <i>
      <x v="3"/>
    </i>
    <i>
      <x v="4"/>
    </i>
    <i t="grand">
      <x/>
    </i>
  </colItems>
  <pageFields count="1">
    <pageField fld="1"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PivotTable1" cacheId="876" applyNumberFormats="0" applyBorderFormats="0" applyFontFormats="0" applyPatternFormats="0" applyAlignmentFormats="0" applyWidthHeightFormats="1" dataCaption="Values" tag="8092ca98-d055-401c-855a-87a650e1589b" updatedVersion="4" minRefreshableVersion="3" useAutoFormatting="1" rowGrandTotals="0" colGrandTotals="0" itemPrintTitles="1" createdVersion="4" indent="0" outline="1" outlineData="1" multipleFieldFilters="0" fieldListSortAscending="1">
  <location ref="G5:I10"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x v="4"/>
    </i>
  </rowItems>
  <colFields count="1">
    <field x="-2"/>
  </colFields>
  <colItems count="2">
    <i>
      <x/>
    </i>
    <i i="1">
      <x v="1"/>
    </i>
  </colItems>
  <pageFields count="1">
    <pageField fld="0" hier="69" name="[Winter daily sitreps].[Year].&amp;[2018/19]" cap="2018/19"/>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PivotTable14" cacheId="848" applyNumberFormats="0" applyBorderFormats="0" applyFontFormats="0" applyPatternFormats="0" applyAlignmentFormats="0" applyWidthHeightFormats="1" dataCaption="Values" tag="4c22a14f-62ef-455b-972d-914729223058" updatedVersion="4" minRefreshableVersion="3" useAutoFormatting="1" itemPrintTitles="1" createdVersion="4" indent="0" outline="1" outlineData="1" multipleFieldFilters="0" fieldListSortAscending="1">
  <location ref="BM5:BW22"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axis="axisCol" allDrilled="1" showAll="0" dataSourceSort="1" defaultAttributeDrillState="1">
      <items count="5">
        <item x="0"/>
        <item x="1"/>
        <item x="2"/>
        <item x="3"/>
        <item t="default"/>
      </items>
    </pivotField>
    <pivotField dataField="1" showAll="0"/>
    <pivotField dataField="1" showAll="0"/>
  </pivotFields>
  <rowFields count="1">
    <field x="1"/>
  </rowFields>
  <rowItems count="15">
    <i>
      <x/>
    </i>
    <i>
      <x v="1"/>
    </i>
    <i>
      <x v="2"/>
    </i>
    <i>
      <x v="3"/>
    </i>
    <i>
      <x v="4"/>
    </i>
    <i>
      <x v="5"/>
    </i>
    <i>
      <x v="6"/>
    </i>
    <i>
      <x v="7"/>
    </i>
    <i>
      <x v="8"/>
    </i>
    <i>
      <x v="9"/>
    </i>
    <i>
      <x v="10"/>
    </i>
    <i>
      <x v="11"/>
    </i>
    <i>
      <x v="12"/>
    </i>
    <i>
      <x v="13"/>
    </i>
    <i t="grand">
      <x/>
    </i>
  </rowItems>
  <colFields count="2">
    <field x="2"/>
    <field x="-2"/>
  </colFields>
  <colItems count="10">
    <i>
      <x/>
      <x/>
    </i>
    <i r="1" i="1">
      <x v="1"/>
    </i>
    <i>
      <x v="1"/>
      <x/>
    </i>
    <i r="1" i="1">
      <x v="1"/>
    </i>
    <i>
      <x v="2"/>
      <x/>
    </i>
    <i r="1" i="1">
      <x v="1"/>
    </i>
    <i>
      <x v="3"/>
      <x/>
    </i>
    <i r="1" i="1">
      <x v="1"/>
    </i>
    <i t="grand">
      <x/>
    </i>
    <i t="grand" i="1">
      <x/>
    </i>
  </colItems>
  <pageFields count="1">
    <pageField fld="0" hier="69" name="[Winter daily sitreps].[Year].&amp;[2017/18]" cap="2017/18"/>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PivotTable2" cacheId="849" applyNumberFormats="0" applyBorderFormats="0" applyFontFormats="0" applyPatternFormats="0" applyAlignmentFormats="0" applyWidthHeightFormats="1" dataCaption="Values" tag="cb83e953-d3a9-4433-84e3-86f132084549" updatedVersion="4" minRefreshableVersion="3" useAutoFormatting="1" itemPrintTitles="1" createdVersion="4" indent="0" outline="1" outlineData="1" multipleFieldFilters="0" fieldListSortAscending="1">
  <location ref="AD5:AP13"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6">
    <i>
      <x/>
    </i>
    <i>
      <x v="1"/>
    </i>
    <i>
      <x v="2"/>
    </i>
    <i>
      <x v="3"/>
    </i>
    <i>
      <x v="4"/>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Paed Int Care Avail" fld="3" baseField="0" baseItem="0"/>
    <dataField name="Sum of Paed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PivotTable11" cacheId="875" applyNumberFormats="0" applyBorderFormats="0" applyFontFormats="0" applyPatternFormats="0" applyAlignmentFormats="0" applyWidthHeightFormats="1" dataCaption="Values" tag="f735e7c4-c917-477e-b71c-97e37308f16d" updatedVersion="4" minRefreshableVersion="3" useAutoFormatting="1" rowGrandTotals="0" colGrandTotals="0" itemPrintTitles="1" createdVersion="4" indent="0" outline="1" outlineData="1" multipleFieldFilters="0" fieldListSortAscending="1">
  <location ref="B5:D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4.xml><?xml version="1.0" encoding="utf-8"?>
<pivotTableDefinition xmlns="http://schemas.openxmlformats.org/spreadsheetml/2006/main" name="PivotTable13" cacheId="877" applyNumberFormats="0" applyBorderFormats="0" applyFontFormats="0" applyPatternFormats="0" applyAlignmentFormats="0" applyWidthHeightFormats="1" dataCaption="Values" tag="442be530-2bb4-402f-8e52-cb60fa276076" updatedVersion="4" minRefreshableVersion="3" useAutoFormatting="1" rowGrandTotals="0" colGrandTotals="0" itemPrintTitles="1" createdVersion="4" indent="0" outline="1" outlineData="1" multipleFieldFilters="0" fieldListSortAscending="1">
  <location ref="BA5:BC19"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15">
        <item x="0"/>
        <item x="1"/>
        <item x="2"/>
        <item x="3"/>
        <item x="4"/>
        <item x="5"/>
        <item x="6"/>
        <item x="7"/>
        <item x="8"/>
        <item x="9"/>
        <item x="10"/>
        <item x="11"/>
        <item x="12"/>
        <item x="13"/>
        <item t="default"/>
      </items>
    </pivotField>
    <pivotField dataField="1" showAll="0"/>
    <pivotField dataField="1" showAll="0"/>
  </pivotFields>
  <rowFields count="1">
    <field x="1"/>
  </rowFields>
  <rowItems count="14">
    <i>
      <x/>
    </i>
    <i>
      <x v="1"/>
    </i>
    <i>
      <x v="2"/>
    </i>
    <i>
      <x v="3"/>
    </i>
    <i>
      <x v="4"/>
    </i>
    <i>
      <x v="5"/>
    </i>
    <i>
      <x v="6"/>
    </i>
    <i>
      <x v="7"/>
    </i>
    <i>
      <x v="8"/>
    </i>
    <i>
      <x v="9"/>
    </i>
    <i>
      <x v="10"/>
    </i>
    <i>
      <x v="11"/>
    </i>
    <i>
      <x v="12"/>
    </i>
    <i>
      <x v="13"/>
    </i>
  </rowItems>
  <colFields count="1">
    <field x="-2"/>
  </colFields>
  <colItems count="2">
    <i>
      <x/>
    </i>
    <i i="1">
      <x v="1"/>
    </i>
  </colItems>
  <pageFields count="1">
    <pageField fld="0" hier="69" name="[Winter daily sitreps].[Year].&amp;[2017/18]" cap="2017/18"/>
  </pageFields>
  <dataFields count="2">
    <dataField name="Sum of Paed Int Care Avail" fld="2" baseField="0" baseItem="0"/>
    <dataField name="Sum of Paed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7/18]"/>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5.xml><?xml version="1.0" encoding="utf-8"?>
<pivotTableDefinition xmlns="http://schemas.openxmlformats.org/spreadsheetml/2006/main" name="PivotTable6" cacheId="879" applyNumberFormats="0" applyBorderFormats="0" applyFontFormats="0" applyPatternFormats="0" applyAlignmentFormats="0" applyWidthHeightFormats="1" dataCaption="Values" tag="33689785-b65f-4d09-8f69-70383ef188d2" updatedVersion="4" minRefreshableVersion="3" useAutoFormatting="1" rowGrandTotals="0" colGrandTotals="0" itemPrintTitles="1" createdVersion="4" indent="0" outline="1" outlineData="1" multipleFieldFilters="0" fieldListSortAscending="1">
  <location ref="B5:D10"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x v="4"/>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6.xml><?xml version="1.0" encoding="utf-8"?>
<pivotTableDefinition xmlns="http://schemas.openxmlformats.org/spreadsheetml/2006/main" name="PivotTable8" cacheId="846" applyNumberFormats="0" applyBorderFormats="0" applyFontFormats="0" applyPatternFormats="0" applyAlignmentFormats="0" applyWidthHeightFormats="1" dataCaption="Values" tag="a2bb9c2e-6606-40c6-8988-4a0b49a15b1b" updatedVersion="4" minRefreshableVersion="3" useAutoFormatting="1" itemPrintTitles="1" createdVersion="4" indent="0" outline="1" outlineData="1" multipleFieldFilters="0" fieldListSortAscending="1">
  <location ref="H5:T13"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6">
    <i>
      <x/>
    </i>
    <i>
      <x v="1"/>
    </i>
    <i>
      <x v="2"/>
    </i>
    <i>
      <x v="3"/>
    </i>
    <i>
      <x v="4"/>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7.xml><?xml version="1.0" encoding="utf-8"?>
<pivotTableDefinition xmlns="http://schemas.openxmlformats.org/spreadsheetml/2006/main" name="PivotTable10" cacheId="845" applyNumberFormats="0" applyBorderFormats="0" applyFontFormats="0" applyPatternFormats="0" applyAlignmentFormats="0" applyWidthHeightFormats="1" dataCaption="Values" tag="63d379ad-3316-4220-96ab-b24ff7ed409f" updatedVersion="4" minRefreshableVersion="3" useAutoFormatting="1" itemPrintTitles="1" createdVersion="4" indent="0" outline="1" outlineData="1" multipleFieldFilters="0" fieldListSortAscending="1">
  <location ref="AL5:AX13" firstHeaderRow="1" firstDataRow="3"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 dataField="1" showAll="0"/>
    <pivotField dataField="1" showAll="0"/>
  </pivotFields>
  <rowFields count="1">
    <field x="1"/>
  </rowFields>
  <rowItems count="6">
    <i>
      <x/>
    </i>
    <i>
      <x v="1"/>
    </i>
    <i>
      <x v="2"/>
    </i>
    <i>
      <x v="3"/>
    </i>
    <i>
      <x v="4"/>
    </i>
    <i t="grand">
      <x/>
    </i>
  </rowItems>
  <colFields count="2">
    <field x="2"/>
    <field x="-2"/>
  </colFields>
  <colItems count="12">
    <i>
      <x/>
      <x/>
    </i>
    <i r="1" i="1">
      <x v="1"/>
    </i>
    <i>
      <x v="1"/>
      <x/>
    </i>
    <i r="1" i="1">
      <x v="1"/>
    </i>
    <i>
      <x v="2"/>
      <x/>
    </i>
    <i r="1" i="1">
      <x v="1"/>
    </i>
    <i>
      <x v="3"/>
      <x/>
    </i>
    <i r="1" i="1">
      <x v="1"/>
    </i>
    <i>
      <x v="4"/>
      <x/>
    </i>
    <i r="1" i="1">
      <x v="1"/>
    </i>
    <i t="grand">
      <x/>
    </i>
    <i t="grand" i="1">
      <x/>
    </i>
  </colItems>
  <pageFields count="1">
    <pageField fld="0" hier="69" name="[Winter daily sitreps].[Year].&amp;[2018/19]" cap="2018/19"/>
  </pageFields>
  <dataFields count="2">
    <dataField name="Sum of Neo Int Care Avail" fld="3" baseField="0" baseItem="0"/>
    <dataField name="Sum of Neo Int Care occ"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8.xml><?xml version="1.0" encoding="utf-8"?>
<pivotTableDefinition xmlns="http://schemas.openxmlformats.org/spreadsheetml/2006/main" name="PivotTable9" cacheId="880" applyNumberFormats="0" applyBorderFormats="0" applyFontFormats="0" applyPatternFormats="0" applyAlignmentFormats="0" applyWidthHeightFormats="1" dataCaption="Values" tag="b0ef4df9-2980-427c-9277-09e19a1bf0e0" updatedVersion="4" minRefreshableVersion="3" useAutoFormatting="1" rowGrandTotals="0" colGrandTotals="0" itemPrintTitles="1" createdVersion="4" indent="0" outline="1" outlineData="1" multipleFieldFilters="0" fieldListSortAscending="1">
  <location ref="AF5:AH10" firstHeaderRow="0" firstDataRow="1"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 dataField="1" showAll="0"/>
  </pivotFields>
  <rowFields count="1">
    <field x="1"/>
  </rowFields>
  <rowItems count="5">
    <i>
      <x/>
    </i>
    <i>
      <x v="1"/>
    </i>
    <i>
      <x v="2"/>
    </i>
    <i>
      <x v="3"/>
    </i>
    <i>
      <x v="4"/>
    </i>
  </rowItems>
  <colFields count="1">
    <field x="-2"/>
  </colFields>
  <colItems count="2">
    <i>
      <x/>
    </i>
    <i i="1">
      <x v="1"/>
    </i>
  </colItems>
  <pageFields count="1">
    <pageField fld="0" hier="69" name="[Winter daily sitreps].[Year].&amp;[2018/19]" cap="2018/19"/>
  </pageFields>
  <dataFields count="2">
    <dataField name="Sum of Neo Int Care Avail" fld="2" baseField="0" baseItem="0"/>
    <dataField name="Sum of Neo Int Care occ"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pivotHierarchy dragToRow="0" dragToCol="0" dragToPage="0" dragToData="1"/>
    <pivotHierarchy dragToRow="0" dragToCol="0" dragToPage="0" dragToData="1" caption="Avail"/>
    <pivotHierarchy dragToRow="0" dragToCol="0" dragToPage="0" dragToData="1" caption="Occ"/>
    <pivotHierarchy dragToRow="0" dragToCol="0" dragToPage="0" dragToData="1" caption="Sum of Paed Int Care Avail"/>
    <pivotHierarchy dragToRow="0" dragToCol="0" dragToPage="0" dragToData="1" caption="Sum of Paed Int Care Occ"/>
    <pivotHierarchy dragToRow="0" dragToCol="0" dragToPage="0" dragToData="1" caption="Sum of Neo Int Care Avail"/>
    <pivotHierarchy dragToRow="0" dragToCol="0" dragToPage="0" dragToData="1" caption="Sum of Neo Int Care 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pivotHierarchy dragToRow="0" dragToCol="0" dragToPage="0" dragToData="1"/>
    <pivotHierarchy dragToRow="0" dragToCol="0" dragToPage="0" dragToData="1" caption="Average of Neo Int Care Avail"/>
    <pivotHierarchy dragToRow="0" dragToCol="0" dragToPage="0" dragToData="1" caption="Average of Neo Int Care occ"/>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9.xml><?xml version="1.0" encoding="utf-8"?>
<pivotTableDefinition xmlns="http://schemas.openxmlformats.org/spreadsheetml/2006/main" name="PivotTable13" cacheId="842" applyNumberFormats="0" applyBorderFormats="0" applyFontFormats="0" applyPatternFormats="0" applyAlignmentFormats="0" applyWidthHeightFormats="1" dataCaption="Values" tag="3cb5cdca-36b5-486f-a20e-39ce49e1e44d" updatedVersion="4" minRefreshableVersion="3" useAutoFormatting="1" rowGrandTotals="0" colGrandTotals="0" itemPrintTitles="1" createdVersion="4" indent="0" outline="1" outlineData="1" multipleFieldFilters="0" fieldListSortAscending="1">
  <location ref="AX5:BC140" firstHeaderRow="1" firstDataRow="2" firstDataCol="1" rowPageCount="1" colPageCount="1"/>
  <pivotFields count="4">
    <pivotField axis="axisPage" allDrilled="1" showAll="0" dataSourceSort="1" defaultAttributeDrillState="1">
      <items count="1">
        <item t="default"/>
      </items>
    </pivotField>
    <pivotField axis="axisCol" allDrilled="1" showAll="0" dataSourceSort="1" defaultAttributeDrillState="1">
      <items count="6">
        <item x="0"/>
        <item x="1"/>
        <item x="2"/>
        <item x="3"/>
        <item x="4"/>
        <item t="default"/>
      </items>
    </pivotField>
    <pivotField axis="axisRow" allDrilled="1" showAll="0" dataSourceSort="1" defaultAttributeDrillState="1">
      <items count="1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t="default"/>
      </items>
    </pivotField>
    <pivotField dataField="1" showAll="0"/>
  </pivotFields>
  <rowFields count="1">
    <field x="2"/>
  </rowFields>
  <rowItems count="1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rowItems>
  <colFields count="1">
    <field x="1"/>
  </colFields>
  <colItems count="5">
    <i>
      <x/>
    </i>
    <i>
      <x v="1"/>
    </i>
    <i>
      <x v="2"/>
    </i>
    <i>
      <x v="3"/>
    </i>
    <i>
      <x v="4"/>
    </i>
  </colItems>
  <pageFields count="1">
    <pageField fld="0" hier="69" name="[Winter daily sitreps].[Year].&amp;[2018/19]" cap="2018/19"/>
  </pageFields>
  <dataFields count="1">
    <dataField name="Sum of Amb delays over 60 mins"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Sum of Amb delays 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58"/>
  </rowHierarchiesUsage>
  <colHierarchiesUsage count="1">
    <colHierarchyUsage hierarchyUsage="67"/>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PivotTable8" cacheId="866" applyNumberFormats="0" applyBorderFormats="0" applyFontFormats="0" applyPatternFormats="0" applyAlignmentFormats="0" applyWidthHeightFormats="1" dataCaption="Values" tag="c1f45b27-5377-4b85-a5cc-8347f81f52db" updatedVersion="4" minRefreshableVersion="3" useAutoFormatting="1" itemPrintTitles="1" createdVersion="4" indent="0" outline="1" outlineData="1" multipleFieldFilters="0" fieldListSortAscending="1">
  <location ref="B5:C11" firstHeaderRow="1" firstDataRow="1" firstDataCol="1" rowPageCount="1" colPageCount="1"/>
  <pivotFields count="3">
    <pivotField dataField="1" showAll="0"/>
    <pivotField axis="axisRow" allDrilled="1" showAll="0" dataSourceSort="1" defaultAttributeDrillState="1">
      <items count="6">
        <item x="0"/>
        <item x="1"/>
        <item x="2"/>
        <item x="3"/>
        <item x="4"/>
        <item t="default"/>
      </items>
    </pivotField>
    <pivotField axis="axisPage" allDrilled="1" showAll="0" dataSourceSort="1" defaultAttributeDrillState="1">
      <items count="1">
        <item t="default"/>
      </items>
    </pivotField>
  </pivotFields>
  <rowFields count="1">
    <field x="1"/>
  </rowFields>
  <rowItems count="6">
    <i>
      <x/>
    </i>
    <i>
      <x v="1"/>
    </i>
    <i>
      <x v="2"/>
    </i>
    <i>
      <x v="3"/>
    </i>
    <i>
      <x v="4"/>
    </i>
    <i t="grand">
      <x/>
    </i>
  </rowItems>
  <colItems count="1">
    <i/>
  </colItems>
  <pageFields count="1">
    <pageField fld="2" hier="69" name="[Winter daily sitreps].[Year].&amp;[2018/19]" cap="2018/19"/>
  </pageFields>
  <dataFields count="1">
    <dataField name="Sum of AE diverts" fld="0"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0.xml><?xml version="1.0" encoding="utf-8"?>
<pivotTableDefinition xmlns="http://schemas.openxmlformats.org/spreadsheetml/2006/main" name="PivotTable12" cacheId="843" applyNumberFormats="0" applyBorderFormats="0" applyFontFormats="0" applyPatternFormats="0" applyAlignmentFormats="0" applyWidthHeightFormats="1" dataCaption="Values" tag="eaf9b400-a2bd-43d0-8ba9-4bd3d8b1e3c8" updatedVersion="4" minRefreshableVersion="3" useAutoFormatting="1" subtotalHiddenItems="1" rowGrandTotals="0" itemPrintTitles="1" createdVersion="4" indent="0" outline="1" outlineData="1" multipleFieldFilters="0" fieldListSortAscending="1">
  <location ref="T5:AL12" firstHeaderRow="1" firstDataRow="3" firstDataCol="1" rowPageCount="1" colPageCount="1"/>
  <pivotFields count="6">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axis="axisCol"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5">
    <i>
      <x/>
    </i>
    <i>
      <x v="1"/>
    </i>
    <i>
      <x v="2"/>
    </i>
    <i>
      <x v="3"/>
    </i>
    <i>
      <x v="4"/>
    </i>
  </rowItems>
  <colFields count="2">
    <field x="2"/>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Sum of Amb arrivals" fld="5" baseField="0" baseItem="0"/>
    <dataField name="30-60 mins" fld="3" baseField="0" baseItem="0"/>
    <dataField name="over 60 mins"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caption="over 60 min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caption="30-60 mins"/>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1.xml><?xml version="1.0" encoding="utf-8"?>
<pivotTableDefinition xmlns="http://schemas.openxmlformats.org/spreadsheetml/2006/main" name="PivotTable11" cacheId="844" applyNumberFormats="0" applyBorderFormats="0" applyFontFormats="0" applyPatternFormats="0" applyAlignmentFormats="0" applyWidthHeightFormats="1" dataCaption="Values" tag="164ea269-92fe-49b9-9646-baab7f3a2050" updatedVersion="4" minRefreshableVersion="3" useAutoFormatting="1" subtotalHiddenItems="1" rowGrandTotals="0" itemPrintTitles="1" createdVersion="4" indent="0" outline="1" outlineData="1" multipleFieldFilters="0" fieldListSortAscending="1">
  <location ref="B5:H11" firstHeaderRow="1" firstDataRow="2" firstDataCol="1" rowPageCount="1" colPageCount="1"/>
  <pivotFields count="4">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 axis="axisCol" allDrilled="1" showAll="0" dataSourceSort="1" defaultAttributeDrillState="1">
      <items count="6">
        <item x="0"/>
        <item x="1"/>
        <item x="2"/>
        <item x="3"/>
        <item x="4"/>
        <item t="default"/>
      </items>
    </pivotField>
  </pivotFields>
  <rowFields count="1">
    <field x="1"/>
  </rowFields>
  <rowItems count="5">
    <i>
      <x/>
    </i>
    <i>
      <x v="1"/>
    </i>
    <i>
      <x v="2"/>
    </i>
    <i>
      <x v="3"/>
    </i>
    <i>
      <x v="4"/>
    </i>
  </rowItems>
  <colFields count="1">
    <field x="3"/>
  </colFields>
  <colItems count="6">
    <i>
      <x/>
    </i>
    <i>
      <x v="1"/>
    </i>
    <i>
      <x v="2"/>
    </i>
    <i>
      <x v="3"/>
    </i>
    <i>
      <x v="4"/>
    </i>
    <i t="grand">
      <x/>
    </i>
  </colItems>
  <pageFields count="1">
    <pageField fld="0" hier="69" name="[Winter daily sitreps].[Year].&amp;[2018/19]" cap="2018/19"/>
  </pageFields>
  <dataFields count="1">
    <dataField name="Sum of Amb arrivals"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caption="Sum of Beds closed norovirus"/>
    <pivotHierarchy dragToRow="0" dragToCol="0" dragToPage="0" dragToData="1" caption="Sum of Beds closed norovius unocc"/>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caption="Average of Beds closed norovirus"/>
    <pivotHierarchy dragToRow="0" dragToCol="0" dragToPage="0" dragToData="1" caption="Sum of Amb arrival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1">
    <colHierarchyUsage hierarchyUsage="65"/>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PivotTable11" cacheId="870" applyNumberFormats="0" applyBorderFormats="0" applyFontFormats="0" applyPatternFormats="0" applyAlignmentFormats="0" applyWidthHeightFormats="1" dataCaption="Values" tag="e0ec11de-981b-4052-a8fe-1e8cd442aade" updatedVersion="4" minRefreshableVersion="3" useAutoFormatting="1" rowGrandTotals="0" colGrandTotals="0" itemPrintTitles="1" createdVersion="4" indent="0" outline="1" outlineData="1" multipleFieldFilters="0" fieldListSortAscending="1">
  <location ref="L5:O40" firstHeaderRow="0" firstDataRow="1" firstDataCol="1" rowPageCount="1" colPageCount="1"/>
  <pivotFields count="5">
    <pivotField axis="axisPage" allDrilled="1" showAll="0" dataSourceSort="1" defaultSubtotal="0" defaultAttributeDrillState="1"/>
    <pivotField dataField="1" showAll="0"/>
    <pivotField dataField="1" showAll="0"/>
    <pivotField dataField="1" showAll="0"/>
    <pivotField axis="axisRow" allDrilled="1" showAll="0" dataSourceSort="1" defaultSubtotal="0" defaultAttributeDrillState="1">
      <items count="3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s>
    </pivotField>
  </pivotFields>
  <rowFields count="1">
    <field x="4"/>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PivotTable13" cacheId="862" applyNumberFormats="0" applyBorderFormats="0" applyFontFormats="0" applyPatternFormats="0" applyAlignmentFormats="0" applyWidthHeightFormats="1" dataCaption="Values" tag="f3125be8-0268-4aab-a20c-9359a97ff270" updatedVersion="4" minRefreshableVersion="3" useAutoFormatting="1" subtotalHiddenItems="1" rowGrandTotals="0" itemPrintTitles="1" createdVersion="4" indent="0" outline="1" outlineData="1" multipleFieldFilters="0" fieldListSortAscending="1">
  <location ref="BA6:BD41" firstHeaderRow="0" firstDataRow="1" firstDataCol="1" rowPageCount="1" colPageCount="1"/>
  <pivotFields count="5">
    <pivotField axis="axisPage" allDrilled="1" showAll="0" dataSourceSort="1" defaultAttributeDrillState="1">
      <items count="1">
        <item t="default"/>
      </items>
    </pivotField>
    <pivotField dataField="1" showAll="0"/>
    <pivotField dataField="1" showAll="0"/>
    <pivotField dataField="1" showAll="0"/>
    <pivotField axis="axisRow" allDrilled="1" showAll="0" dataSourceSort="1"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t="default"/>
      </items>
    </pivotField>
  </pivotFields>
  <rowFields count="1">
    <field x="4"/>
  </rowFields>
  <rowItems count="3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rowItems>
  <colFields count="1">
    <field x="-2"/>
  </colFields>
  <colItems count="3">
    <i>
      <x/>
    </i>
    <i i="1">
      <x v="1"/>
    </i>
    <i i="2">
      <x v="2"/>
    </i>
  </colItems>
  <pageFields count="1">
    <pageField fld="0" hier="69" name="[Winter daily sitreps].[Year].&amp;[2018/19]" cap="2018/19"/>
  </pageFields>
  <dataFields count="3">
    <dataField name="Core" fld="1" baseField="0" baseItem="0"/>
    <dataField name="Escalation" fld="2" baseField="0" baseItem="0"/>
    <dataField name="Total" fld="3"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PivotTable12" cacheId="863" applyNumberFormats="0" applyBorderFormats="0" applyFontFormats="0" applyPatternFormats="0" applyAlignmentFormats="0" applyWidthHeightFormats="1" dataCaption="Values" tag="ed642629-01ce-41a1-89dc-5dcfa0219d0f" updatedVersion="4" minRefreshableVersion="3" useAutoFormatting="1" subtotalHiddenItems="1" itemPrintTitles="1" createdVersion="4" indent="0" outline="1" outlineData="1" multipleFieldFilters="0" fieldListSortAscending="1">
  <location ref="W5:AO13" firstHeaderRow="1" firstDataRow="3" firstDataCol="1" rowPageCount="1" colPageCount="1"/>
  <pivotFields count="6">
    <pivotField axis="axisPage" allDrilled="1" showAll="0" dataSourceSort="1" defaultAttributeDrillState="1">
      <items count="1">
        <item t="default"/>
      </items>
    </pivotField>
    <pivotField dataField="1" showAll="0"/>
    <pivotField dataField="1" showAll="0"/>
    <pivotField axis="axisCol" allDrilled="1" showAll="0" dataSourceSort="1" defaultAttributeDrillState="1">
      <items count="6">
        <item x="0"/>
        <item x="1"/>
        <item x="2"/>
        <item x="3"/>
        <item x="4"/>
        <item t="default"/>
      </items>
    </pivotField>
    <pivotField dataField="1" showAll="0"/>
    <pivotField axis="axisRow" allDrilled="1" showAll="0" dataSourceSort="1" defaultAttributeDrillState="1">
      <items count="6">
        <item x="0"/>
        <item x="1"/>
        <item x="2"/>
        <item x="3"/>
        <item x="4"/>
        <item t="default"/>
      </items>
    </pivotField>
  </pivotFields>
  <rowFields count="1">
    <field x="5"/>
  </rowFields>
  <rowItems count="6">
    <i>
      <x/>
    </i>
    <i>
      <x v="1"/>
    </i>
    <i>
      <x v="2"/>
    </i>
    <i>
      <x v="3"/>
    </i>
    <i>
      <x v="4"/>
    </i>
    <i t="grand">
      <x/>
    </i>
  </rowItems>
  <colFields count="2">
    <field x="3"/>
    <field x="-2"/>
  </colFields>
  <colItems count="18">
    <i>
      <x/>
      <x/>
    </i>
    <i r="1" i="1">
      <x v="1"/>
    </i>
    <i r="1" i="2">
      <x v="2"/>
    </i>
    <i>
      <x v="1"/>
      <x/>
    </i>
    <i r="1" i="1">
      <x v="1"/>
    </i>
    <i r="1" i="2">
      <x v="2"/>
    </i>
    <i>
      <x v="2"/>
      <x/>
    </i>
    <i r="1" i="1">
      <x v="1"/>
    </i>
    <i r="1" i="2">
      <x v="2"/>
    </i>
    <i>
      <x v="3"/>
      <x/>
    </i>
    <i r="1" i="1">
      <x v="1"/>
    </i>
    <i r="1" i="2">
      <x v="2"/>
    </i>
    <i>
      <x v="4"/>
      <x/>
    </i>
    <i r="1" i="1">
      <x v="1"/>
    </i>
    <i r="1" i="2">
      <x v="2"/>
    </i>
    <i t="grand">
      <x/>
    </i>
    <i t="grand" i="1">
      <x/>
    </i>
    <i t="grand" i="2">
      <x/>
    </i>
  </colItems>
  <pageFields count="1">
    <pageField fld="0" hier="69" name="[Winter daily sitreps].[Year].&amp;[2018/19]" cap="2018/19"/>
  </pageFields>
  <dataFields count="3">
    <dataField name="Core" fld="1" baseField="0" baseItem="0"/>
    <dataField name="Escalation" fld="2"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7"/>
  </rowHierarchiesUsage>
  <colHierarchiesUsage count="2">
    <colHierarchyUsage hierarchyUsage="65"/>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PivotTable10" cacheId="864" applyNumberFormats="0" applyBorderFormats="0" applyFontFormats="0" applyPatternFormats="0" applyAlignmentFormats="0" applyWidthHeightFormats="1" dataCaption="Values" tag="28dedf1c-92d5-4d53-b4e5-4da17111bb79" updatedVersion="4" minRefreshableVersion="3" useAutoFormatting="1" itemPrintTitles="1" createdVersion="4" indent="0" outline="1" outlineData="1" multipleFieldFilters="0" fieldListSortAscending="1">
  <location ref="B5:E11" firstHeaderRow="0" firstDataRow="1" firstDataCol="1" rowPageCount="1" colPageCount="1"/>
  <pivotFields count="5">
    <pivotField axis="axisPage" allDrilled="1" showAll="0" dataSourceSort="1" defaultAttributeDrillState="1">
      <items count="1">
        <item t="default"/>
      </items>
    </pivotField>
    <pivotField axis="axisRow" allDrilled="1" showAll="0" dataSourceSort="1" defaultAttributeDrillState="1">
      <items count="6">
        <item x="0"/>
        <item x="1"/>
        <item x="2"/>
        <item x="3"/>
        <item x="4"/>
        <item t="default"/>
      </items>
    </pivotField>
    <pivotField dataField="1" showAll="0"/>
    <pivotField dataField="1" showAll="0"/>
    <pivotField dataField="1" showAll="0"/>
  </pivotFields>
  <rowFields count="1">
    <field x="1"/>
  </rowFields>
  <rowItems count="6">
    <i>
      <x/>
    </i>
    <i>
      <x v="1"/>
    </i>
    <i>
      <x v="2"/>
    </i>
    <i>
      <x v="3"/>
    </i>
    <i>
      <x v="4"/>
    </i>
    <i t="grand">
      <x/>
    </i>
  </rowItems>
  <colFields count="1">
    <field x="-2"/>
  </colFields>
  <colItems count="3">
    <i>
      <x/>
    </i>
    <i i="1">
      <x v="1"/>
    </i>
    <i i="2">
      <x v="2"/>
    </i>
  </colItems>
  <pageFields count="1">
    <pageField fld="0" hier="69" name="[Winter daily sitreps].[Year].&amp;[2018/19]" cap="2018/19"/>
  </pageFields>
  <dataFields count="3">
    <dataField name="Core" fld="2" baseField="0" baseItem="0"/>
    <dataField name="Escalation" fld="3" baseField="0" baseItem="0"/>
    <dataField name="Total" fld="4"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Tot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ore"/>
    <pivotHierarchy dragToRow="0" dragToCol="0" dragToPage="0" dragToData="1" caption="Escalation"/>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PivotTable14" cacheId="861" applyNumberFormats="0" applyBorderFormats="0" applyFontFormats="0" applyPatternFormats="0" applyAlignmentFormats="0" applyWidthHeightFormats="1" dataCaption="Values" tag="8eedc978-07e8-48d8-81c4-2d336553a92f" updatedVersion="4" minRefreshableVersion="3" useAutoFormatting="1" itemPrintTitles="1" createdVersion="4" indent="0" outline="1" outlineData="1" multipleFieldFilters="0" fieldListSortAscending="1">
  <location ref="B5:D11"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6">
        <item x="0"/>
        <item x="1"/>
        <item x="2"/>
        <item x="3"/>
        <item x="4"/>
        <item t="default"/>
      </items>
    </pivotField>
  </pivotFields>
  <rowFields count="1">
    <field x="3"/>
  </rowFields>
  <rowItems count="6">
    <i>
      <x/>
    </i>
    <i>
      <x v="1"/>
    </i>
    <i>
      <x v="2"/>
    </i>
    <i>
      <x v="3"/>
    </i>
    <i>
      <x v="4"/>
    </i>
    <i t="grand">
      <x/>
    </i>
  </rowItems>
  <colFields count="1">
    <field x="-2"/>
  </colFields>
  <colItems count="2">
    <i>
      <x/>
    </i>
    <i i="1">
      <x v="1"/>
    </i>
  </colItems>
  <pageFields count="1">
    <pageField fld="0" hier="69" name="[Winter daily sitreps].[Year].&amp;[2018/19]" cap="2018/19"/>
  </pageFields>
  <dataFields count="2">
    <dataField name="Available" fld="1" baseField="0" baseItem="0"/>
    <dataField name="Occupied" fld="2" baseField="0" baseItem="0"/>
  </dataFields>
  <pivotHierarchies count="99">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Winter daily sitreps].[Year].&amp;[2018/19]"/>
      </members>
    </pivotHierarchy>
    <pivotHierarchy dragToRow="0" dragToCol="0" dragToPage="0" dragToData="1" caption="Sum of AE diverts"/>
    <pivotHierarchy dragToRow="0" dragToCol="0" dragToPage="0" dragToData="1" caption="Availabl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Occupied"/>
    <pivotHierarchy dragToRow="0" dragToCol="0" dragToPage="0" dragToData="1" caption="Average of GA total beds occupie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6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Office Theme">
  <a:themeElements>
    <a:clrScheme name="NHS Providers">
      <a:dk1>
        <a:sysClr val="windowText" lastClr="000000"/>
      </a:dk1>
      <a:lt1>
        <a:sysClr val="window" lastClr="FFFFFF"/>
      </a:lt1>
      <a:dk2>
        <a:srgbClr val="3E505A"/>
      </a:dk2>
      <a:lt2>
        <a:srgbClr val="9DA6AB"/>
      </a:lt2>
      <a:accent1>
        <a:srgbClr val="C00848"/>
      </a:accent1>
      <a:accent2>
        <a:srgbClr val="F0532D"/>
      </a:accent2>
      <a:accent3>
        <a:srgbClr val="F79131"/>
      </a:accent3>
      <a:accent4>
        <a:srgbClr val="00A89C"/>
      </a:accent4>
      <a:accent5>
        <a:srgbClr val="2C72B3"/>
      </a:accent5>
      <a:accent6>
        <a:srgbClr val="29398F"/>
      </a:accent6>
      <a:hlink>
        <a:srgbClr val="F0532D"/>
      </a:hlink>
      <a:folHlink>
        <a:srgbClr val="F7913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HS Providers">
    <a:dk1>
      <a:sysClr val="windowText" lastClr="000000"/>
    </a:dk1>
    <a:lt1>
      <a:sysClr val="window" lastClr="FFFFFF"/>
    </a:lt1>
    <a:dk2>
      <a:srgbClr val="2C72B3"/>
    </a:dk2>
    <a:lt2>
      <a:srgbClr val="6B7B83"/>
    </a:lt2>
    <a:accent1>
      <a:srgbClr val="F0532D"/>
    </a:accent1>
    <a:accent2>
      <a:srgbClr val="29398F"/>
    </a:accent2>
    <a:accent3>
      <a:srgbClr val="C00848"/>
    </a:accent3>
    <a:accent4>
      <a:srgbClr val="F79131"/>
    </a:accent4>
    <a:accent5>
      <a:srgbClr val="00A89C"/>
    </a:accent5>
    <a:accent6>
      <a:srgbClr val="00633F"/>
    </a:accent6>
    <a:hlink>
      <a:srgbClr val="29398F"/>
    </a:hlink>
    <a:folHlink>
      <a:srgbClr val="D40E8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ivotTable" Target="../pivotTables/pivotTable41.xml"/><Relationship Id="rId2" Type="http://schemas.openxmlformats.org/officeDocument/2006/relationships/pivotTable" Target="../pivotTables/pivotTable40.xml"/><Relationship Id="rId1" Type="http://schemas.openxmlformats.org/officeDocument/2006/relationships/pivotTable" Target="../pivotTables/pivotTable39.xml"/><Relationship Id="rId4"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5" Type="http://schemas.openxmlformats.org/officeDocument/2006/relationships/printerSettings" Target="../printerSettings/printerSettings3.bin"/><Relationship Id="rId4"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12.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25.xml"/><Relationship Id="rId2" Type="http://schemas.openxmlformats.org/officeDocument/2006/relationships/pivotTable" Target="../pivotTables/pivotTable24.xml"/><Relationship Id="rId1" Type="http://schemas.openxmlformats.org/officeDocument/2006/relationships/pivotTable" Target="../pivotTables/pivotTable23.xml"/><Relationship Id="rId4" Type="http://schemas.openxmlformats.org/officeDocument/2006/relationships/pivotTable" Target="../pivotTables/pivotTable26.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34.xml"/><Relationship Id="rId3" Type="http://schemas.openxmlformats.org/officeDocument/2006/relationships/pivotTable" Target="../pivotTables/pivotTable29.xml"/><Relationship Id="rId7" Type="http://schemas.openxmlformats.org/officeDocument/2006/relationships/pivotTable" Target="../pivotTables/pivotTable33.xml"/><Relationship Id="rId2" Type="http://schemas.openxmlformats.org/officeDocument/2006/relationships/pivotTable" Target="../pivotTables/pivotTable28.xml"/><Relationship Id="rId1" Type="http://schemas.openxmlformats.org/officeDocument/2006/relationships/pivotTable" Target="../pivotTables/pivotTable27.xml"/><Relationship Id="rId6" Type="http://schemas.openxmlformats.org/officeDocument/2006/relationships/pivotTable" Target="../pivotTables/pivotTable32.xml"/><Relationship Id="rId5" Type="http://schemas.openxmlformats.org/officeDocument/2006/relationships/pivotTable" Target="../pivotTables/pivotTable31.xml"/><Relationship Id="rId4" Type="http://schemas.openxmlformats.org/officeDocument/2006/relationships/pivotTable" Target="../pivotTables/pivotTable30.x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7.xml"/><Relationship Id="rId2" Type="http://schemas.openxmlformats.org/officeDocument/2006/relationships/pivotTable" Target="../pivotTables/pivotTable36.xml"/><Relationship Id="rId1" Type="http://schemas.openxmlformats.org/officeDocument/2006/relationships/pivotTable" Target="../pivotTables/pivotTable35.xml"/><Relationship Id="rId5" Type="http://schemas.openxmlformats.org/officeDocument/2006/relationships/printerSettings" Target="../printerSettings/printerSettings7.bin"/><Relationship Id="rId4" Type="http://schemas.openxmlformats.org/officeDocument/2006/relationships/pivotTable" Target="../pivotTables/pivotTable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221"/>
  <sheetViews>
    <sheetView showGridLines="0" tabSelected="1" topLeftCell="G1" zoomScaleNormal="100" workbookViewId="0">
      <pane ySplit="4" topLeftCell="A47" activePane="bottomLeft" state="frozen"/>
      <selection pane="bottomLeft" activeCell="AJ1" sqref="AJ1"/>
    </sheetView>
  </sheetViews>
  <sheetFormatPr defaultRowHeight="15" x14ac:dyDescent="0.25"/>
  <cols>
    <col min="1" max="1" width="1.7109375" customWidth="1"/>
    <col min="2" max="2" width="5.28515625" customWidth="1"/>
    <col min="3" max="3" width="30" customWidth="1"/>
    <col min="4" max="17" width="7.42578125" customWidth="1"/>
    <col min="18" max="18" width="2.85546875" customWidth="1"/>
    <col min="24" max="24" width="8.7109375" customWidth="1"/>
    <col min="25" max="25" width="2.140625" customWidth="1"/>
    <col min="26" max="26" width="9.140625" customWidth="1"/>
  </cols>
  <sheetData>
    <row r="2" spans="2:29" ht="84" customHeight="1" x14ac:dyDescent="0.25">
      <c r="C2" s="113" t="s">
        <v>341</v>
      </c>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row>
    <row r="4" spans="2:29" ht="15" customHeight="1" x14ac:dyDescent="0.35">
      <c r="C4" s="5"/>
      <c r="D4" s="23" t="s">
        <v>51</v>
      </c>
      <c r="E4" s="23" t="s">
        <v>52</v>
      </c>
      <c r="F4" s="23" t="s">
        <v>53</v>
      </c>
      <c r="G4" s="23" t="s">
        <v>54</v>
      </c>
      <c r="H4" s="23" t="s">
        <v>55</v>
      </c>
      <c r="I4" s="23" t="s">
        <v>56</v>
      </c>
      <c r="J4" s="23" t="s">
        <v>57</v>
      </c>
      <c r="K4" s="23" t="s">
        <v>58</v>
      </c>
      <c r="L4" s="23" t="s">
        <v>59</v>
      </c>
      <c r="M4" s="23" t="s">
        <v>60</v>
      </c>
      <c r="N4" s="23" t="s">
        <v>61</v>
      </c>
      <c r="O4" s="23" t="s">
        <v>62</v>
      </c>
      <c r="P4" s="23" t="s">
        <v>63</v>
      </c>
      <c r="Q4" s="23"/>
      <c r="S4" s="128" t="s">
        <v>32</v>
      </c>
      <c r="T4" s="128"/>
      <c r="U4" s="128"/>
      <c r="V4" s="128"/>
      <c r="W4" s="128"/>
      <c r="X4" s="128"/>
      <c r="Z4" s="128" t="s">
        <v>6</v>
      </c>
      <c r="AA4" s="128"/>
      <c r="AB4" s="128"/>
      <c r="AC4" s="128"/>
    </row>
    <row r="5" spans="2:29" ht="7.5" customHeight="1" x14ac:dyDescent="0.25">
      <c r="B5" s="6"/>
      <c r="C5" s="5"/>
      <c r="D5" s="24">
        <v>1</v>
      </c>
      <c r="E5" s="24">
        <v>2</v>
      </c>
      <c r="F5" s="24">
        <v>3</v>
      </c>
      <c r="G5" s="24">
        <v>4</v>
      </c>
      <c r="H5" s="24">
        <v>5</v>
      </c>
      <c r="I5" s="24">
        <v>6</v>
      </c>
      <c r="J5" s="24">
        <v>7</v>
      </c>
      <c r="K5" s="24">
        <v>8</v>
      </c>
      <c r="L5" s="24">
        <v>9</v>
      </c>
      <c r="M5" s="24">
        <v>10</v>
      </c>
      <c r="N5" s="24">
        <v>11</v>
      </c>
      <c r="O5" s="24">
        <v>12</v>
      </c>
      <c r="P5" s="24">
        <v>13</v>
      </c>
      <c r="Q5" s="24">
        <v>14</v>
      </c>
    </row>
    <row r="6" spans="2:29" ht="15" customHeight="1" x14ac:dyDescent="0.25">
      <c r="B6" s="114" t="s">
        <v>5</v>
      </c>
      <c r="C6" s="1" t="s">
        <v>0</v>
      </c>
      <c r="D6" s="84">
        <v>25</v>
      </c>
      <c r="E6" s="84">
        <v>30</v>
      </c>
      <c r="F6" s="84">
        <v>6</v>
      </c>
      <c r="G6" s="84">
        <v>39</v>
      </c>
      <c r="H6" s="84">
        <v>32</v>
      </c>
      <c r="I6" s="84">
        <v>6</v>
      </c>
      <c r="J6" s="84">
        <v>20</v>
      </c>
      <c r="K6" s="84">
        <v>43</v>
      </c>
      <c r="L6" s="84">
        <v>36</v>
      </c>
      <c r="M6" s="84">
        <v>30</v>
      </c>
      <c r="N6" s="84">
        <v>23</v>
      </c>
      <c r="O6" s="84">
        <v>13</v>
      </c>
      <c r="P6" s="84">
        <v>33</v>
      </c>
      <c r="Q6" s="71"/>
      <c r="Z6" s="115" t="s">
        <v>30</v>
      </c>
      <c r="AA6" s="115"/>
      <c r="AB6" s="115"/>
      <c r="AC6" s="115"/>
    </row>
    <row r="7" spans="2:29" ht="7.5" customHeight="1" x14ac:dyDescent="0.25">
      <c r="B7" s="114"/>
      <c r="C7" s="1"/>
      <c r="D7" s="61"/>
      <c r="Q7" s="71"/>
      <c r="Z7" s="115"/>
      <c r="AA7" s="115"/>
      <c r="AB7" s="115"/>
      <c r="AC7" s="115"/>
    </row>
    <row r="8" spans="2:29" x14ac:dyDescent="0.25">
      <c r="B8" s="114"/>
      <c r="C8" s="16" t="s">
        <v>253</v>
      </c>
      <c r="D8" s="108">
        <f>IFERROR(VLOOKUP(D$4,'A&amp;E diverts'!$M$3:$T$17,2,FALSE),"")</f>
        <v>25</v>
      </c>
      <c r="E8" s="108">
        <f>IFERROR(VLOOKUP(E$4,'A&amp;E diverts'!$M$3:$T$17,2,FALSE),"")</f>
        <v>30</v>
      </c>
      <c r="F8" s="108">
        <f>IFERROR(VLOOKUP(F$4,'A&amp;E diverts'!$M$3:$T$17,2,FALSE),"")</f>
        <v>15</v>
      </c>
      <c r="G8" s="108">
        <f>IFERROR(VLOOKUP(G$4,'A&amp;E diverts'!$M$3:$T$17,2,FALSE),"")</f>
        <v>17</v>
      </c>
      <c r="H8" s="108">
        <f>IFERROR(VLOOKUP(H$4,'A&amp;E diverts'!$M$3:$T$17,2,FALSE),"")</f>
        <v>17</v>
      </c>
      <c r="I8" s="108" t="str">
        <f>IFERROR(VLOOKUP(I$4,'A&amp;E diverts'!$M$3:$T$17,2,FALSE),"")</f>
        <v/>
      </c>
      <c r="J8" s="108" t="str">
        <f>IFERROR(VLOOKUP(J$4,'A&amp;E diverts'!$M$3:$T$17,2,FALSE),"")</f>
        <v/>
      </c>
      <c r="K8" s="108" t="str">
        <f>IFERROR(VLOOKUP(K$4,'A&amp;E diverts'!$M$3:$T$17,2,FALSE),"")</f>
        <v/>
      </c>
      <c r="L8" s="108" t="str">
        <f>IFERROR(VLOOKUP(L$4,'A&amp;E diverts'!$M$3:$T$17,2,FALSE),"")</f>
        <v/>
      </c>
      <c r="M8" s="108" t="str">
        <f>IFERROR(VLOOKUP(M$4,'A&amp;E diverts'!$M$3:$T$17,2,FALSE),"")</f>
        <v/>
      </c>
      <c r="N8" s="108" t="str">
        <f>IFERROR(VLOOKUP(N$4,'A&amp;E diverts'!$M$3:$T$17,2,FALSE),"")</f>
        <v/>
      </c>
      <c r="O8" s="108" t="str">
        <f>IFERROR(VLOOKUP(O$4,'A&amp;E diverts'!$M$3:$T$17,2,FALSE),"")</f>
        <v/>
      </c>
      <c r="P8" s="108" t="str">
        <f>IFERROR(VLOOKUP(P$4,'A&amp;E diverts'!$M$3:$T$17,2,FALSE),"")</f>
        <v/>
      </c>
      <c r="Q8" s="82"/>
      <c r="Z8" s="115"/>
      <c r="AA8" s="115"/>
      <c r="AB8" s="115"/>
      <c r="AC8" s="115"/>
    </row>
    <row r="9" spans="2:29" x14ac:dyDescent="0.25">
      <c r="B9" s="114"/>
      <c r="C9" s="1" t="s">
        <v>2</v>
      </c>
      <c r="D9" s="63">
        <f>IFERROR(VLOOKUP(D$4,'A&amp;E diverts'!$M$3:$T$17,3,FALSE),"")</f>
        <v>0</v>
      </c>
      <c r="E9" s="63">
        <f>IFERROR(VLOOKUP(E$4,'A&amp;E diverts'!$M$3:$T$17,3,FALSE),"")</f>
        <v>0</v>
      </c>
      <c r="F9" s="63">
        <f>IFERROR(VLOOKUP(F$4,'A&amp;E diverts'!$M$3:$T$17,3,FALSE),"")</f>
        <v>0</v>
      </c>
      <c r="G9" s="63">
        <f>IFERROR(VLOOKUP(G$4,'A&amp;E diverts'!$M$3:$T$17,3,FALSE),"")</f>
        <v>0</v>
      </c>
      <c r="H9" s="63">
        <f>IFERROR(VLOOKUP(H$4,'A&amp;E diverts'!$M$3:$T$17,3,FALSE),"")</f>
        <v>1</v>
      </c>
      <c r="I9" s="63" t="str">
        <f>IFERROR(VLOOKUP(I$4,'A&amp;E diverts'!$M$3:$T$17,3,FALSE),"")</f>
        <v/>
      </c>
      <c r="J9" s="63" t="str">
        <f>IFERROR(VLOOKUP(J$4,'A&amp;E diverts'!$M$3:$T$17,3,FALSE),"")</f>
        <v/>
      </c>
      <c r="K9" s="63" t="str">
        <f>IFERROR(VLOOKUP(K$4,'A&amp;E diverts'!$M$3:$T$17,3,FALSE),"")</f>
        <v/>
      </c>
      <c r="L9" s="63" t="str">
        <f>IFERROR(VLOOKUP(L$4,'A&amp;E diverts'!$M$3:$T$17,3,FALSE),"")</f>
        <v/>
      </c>
      <c r="M9" s="63" t="str">
        <f>IFERROR(VLOOKUP(M$4,'A&amp;E diverts'!$M$3:$T$17,3,FALSE),"")</f>
        <v/>
      </c>
      <c r="N9" s="63" t="str">
        <f>IFERROR(VLOOKUP(N$4,'A&amp;E diverts'!$M$3:$T$17,3,FALSE),"")</f>
        <v/>
      </c>
      <c r="O9" s="63" t="str">
        <f>IFERROR(VLOOKUP(O$4,'A&amp;E diverts'!$M$3:$T$17,3,FALSE),"")</f>
        <v/>
      </c>
      <c r="P9" s="63" t="str">
        <f>IFERROR(VLOOKUP(P$4,'A&amp;E diverts'!$M$3:$T$17,3,FALSE),"")</f>
        <v/>
      </c>
      <c r="Q9" s="83"/>
      <c r="Z9" s="115"/>
      <c r="AA9" s="115"/>
      <c r="AB9" s="115"/>
      <c r="AC9" s="115"/>
    </row>
    <row r="10" spans="2:29" x14ac:dyDescent="0.25">
      <c r="B10" s="114"/>
      <c r="C10" s="1" t="s">
        <v>29</v>
      </c>
      <c r="D10" s="63">
        <f>IFERROR(VLOOKUP(D$4,'A&amp;E diverts'!$M$3:$T$17,4,FALSE),"")</f>
        <v>13</v>
      </c>
      <c r="E10" s="63">
        <f>IFERROR(VLOOKUP(E$4,'A&amp;E diverts'!$M$3:$T$17,4,FALSE),"")</f>
        <v>18</v>
      </c>
      <c r="F10" s="63">
        <f>IFERROR(VLOOKUP(F$4,'A&amp;E diverts'!$M$3:$T$17,4,FALSE),"")</f>
        <v>3</v>
      </c>
      <c r="G10" s="63">
        <f>IFERROR(VLOOKUP(G$4,'A&amp;E diverts'!$M$3:$T$17,4,FALSE),"")</f>
        <v>11</v>
      </c>
      <c r="H10" s="63">
        <f>IFERROR(VLOOKUP(H$4,'A&amp;E diverts'!$M$3:$T$17,4,FALSE),"")</f>
        <v>4</v>
      </c>
      <c r="I10" s="63" t="str">
        <f>IFERROR(VLOOKUP(I$4,'A&amp;E diverts'!$M$3:$T$17,4,FALSE),"")</f>
        <v/>
      </c>
      <c r="J10" s="63" t="str">
        <f>IFERROR(VLOOKUP(J$4,'A&amp;E diverts'!$M$3:$T$17,4,FALSE),"")</f>
        <v/>
      </c>
      <c r="K10" s="63" t="str">
        <f>IFERROR(VLOOKUP(K$4,'A&amp;E diverts'!$M$3:$T$17,4,FALSE),"")</f>
        <v/>
      </c>
      <c r="L10" s="63" t="str">
        <f>IFERROR(VLOOKUP(L$4,'A&amp;E diverts'!$M$3:$T$17,4,FALSE),"")</f>
        <v/>
      </c>
      <c r="M10" s="63" t="str">
        <f>IFERROR(VLOOKUP(M$4,'A&amp;E diverts'!$M$3:$T$17,4,FALSE),"")</f>
        <v/>
      </c>
      <c r="N10" s="63" t="str">
        <f>IFERROR(VLOOKUP(N$4,'A&amp;E diverts'!$M$3:$T$17,4,FALSE),"")</f>
        <v/>
      </c>
      <c r="O10" s="63" t="str">
        <f>IFERROR(VLOOKUP(O$4,'A&amp;E diverts'!$M$3:$T$17,4,FALSE),"")</f>
        <v/>
      </c>
      <c r="P10" s="63" t="str">
        <f>IFERROR(VLOOKUP(P$4,'A&amp;E diverts'!$M$3:$T$17,4,FALSE),"")</f>
        <v/>
      </c>
      <c r="Q10" s="83" t="str">
        <f>IFERROR(VLOOKUP(Q$4,'A&amp;E diverts'!$M$3:$T$17,4,FALSE),"")</f>
        <v/>
      </c>
      <c r="Z10" s="112" t="s">
        <v>342</v>
      </c>
      <c r="AA10" s="112"/>
      <c r="AB10" s="112"/>
      <c r="AC10" s="112"/>
    </row>
    <row r="11" spans="2:29" x14ac:dyDescent="0.25">
      <c r="B11" s="114"/>
      <c r="C11" s="1" t="s">
        <v>3</v>
      </c>
      <c r="D11" s="63">
        <f>IFERROR(VLOOKUP(D$4,'A&amp;E diverts'!$M$3:$T$17,5,FALSE),"")</f>
        <v>8</v>
      </c>
      <c r="E11" s="63">
        <f>IFERROR(VLOOKUP(E$4,'A&amp;E diverts'!$M$3:$T$17,5,FALSE),"")</f>
        <v>8</v>
      </c>
      <c r="F11" s="63">
        <f>IFERROR(VLOOKUP(F$4,'A&amp;E diverts'!$M$3:$T$17,5,FALSE),"")</f>
        <v>4</v>
      </c>
      <c r="G11" s="63">
        <f>IFERROR(VLOOKUP(G$4,'A&amp;E diverts'!$M$3:$T$17,5,FALSE),"")</f>
        <v>3</v>
      </c>
      <c r="H11" s="63">
        <f>IFERROR(VLOOKUP(H$4,'A&amp;E diverts'!$M$3:$T$17,5,FALSE),"")</f>
        <v>10</v>
      </c>
      <c r="I11" s="63" t="str">
        <f>IFERROR(VLOOKUP(I$4,'A&amp;E diverts'!$M$3:$T$17,5,FALSE),"")</f>
        <v/>
      </c>
      <c r="J11" s="63" t="str">
        <f>IFERROR(VLOOKUP(J$4,'A&amp;E diverts'!$M$3:$T$17,5,FALSE),"")</f>
        <v/>
      </c>
      <c r="K11" s="63" t="str">
        <f>IFERROR(VLOOKUP(K$4,'A&amp;E diverts'!$M$3:$T$17,5,FALSE),"")</f>
        <v/>
      </c>
      <c r="L11" s="63" t="str">
        <f>IFERROR(VLOOKUP(L$4,'A&amp;E diverts'!$M$3:$T$17,5,FALSE),"")</f>
        <v/>
      </c>
      <c r="M11" s="63" t="str">
        <f>IFERROR(VLOOKUP(M$4,'A&amp;E diverts'!$M$3:$T$17,5,FALSE),"")</f>
        <v/>
      </c>
      <c r="N11" s="63" t="str">
        <f>IFERROR(VLOOKUP(N$4,'A&amp;E diverts'!$M$3:$T$17,5,FALSE),"")</f>
        <v/>
      </c>
      <c r="O11" s="63" t="str">
        <f>IFERROR(VLOOKUP(O$4,'A&amp;E diverts'!$M$3:$T$17,5,FALSE),"")</f>
        <v/>
      </c>
      <c r="P11" s="63" t="str">
        <f>IFERROR(VLOOKUP(P$4,'A&amp;E diverts'!$M$3:$T$17,5,FALSE),"")</f>
        <v/>
      </c>
      <c r="Q11" s="83" t="str">
        <f>IFERROR(VLOOKUP(Q$4,'A&amp;E diverts'!$M$3:$T$17,5,FALSE),"")</f>
        <v/>
      </c>
      <c r="Z11" s="112"/>
      <c r="AA11" s="112"/>
      <c r="AB11" s="112"/>
      <c r="AC11" s="112"/>
    </row>
    <row r="12" spans="2:29" x14ac:dyDescent="0.25">
      <c r="B12" s="114"/>
      <c r="C12" s="1" t="s">
        <v>270</v>
      </c>
      <c r="D12" s="63">
        <f>IFERROR(VLOOKUP(D$4,'A&amp;E diverts'!$M$3:$T$17,6,FALSE),"")</f>
        <v>2</v>
      </c>
      <c r="E12" s="63">
        <f>IFERROR(VLOOKUP(E$4,'A&amp;E diverts'!$M$3:$T$17,6,FALSE),"")</f>
        <v>2</v>
      </c>
      <c r="F12" s="63">
        <f>IFERROR(VLOOKUP(F$4,'A&amp;E diverts'!$M$3:$T$17,6,FALSE),"")</f>
        <v>4</v>
      </c>
      <c r="G12" s="63">
        <f>IFERROR(VLOOKUP(G$4,'A&amp;E diverts'!$M$3:$T$17,6,FALSE),"")</f>
        <v>2</v>
      </c>
      <c r="H12" s="63">
        <f>IFERROR(VLOOKUP(H$4,'A&amp;E diverts'!$M$3:$T$17,6,FALSE),"")</f>
        <v>2</v>
      </c>
      <c r="I12" s="63" t="str">
        <f>IFERROR(VLOOKUP(I$4,'A&amp;E diverts'!$M$3:$T$17,6,FALSE),"")</f>
        <v/>
      </c>
      <c r="J12" s="63" t="str">
        <f>IFERROR(VLOOKUP(J$4,'A&amp;E diverts'!$M$3:$T$17,6,FALSE),"")</f>
        <v/>
      </c>
      <c r="K12" s="63" t="str">
        <f>IFERROR(VLOOKUP(K$4,'A&amp;E diverts'!$M$3:$T$17,6,FALSE),"")</f>
        <v/>
      </c>
      <c r="L12" s="63" t="str">
        <f>IFERROR(VLOOKUP(L$4,'A&amp;E diverts'!$M$3:$T$17,6,FALSE),"")</f>
        <v/>
      </c>
      <c r="M12" s="63" t="str">
        <f>IFERROR(VLOOKUP(M$4,'A&amp;E diverts'!$M$3:$T$17,6,FALSE),"")</f>
        <v/>
      </c>
      <c r="N12" s="63" t="str">
        <f>IFERROR(VLOOKUP(N$4,'A&amp;E diverts'!$M$3:$T$17,6,FALSE),"")</f>
        <v/>
      </c>
      <c r="O12" s="63" t="str">
        <f>IFERROR(VLOOKUP(O$4,'A&amp;E diverts'!$M$3:$T$17,6,FALSE),"")</f>
        <v/>
      </c>
      <c r="P12" s="63" t="str">
        <f>IFERROR(VLOOKUP(P$4,'A&amp;E diverts'!$M$3:$T$17,6,FALSE),"")</f>
        <v/>
      </c>
      <c r="Q12" s="83" t="str">
        <f>IFERROR(VLOOKUP(Q$4,'A&amp;E diverts'!$M$3:$T$17,6,FALSE),"")</f>
        <v/>
      </c>
      <c r="Z12" s="112"/>
      <c r="AA12" s="112"/>
      <c r="AB12" s="112"/>
      <c r="AC12" s="112"/>
    </row>
    <row r="13" spans="2:29" x14ac:dyDescent="0.25">
      <c r="B13" s="114"/>
      <c r="C13" s="11" t="s">
        <v>278</v>
      </c>
      <c r="D13" s="63">
        <f>IFERROR(VLOOKUP(D$4,'A&amp;E diverts'!$M$3:$T$17,7,FALSE),"")</f>
        <v>2</v>
      </c>
      <c r="E13" s="63">
        <f>IFERROR(VLOOKUP(E$4,'A&amp;E diverts'!$M$3:$T$17,7,FALSE),"")</f>
        <v>2</v>
      </c>
      <c r="F13" s="63">
        <f>IFERROR(VLOOKUP(F$4,'A&amp;E diverts'!$M$3:$T$17,7,FALSE),"")</f>
        <v>4</v>
      </c>
      <c r="G13" s="63">
        <f>IFERROR(VLOOKUP(G$4,'A&amp;E diverts'!$M$3:$T$17,7,FALSE),"")</f>
        <v>1</v>
      </c>
      <c r="H13" s="63">
        <f>IFERROR(VLOOKUP(H$4,'A&amp;E diverts'!$M$3:$T$17,7,FALSE),"")</f>
        <v>0</v>
      </c>
      <c r="I13" s="63" t="str">
        <f>IFERROR(VLOOKUP(I$4,'A&amp;E diverts'!$M$3:$T$17,7,FALSE),"")</f>
        <v/>
      </c>
      <c r="J13" s="63" t="str">
        <f>IFERROR(VLOOKUP(J$4,'A&amp;E diverts'!$M$3:$T$17,7,FALSE),"")</f>
        <v/>
      </c>
      <c r="K13" s="63" t="str">
        <f>IFERROR(VLOOKUP(K$4,'A&amp;E diverts'!$M$3:$T$17,7,FALSE),"")</f>
        <v/>
      </c>
      <c r="L13" s="63" t="str">
        <f>IFERROR(VLOOKUP(L$4,'A&amp;E diverts'!$M$3:$T$17,7,FALSE),"")</f>
        <v/>
      </c>
      <c r="M13" s="63" t="str">
        <f>IFERROR(VLOOKUP(M$4,'A&amp;E diverts'!$M$3:$T$17,7,FALSE),"")</f>
        <v/>
      </c>
      <c r="N13" s="63" t="str">
        <f>IFERROR(VLOOKUP(N$4,'A&amp;E diverts'!$M$3:$T$17,7,FALSE),"")</f>
        <v/>
      </c>
      <c r="O13" s="63" t="str">
        <f>IFERROR(VLOOKUP(O$4,'A&amp;E diverts'!$M$3:$T$17,7,FALSE),"")</f>
        <v/>
      </c>
      <c r="P13" s="63" t="str">
        <f>IFERROR(VLOOKUP(P$4,'A&amp;E diverts'!$M$3:$T$17,7,FALSE),"")</f>
        <v/>
      </c>
      <c r="Q13" s="83" t="str">
        <f>IFERROR(VLOOKUP(Q$4,'A&amp;E diverts'!$M$3:$T$17,7,FALSE),"")</f>
        <v/>
      </c>
      <c r="Z13" s="112"/>
      <c r="AA13" s="112"/>
      <c r="AB13" s="112"/>
      <c r="AC13" s="112"/>
    </row>
    <row r="14" spans="2:29" ht="7.5" customHeight="1" x14ac:dyDescent="0.25">
      <c r="B14" s="114"/>
      <c r="Z14" s="112"/>
      <c r="AA14" s="112"/>
      <c r="AB14" s="112"/>
      <c r="AC14" s="112"/>
    </row>
    <row r="15" spans="2:29" x14ac:dyDescent="0.25">
      <c r="B15" s="114"/>
      <c r="C15" s="1" t="s">
        <v>31</v>
      </c>
      <c r="D15" s="116" t="s">
        <v>0</v>
      </c>
      <c r="E15" s="116"/>
      <c r="F15" s="116"/>
      <c r="G15" s="116" t="s">
        <v>254</v>
      </c>
      <c r="H15" s="116"/>
      <c r="I15" s="116"/>
      <c r="J15" s="116"/>
      <c r="K15" s="117" t="s">
        <v>253</v>
      </c>
      <c r="L15" s="117"/>
      <c r="M15" s="117"/>
      <c r="N15" s="123" t="str">
        <f>'A&amp;E diverts'!Z5&amp;" ("&amp;TEXT('A&amp;E diverts'!Z7,"d-mmm")&amp;")"</f>
        <v>9 (16-Dec)</v>
      </c>
      <c r="O15" s="123"/>
      <c r="P15" s="123"/>
      <c r="Q15" s="85"/>
      <c r="Z15" s="112"/>
      <c r="AA15" s="112"/>
      <c r="AB15" s="112"/>
      <c r="AC15" s="112"/>
    </row>
    <row r="16" spans="2:29" ht="7.5" customHeight="1" x14ac:dyDescent="0.25">
      <c r="B16" s="114"/>
      <c r="C16" s="1"/>
      <c r="K16" s="4"/>
      <c r="L16" s="4"/>
      <c r="M16" s="4"/>
      <c r="N16" s="4"/>
      <c r="O16" s="4"/>
      <c r="P16" s="4"/>
      <c r="Q16" s="86"/>
      <c r="Z16" s="112"/>
      <c r="AA16" s="112"/>
      <c r="AB16" s="112"/>
      <c r="AC16" s="112"/>
    </row>
    <row r="17" spans="2:31" x14ac:dyDescent="0.25">
      <c r="B17" s="114"/>
      <c r="C17" s="1" t="s">
        <v>28</v>
      </c>
      <c r="D17" s="116" t="s">
        <v>0</v>
      </c>
      <c r="E17" s="116"/>
      <c r="F17" s="116"/>
      <c r="G17" s="116" t="s">
        <v>255</v>
      </c>
      <c r="H17" s="116"/>
      <c r="I17" s="116"/>
      <c r="J17" s="116"/>
      <c r="K17" s="117" t="s">
        <v>253</v>
      </c>
      <c r="L17" s="117"/>
      <c r="M17" s="117"/>
      <c r="N17" s="123" t="str">
        <f>'A&amp;E diverts'!AE5&amp;" out of "&amp;'A&amp;E diverts'!AE6&amp;" ("&amp;TEXT('A&amp;E diverts'!AE7,"0%")&amp;")"</f>
        <v>4 out of 35 (11%)</v>
      </c>
      <c r="O17" s="123"/>
      <c r="P17" s="123"/>
      <c r="Q17" s="85"/>
      <c r="R17" s="61"/>
      <c r="Z17" s="112"/>
      <c r="AA17" s="112"/>
      <c r="AB17" s="112"/>
      <c r="AC17" s="112"/>
      <c r="AE17" s="39"/>
    </row>
    <row r="18" spans="2:31" ht="30" customHeight="1" x14ac:dyDescent="0.25">
      <c r="C18" s="1"/>
    </row>
    <row r="19" spans="2:31" ht="15" customHeight="1" x14ac:dyDescent="0.25">
      <c r="B19" s="114" t="s">
        <v>236</v>
      </c>
      <c r="C19" s="12" t="s">
        <v>249</v>
      </c>
    </row>
    <row r="20" spans="2:31" ht="15" customHeight="1" x14ac:dyDescent="0.25">
      <c r="B20" s="114"/>
      <c r="C20" s="1" t="s">
        <v>0</v>
      </c>
      <c r="D20" s="14">
        <v>93650.428571428565</v>
      </c>
      <c r="E20" s="14">
        <v>93161.71428571429</v>
      </c>
      <c r="F20" s="14">
        <v>92488.71428571429</v>
      </c>
      <c r="G20" s="14">
        <v>93346.71428571429</v>
      </c>
      <c r="H20" s="14">
        <v>93925.857142857145</v>
      </c>
      <c r="I20" s="14">
        <v>94001.571428571435</v>
      </c>
      <c r="J20" s="14">
        <v>93775.71428571429</v>
      </c>
      <c r="K20" s="14">
        <v>93805.28571428571</v>
      </c>
      <c r="L20" s="14">
        <v>94035.71428571429</v>
      </c>
      <c r="M20" s="14">
        <v>93641</v>
      </c>
      <c r="N20" s="14">
        <v>93906.571428571435</v>
      </c>
      <c r="O20" s="14">
        <v>94013.142857142855</v>
      </c>
      <c r="P20" s="14">
        <v>93559.428571428565</v>
      </c>
      <c r="Z20" s="115" t="s">
        <v>252</v>
      </c>
      <c r="AA20" s="115"/>
      <c r="AB20" s="115"/>
      <c r="AC20" s="115"/>
    </row>
    <row r="21" spans="2:31" ht="7.5" customHeight="1" x14ac:dyDescent="0.25">
      <c r="B21" s="114"/>
      <c r="C21" s="1"/>
      <c r="D21" s="31">
        <v>0.85</v>
      </c>
      <c r="E21" s="31">
        <v>0.85</v>
      </c>
      <c r="F21" s="31">
        <v>0.85</v>
      </c>
      <c r="G21" s="31">
        <v>0.85</v>
      </c>
      <c r="H21" s="31">
        <v>0.85</v>
      </c>
      <c r="I21" s="31">
        <v>0.85</v>
      </c>
      <c r="J21" s="31">
        <v>0.85</v>
      </c>
      <c r="K21" s="31">
        <v>0.85</v>
      </c>
      <c r="L21" s="31">
        <v>0.85</v>
      </c>
      <c r="M21" s="31">
        <v>0.85</v>
      </c>
      <c r="N21" s="31">
        <v>0.85</v>
      </c>
      <c r="O21" s="31">
        <v>0.85</v>
      </c>
      <c r="P21" s="31">
        <v>0.85</v>
      </c>
      <c r="Q21" s="31">
        <v>0.85</v>
      </c>
      <c r="Z21" s="115"/>
      <c r="AA21" s="115"/>
      <c r="AB21" s="115"/>
      <c r="AC21" s="115"/>
    </row>
    <row r="22" spans="2:31" x14ac:dyDescent="0.25">
      <c r="B22" s="114"/>
      <c r="C22" s="16" t="s">
        <v>253</v>
      </c>
      <c r="D22" s="73">
        <f>IFERROR(VLOOKUP(D$4,'G&amp;A bed avail.'!$AQ$5:$AX$19,2,FALSE),"")</f>
        <v>93649.571428571435</v>
      </c>
      <c r="E22" s="73">
        <f>IFERROR(VLOOKUP(E$4,'G&amp;A bed avail.'!$AQ$5:$AX$19,2,FALSE),"")</f>
        <v>93473.142857142855</v>
      </c>
      <c r="F22" s="73">
        <f>IFERROR(VLOOKUP(F$4,'G&amp;A bed avail.'!$AQ$5:$AX$19,2,FALSE),"")</f>
        <v>93407.857142857145</v>
      </c>
      <c r="G22" s="73">
        <f>IFERROR(VLOOKUP(G$4,'G&amp;A bed avail.'!$AQ$5:$AX$19,2,FALSE),"")</f>
        <v>92975.571428571435</v>
      </c>
      <c r="H22" s="73">
        <f>IFERROR(VLOOKUP(H$4,'G&amp;A bed avail.'!$AQ$5:$AX$19,2,FALSE),"")</f>
        <v>93152.428571428565</v>
      </c>
      <c r="I22" s="73" t="str">
        <f>IFERROR(VLOOKUP(I$4,'G&amp;A bed avail.'!$AQ$5:$AX$19,2,FALSE),"")</f>
        <v/>
      </c>
      <c r="J22" s="73" t="str">
        <f>IFERROR(VLOOKUP(J$4,'G&amp;A bed avail.'!$AQ$5:$AX$19,2,FALSE),"")</f>
        <v/>
      </c>
      <c r="K22" s="73" t="str">
        <f>IFERROR(VLOOKUP(K$4,'G&amp;A bed avail.'!$AQ$5:$AX$19,2,FALSE),"")</f>
        <v/>
      </c>
      <c r="L22" s="73" t="str">
        <f>IFERROR(VLOOKUP(L$4,'G&amp;A bed avail.'!$AQ$5:$AX$19,2,FALSE),"")</f>
        <v/>
      </c>
      <c r="M22" s="73" t="str">
        <f>IFERROR(VLOOKUP(M$4,'G&amp;A bed avail.'!$AQ$5:$AX$19,2,FALSE),"")</f>
        <v/>
      </c>
      <c r="N22" s="73" t="str">
        <f>IFERROR(VLOOKUP(N$4,'G&amp;A bed avail.'!$AQ$5:$AX$19,2,FALSE),"")</f>
        <v/>
      </c>
      <c r="O22" s="73" t="str">
        <f>IFERROR(VLOOKUP(O$4,'G&amp;A bed avail.'!$AQ$5:$AX$19,2,FALSE),"")</f>
        <v/>
      </c>
      <c r="P22" s="73" t="str">
        <f>IFERROR(VLOOKUP(P$4,'G&amp;A bed avail.'!$AQ$5:$AX$19,2,FALSE),"")</f>
        <v/>
      </c>
      <c r="Q22" s="87" t="str">
        <f>IFERROR(VLOOKUP(Q$4,'G&amp;A bed avail.'!$AQ$5:$AX$19,2,FALSE),"")</f>
        <v/>
      </c>
      <c r="R22" s="2"/>
      <c r="Z22" s="115"/>
      <c r="AA22" s="115"/>
      <c r="AB22" s="115"/>
      <c r="AC22" s="115"/>
    </row>
    <row r="23" spans="2:31" x14ac:dyDescent="0.25">
      <c r="B23" s="114"/>
      <c r="C23" s="1" t="s">
        <v>2</v>
      </c>
      <c r="D23" s="65">
        <f>IFERROR(VLOOKUP(D$4,'G&amp;A bed avail.'!$AQ$5:$AX$19,3,FALSE),"")</f>
        <v>13416.571428571429</v>
      </c>
      <c r="E23" s="65">
        <f>IFERROR(VLOOKUP(E$4,'G&amp;A bed avail.'!$AQ$5:$AX$19,3,FALSE),"")</f>
        <v>13428.714285714286</v>
      </c>
      <c r="F23" s="65">
        <f>IFERROR(VLOOKUP(F$4,'G&amp;A bed avail.'!$AQ$5:$AX$19,3,FALSE),"")</f>
        <v>13430.857142857143</v>
      </c>
      <c r="G23" s="65">
        <f>IFERROR(VLOOKUP(G$4,'G&amp;A bed avail.'!$AQ$5:$AX$19,3,FALSE),"")</f>
        <v>13381.142857142857</v>
      </c>
      <c r="H23" s="65">
        <f>IFERROR(VLOOKUP(H$4,'G&amp;A bed avail.'!$AQ$5:$AX$19,3,FALSE),"")</f>
        <v>13476.857142857143</v>
      </c>
      <c r="I23" s="65" t="str">
        <f>IFERROR(VLOOKUP(I$4,'G&amp;A bed avail.'!$AQ$5:$AX$19,3,FALSE),"")</f>
        <v/>
      </c>
      <c r="J23" s="65" t="str">
        <f>IFERROR(VLOOKUP(J$4,'G&amp;A bed avail.'!$AQ$5:$AX$19,3,FALSE),"")</f>
        <v/>
      </c>
      <c r="K23" s="65" t="str">
        <f>IFERROR(VLOOKUP(K$4,'G&amp;A bed avail.'!$AQ$5:$AX$19,3,FALSE),"")</f>
        <v/>
      </c>
      <c r="L23" s="65" t="str">
        <f>IFERROR(VLOOKUP(L$4,'G&amp;A bed avail.'!$AQ$5:$AX$19,3,FALSE),"")</f>
        <v/>
      </c>
      <c r="M23" s="65" t="str">
        <f>IFERROR(VLOOKUP(M$4,'G&amp;A bed avail.'!$AQ$5:$AX$19,3,FALSE),"")</f>
        <v/>
      </c>
      <c r="N23" s="65" t="str">
        <f>IFERROR(VLOOKUP(N$4,'G&amp;A bed avail.'!$AQ$5:$AX$19,3,FALSE),"")</f>
        <v/>
      </c>
      <c r="O23" s="65" t="str">
        <f>IFERROR(VLOOKUP(O$4,'G&amp;A bed avail.'!$AQ$5:$AX$19,3,FALSE),"")</f>
        <v/>
      </c>
      <c r="P23" s="65" t="str">
        <f>IFERROR(VLOOKUP(P$4,'G&amp;A bed avail.'!$AQ$5:$AX$19,3,FALSE),"")</f>
        <v/>
      </c>
      <c r="Q23" s="88" t="str">
        <f>IFERROR(VLOOKUP(Q$4,'G&amp;A bed avail.'!$AQ$5:$AX$19,3,FALSE),"")</f>
        <v/>
      </c>
      <c r="Z23" s="115"/>
      <c r="AA23" s="115"/>
      <c r="AB23" s="115"/>
      <c r="AC23" s="115"/>
    </row>
    <row r="24" spans="2:31" ht="15" customHeight="1" x14ac:dyDescent="0.25">
      <c r="B24" s="114"/>
      <c r="C24" s="1" t="s">
        <v>29</v>
      </c>
      <c r="D24" s="65">
        <f>IFERROR(VLOOKUP(D$4,'G&amp;A bed avail.'!$AQ$5:$AX$19,4,FALSE),"")</f>
        <v>27132.428571428572</v>
      </c>
      <c r="E24" s="65">
        <f>IFERROR(VLOOKUP(E$4,'G&amp;A bed avail.'!$AQ$5:$AX$19,4,FALSE),"")</f>
        <v>26999</v>
      </c>
      <c r="F24" s="65">
        <f>IFERROR(VLOOKUP(F$4,'G&amp;A bed avail.'!$AQ$5:$AX$19,4,FALSE),"")</f>
        <v>26957.428571428572</v>
      </c>
      <c r="G24" s="65">
        <f>IFERROR(VLOOKUP(G$4,'G&amp;A bed avail.'!$AQ$5:$AX$19,4,FALSE),"")</f>
        <v>26865.285714285714</v>
      </c>
      <c r="H24" s="65">
        <f>IFERROR(VLOOKUP(H$4,'G&amp;A bed avail.'!$AQ$5:$AX$19,4,FALSE),"")</f>
        <v>26566.428571428572</v>
      </c>
      <c r="I24" s="65" t="str">
        <f>IFERROR(VLOOKUP(I$4,'G&amp;A bed avail.'!$AQ$5:$AX$19,4,FALSE),"")</f>
        <v/>
      </c>
      <c r="J24" s="65" t="str">
        <f>IFERROR(VLOOKUP(J$4,'G&amp;A bed avail.'!$AQ$5:$AX$19,4,FALSE),"")</f>
        <v/>
      </c>
      <c r="K24" s="65" t="str">
        <f>IFERROR(VLOOKUP(K$4,'G&amp;A bed avail.'!$AQ$5:$AX$19,4,FALSE),"")</f>
        <v/>
      </c>
      <c r="L24" s="65" t="str">
        <f>IFERROR(VLOOKUP(L$4,'G&amp;A bed avail.'!$AQ$5:$AX$19,4,FALSE),"")</f>
        <v/>
      </c>
      <c r="M24" s="65" t="str">
        <f>IFERROR(VLOOKUP(M$4,'G&amp;A bed avail.'!$AQ$5:$AX$19,4,FALSE),"")</f>
        <v/>
      </c>
      <c r="N24" s="65" t="str">
        <f>IFERROR(VLOOKUP(N$4,'G&amp;A bed avail.'!$AQ$5:$AX$19,4,FALSE),"")</f>
        <v/>
      </c>
      <c r="O24" s="65" t="str">
        <f>IFERROR(VLOOKUP(O$4,'G&amp;A bed avail.'!$AQ$5:$AX$19,4,FALSE),"")</f>
        <v/>
      </c>
      <c r="P24" s="65" t="str">
        <f>IFERROR(VLOOKUP(P$4,'G&amp;A bed avail.'!$AQ$5:$AX$19,4,FALSE),"")</f>
        <v/>
      </c>
      <c r="Q24" s="88" t="str">
        <f>IFERROR(VLOOKUP(Q$4,'G&amp;A bed avail.'!$AQ$5:$AX$19,4,FALSE),"")</f>
        <v/>
      </c>
      <c r="Z24" s="112" t="s">
        <v>371</v>
      </c>
      <c r="AA24" s="112"/>
      <c r="AB24" s="112"/>
      <c r="AC24" s="112"/>
    </row>
    <row r="25" spans="2:31" x14ac:dyDescent="0.25">
      <c r="B25" s="114"/>
      <c r="C25" s="1" t="s">
        <v>3</v>
      </c>
      <c r="D25" s="65">
        <f>IFERROR(VLOOKUP(D$4,'G&amp;A bed avail.'!$AQ$5:$AX$19,5,FALSE),"")</f>
        <v>30921.571428571428</v>
      </c>
      <c r="E25" s="65">
        <f>IFERROR(VLOOKUP(E$4,'G&amp;A bed avail.'!$AQ$5:$AX$19,5,FALSE),"")</f>
        <v>30941.571428571428</v>
      </c>
      <c r="F25" s="65">
        <f>IFERROR(VLOOKUP(F$4,'G&amp;A bed avail.'!$AQ$5:$AX$19,5,FALSE),"")</f>
        <v>30859.571428571428</v>
      </c>
      <c r="G25" s="65">
        <f>IFERROR(VLOOKUP(G$4,'G&amp;A bed avail.'!$AQ$5:$AX$19,5,FALSE),"")</f>
        <v>30747</v>
      </c>
      <c r="H25" s="65">
        <f>IFERROR(VLOOKUP(H$4,'G&amp;A bed avail.'!$AQ$5:$AX$19,5,FALSE),"")</f>
        <v>30943.142857142859</v>
      </c>
      <c r="I25" s="65" t="str">
        <f>IFERROR(VLOOKUP(I$4,'G&amp;A bed avail.'!$AQ$5:$AX$19,5,FALSE),"")</f>
        <v/>
      </c>
      <c r="J25" s="65" t="str">
        <f>IFERROR(VLOOKUP(J$4,'G&amp;A bed avail.'!$AQ$5:$AX$19,5,FALSE),"")</f>
        <v/>
      </c>
      <c r="K25" s="65" t="str">
        <f>IFERROR(VLOOKUP(K$4,'G&amp;A bed avail.'!$AQ$5:$AX$19,5,FALSE),"")</f>
        <v/>
      </c>
      <c r="L25" s="65" t="str">
        <f>IFERROR(VLOOKUP(L$4,'G&amp;A bed avail.'!$AQ$5:$AX$19,5,FALSE),"")</f>
        <v/>
      </c>
      <c r="M25" s="65" t="str">
        <f>IFERROR(VLOOKUP(M$4,'G&amp;A bed avail.'!$AQ$5:$AX$19,5,FALSE),"")</f>
        <v/>
      </c>
      <c r="N25" s="65" t="str">
        <f>IFERROR(VLOOKUP(N$4,'G&amp;A bed avail.'!$AQ$5:$AX$19,5,FALSE),"")</f>
        <v/>
      </c>
      <c r="O25" s="65" t="str">
        <f>IFERROR(VLOOKUP(O$4,'G&amp;A bed avail.'!$AQ$5:$AX$19,5,FALSE),"")</f>
        <v/>
      </c>
      <c r="P25" s="65" t="str">
        <f>IFERROR(VLOOKUP(P$4,'G&amp;A bed avail.'!$AQ$5:$AX$19,5,FALSE),"")</f>
        <v/>
      </c>
      <c r="Q25" s="88" t="str">
        <f>IFERROR(VLOOKUP(Q$4,'G&amp;A bed avail.'!$AQ$5:$AX$19,5,FALSE),"")</f>
        <v/>
      </c>
      <c r="Z25" s="112"/>
      <c r="AA25" s="112"/>
      <c r="AB25" s="112"/>
      <c r="AC25" s="112"/>
    </row>
    <row r="26" spans="2:31" x14ac:dyDescent="0.25">
      <c r="B26" s="114"/>
      <c r="C26" s="1" t="s">
        <v>270</v>
      </c>
      <c r="D26" s="65">
        <f>IFERROR(VLOOKUP(D$4,'G&amp;A bed avail.'!$AQ$5:$AX$19,6,FALSE),"")</f>
        <v>12909.857142857143</v>
      </c>
      <c r="E26" s="65">
        <f>IFERROR(VLOOKUP(E$4,'G&amp;A bed avail.'!$AQ$5:$AX$19,6,FALSE),"")</f>
        <v>12873.285714285714</v>
      </c>
      <c r="F26" s="65">
        <f>IFERROR(VLOOKUP(F$4,'G&amp;A bed avail.'!$AQ$5:$AX$19,6,FALSE),"")</f>
        <v>12871.714285714286</v>
      </c>
      <c r="G26" s="65">
        <f>IFERROR(VLOOKUP(G$4,'G&amp;A bed avail.'!$AQ$5:$AX$19,6,FALSE),"")</f>
        <v>12748.428571428571</v>
      </c>
      <c r="H26" s="65">
        <f>IFERROR(VLOOKUP(H$4,'G&amp;A bed avail.'!$AQ$5:$AX$19,6,FALSE),"")</f>
        <v>12861.285714285714</v>
      </c>
      <c r="I26" s="65" t="str">
        <f>IFERROR(VLOOKUP(I$4,'G&amp;A bed avail.'!$AQ$5:$AX$19,6,FALSE),"")</f>
        <v/>
      </c>
      <c r="J26" s="65" t="str">
        <f>IFERROR(VLOOKUP(J$4,'G&amp;A bed avail.'!$AQ$5:$AX$19,6,FALSE),"")</f>
        <v/>
      </c>
      <c r="K26" s="65" t="str">
        <f>IFERROR(VLOOKUP(K$4,'G&amp;A bed avail.'!$AQ$5:$AX$19,6,FALSE),"")</f>
        <v/>
      </c>
      <c r="L26" s="65" t="str">
        <f>IFERROR(VLOOKUP(L$4,'G&amp;A bed avail.'!$AQ$5:$AX$19,6,FALSE),"")</f>
        <v/>
      </c>
      <c r="M26" s="65" t="str">
        <f>IFERROR(VLOOKUP(M$4,'G&amp;A bed avail.'!$AQ$5:$AX$19,6,FALSE),"")</f>
        <v/>
      </c>
      <c r="N26" s="65" t="str">
        <f>IFERROR(VLOOKUP(N$4,'G&amp;A bed avail.'!$AQ$5:$AX$19,6,FALSE),"")</f>
        <v/>
      </c>
      <c r="O26" s="65" t="str">
        <f>IFERROR(VLOOKUP(O$4,'G&amp;A bed avail.'!$AQ$5:$AX$19,6,FALSE),"")</f>
        <v/>
      </c>
      <c r="P26" s="65" t="str">
        <f>IFERROR(VLOOKUP(P$4,'G&amp;A bed avail.'!$AQ$5:$AX$19,6,FALSE),"")</f>
        <v/>
      </c>
      <c r="Q26" s="88" t="str">
        <f>IFERROR(VLOOKUP(Q$4,'G&amp;A bed avail.'!$AQ$5:$AX$19,6,FALSE),"")</f>
        <v/>
      </c>
      <c r="Z26" s="112"/>
      <c r="AA26" s="112"/>
      <c r="AB26" s="112"/>
      <c r="AC26" s="112"/>
    </row>
    <row r="27" spans="2:31" x14ac:dyDescent="0.25">
      <c r="B27" s="114"/>
      <c r="C27" s="11" t="s">
        <v>278</v>
      </c>
      <c r="D27" s="65">
        <f>IFERROR(VLOOKUP(D$4,'G&amp;A bed avail.'!$AQ$5:$AX$19,7,FALSE),"")</f>
        <v>9269.1428571428569</v>
      </c>
      <c r="E27" s="65">
        <f>IFERROR(VLOOKUP(E$4,'G&amp;A bed avail.'!$AQ$5:$AX$19,7,FALSE),"")</f>
        <v>9230.5714285714294</v>
      </c>
      <c r="F27" s="65">
        <f>IFERROR(VLOOKUP(F$4,'G&amp;A bed avail.'!$AQ$5:$AX$19,7,FALSE),"")</f>
        <v>9288.2857142857138</v>
      </c>
      <c r="G27" s="65">
        <f>IFERROR(VLOOKUP(G$4,'G&amp;A bed avail.'!$AQ$5:$AX$19,7,FALSE),"")</f>
        <v>9233.7142857142862</v>
      </c>
      <c r="H27" s="65">
        <f>IFERROR(VLOOKUP(H$4,'G&amp;A bed avail.'!$AQ$5:$AX$19,7,FALSE),"")</f>
        <v>9304.7142857142862</v>
      </c>
      <c r="I27" s="65" t="str">
        <f>IFERROR(VLOOKUP(I$4,'G&amp;A bed avail.'!$AQ$5:$AX$19,7,FALSE),"")</f>
        <v/>
      </c>
      <c r="J27" s="65" t="str">
        <f>IFERROR(VLOOKUP(J$4,'G&amp;A bed avail.'!$AQ$5:$AX$19,7,FALSE),"")</f>
        <v/>
      </c>
      <c r="K27" s="65" t="str">
        <f>IFERROR(VLOOKUP(K$4,'G&amp;A bed avail.'!$AQ$5:$AX$19,7,FALSE),"")</f>
        <v/>
      </c>
      <c r="L27" s="65" t="str">
        <f>IFERROR(VLOOKUP(L$4,'G&amp;A bed avail.'!$AQ$5:$AX$19,7,FALSE),"")</f>
        <v/>
      </c>
      <c r="M27" s="65" t="str">
        <f>IFERROR(VLOOKUP(M$4,'G&amp;A bed avail.'!$AQ$5:$AX$19,7,FALSE),"")</f>
        <v/>
      </c>
      <c r="N27" s="65" t="str">
        <f>IFERROR(VLOOKUP(N$4,'G&amp;A bed avail.'!$AQ$5:$AX$19,7,FALSE),"")</f>
        <v/>
      </c>
      <c r="O27" s="65" t="str">
        <f>IFERROR(VLOOKUP(O$4,'G&amp;A bed avail.'!$AQ$5:$AX$19,7,FALSE),"")</f>
        <v/>
      </c>
      <c r="P27" s="65" t="str">
        <f>IFERROR(VLOOKUP(P$4,'G&amp;A bed avail.'!$AQ$5:$AX$19,7,FALSE),"")</f>
        <v/>
      </c>
      <c r="Q27" s="88" t="str">
        <f>IFERROR(VLOOKUP(Q$4,'G&amp;A bed avail.'!$AQ$5:$AX$19,7,FALSE),"")</f>
        <v/>
      </c>
      <c r="Z27" s="112"/>
      <c r="AA27" s="112"/>
      <c r="AB27" s="112"/>
      <c r="AC27" s="112"/>
    </row>
    <row r="28" spans="2:31" ht="7.5" customHeight="1" x14ac:dyDescent="0.25">
      <c r="B28" s="114"/>
      <c r="C28" s="1"/>
      <c r="D28" s="34"/>
      <c r="E28" s="34"/>
      <c r="F28" s="34"/>
      <c r="G28" s="34"/>
      <c r="H28" s="34"/>
      <c r="I28" s="34"/>
      <c r="J28" s="34"/>
      <c r="K28" s="34"/>
      <c r="L28" s="34"/>
      <c r="M28" s="34"/>
      <c r="N28" s="34"/>
      <c r="O28" s="34"/>
      <c r="P28" s="34"/>
      <c r="Q28" s="34"/>
      <c r="Z28" s="112"/>
      <c r="AA28" s="112"/>
      <c r="AB28" s="112"/>
      <c r="AC28" s="112"/>
    </row>
    <row r="29" spans="2:31" x14ac:dyDescent="0.25">
      <c r="B29" s="114"/>
      <c r="C29" s="1" t="s">
        <v>245</v>
      </c>
      <c r="D29" s="116" t="s">
        <v>0</v>
      </c>
      <c r="E29" s="116"/>
      <c r="F29" s="116"/>
      <c r="G29" s="116" t="s">
        <v>256</v>
      </c>
      <c r="H29" s="116"/>
      <c r="I29" s="116"/>
      <c r="J29" s="116"/>
      <c r="K29" s="117" t="s">
        <v>253</v>
      </c>
      <c r="L29" s="117"/>
      <c r="M29" s="117"/>
      <c r="N29" s="129" t="str">
        <f>TEXT('G&amp;A bed avail.'!BG6,"0,0")&amp;" ("&amp;TEXT('G&amp;A bed avail.'!BI6,"d-mmm")&amp;")"</f>
        <v>93,822 (7-Dec)</v>
      </c>
      <c r="O29" s="129"/>
      <c r="P29" s="129"/>
      <c r="Q29" s="89"/>
      <c r="R29" s="61"/>
      <c r="Z29" s="112"/>
      <c r="AA29" s="112"/>
      <c r="AB29" s="112"/>
      <c r="AC29" s="112"/>
    </row>
    <row r="30" spans="2:31" ht="7.5" customHeight="1" x14ac:dyDescent="0.25">
      <c r="B30" s="114"/>
      <c r="C30" s="1"/>
      <c r="D30" s="34"/>
      <c r="E30" s="34"/>
      <c r="F30" s="34"/>
      <c r="G30" s="34"/>
      <c r="H30" s="34"/>
      <c r="I30" s="34"/>
      <c r="J30" s="34"/>
      <c r="K30" s="34"/>
      <c r="L30" s="34"/>
      <c r="M30" s="34"/>
      <c r="N30" s="34"/>
      <c r="O30" s="34"/>
      <c r="P30" s="34"/>
      <c r="Q30" s="34"/>
      <c r="Z30" s="112"/>
      <c r="AA30" s="112"/>
      <c r="AB30" s="112"/>
      <c r="AC30" s="112"/>
    </row>
    <row r="31" spans="2:31" ht="15" customHeight="1" x14ac:dyDescent="0.25">
      <c r="B31" s="114"/>
      <c r="C31" s="12" t="s">
        <v>250</v>
      </c>
      <c r="Z31" s="112"/>
      <c r="AA31" s="112"/>
      <c r="AB31" s="112"/>
      <c r="AC31" s="112"/>
    </row>
    <row r="32" spans="2:31" ht="15" customHeight="1" x14ac:dyDescent="0.25">
      <c r="B32" s="114"/>
      <c r="C32" s="1" t="s">
        <v>0</v>
      </c>
      <c r="D32" s="14">
        <v>2560.2857142857142</v>
      </c>
      <c r="E32" s="14">
        <v>2922.5714285714284</v>
      </c>
      <c r="F32" s="14">
        <v>2430.2857142857142</v>
      </c>
      <c r="G32" s="14">
        <v>2778.7142857142858</v>
      </c>
      <c r="H32" s="14">
        <v>4699.4285714285716</v>
      </c>
      <c r="I32" s="14">
        <v>4626</v>
      </c>
      <c r="J32" s="14">
        <v>4468.1428571428569</v>
      </c>
      <c r="K32" s="14">
        <v>4527.1428571428569</v>
      </c>
      <c r="L32" s="14">
        <v>4496.2857142857147</v>
      </c>
      <c r="M32" s="14">
        <v>4487.4285714285716</v>
      </c>
      <c r="N32" s="14">
        <v>4614.8571428571431</v>
      </c>
      <c r="O32" s="14">
        <v>4677.5714285714284</v>
      </c>
      <c r="P32" s="14">
        <v>4551.2857142857147</v>
      </c>
      <c r="R32" s="3"/>
      <c r="Z32" s="112"/>
      <c r="AA32" s="112"/>
      <c r="AB32" s="112"/>
      <c r="AC32" s="112"/>
    </row>
    <row r="33" spans="2:29" ht="7.5" customHeight="1" x14ac:dyDescent="0.25">
      <c r="B33" s="114"/>
      <c r="C33" s="1"/>
      <c r="D33" s="31">
        <v>0.85</v>
      </c>
      <c r="E33" s="31">
        <v>0.85</v>
      </c>
      <c r="F33" s="31">
        <v>0.85</v>
      </c>
      <c r="G33" s="31">
        <v>0.85</v>
      </c>
      <c r="H33" s="31">
        <v>0.85</v>
      </c>
      <c r="I33" s="31">
        <v>0.85</v>
      </c>
      <c r="J33" s="31">
        <v>0.85</v>
      </c>
      <c r="K33" s="31">
        <v>0.85</v>
      </c>
      <c r="L33" s="31">
        <v>0.85</v>
      </c>
      <c r="M33" s="31">
        <v>0.85</v>
      </c>
      <c r="N33" s="31">
        <v>0.85</v>
      </c>
      <c r="O33" s="31">
        <v>0.85</v>
      </c>
      <c r="P33" s="31">
        <v>0.85</v>
      </c>
      <c r="Q33" s="31">
        <v>0.85</v>
      </c>
      <c r="Z33" s="112"/>
      <c r="AA33" s="112"/>
      <c r="AB33" s="112"/>
      <c r="AC33" s="112"/>
    </row>
    <row r="34" spans="2:29" x14ac:dyDescent="0.25">
      <c r="B34" s="114"/>
      <c r="C34" s="16" t="s">
        <v>253</v>
      </c>
      <c r="D34" s="73">
        <f>IFERROR(VLOOKUP(D$4, 'G&amp;A bed avail.'!$AQ$22:$AX$36,2,FALSE),"")</f>
        <v>2399.8571428571427</v>
      </c>
      <c r="E34" s="73">
        <f>IFERROR(VLOOKUP(E$4, 'G&amp;A bed avail.'!$AQ$22:$AX$36,2,FALSE),"")</f>
        <v>2249.5714285714284</v>
      </c>
      <c r="F34" s="73">
        <f>IFERROR(VLOOKUP(F$4, 'G&amp;A bed avail.'!$AQ$22:$AX$36,2,FALSE),"")</f>
        <v>1987.4285714285713</v>
      </c>
      <c r="G34" s="73">
        <f>IFERROR(VLOOKUP(G$4, 'G&amp;A bed avail.'!$AQ$22:$AX$36,2,FALSE),"")</f>
        <v>1727.8571428571429</v>
      </c>
      <c r="H34" s="73">
        <f>IFERROR(VLOOKUP(H$4, 'G&amp;A bed avail.'!$AQ$22:$AX$36,2,FALSE),"")</f>
        <v>3065.8571428571427</v>
      </c>
      <c r="I34" s="73" t="str">
        <f>IFERROR(VLOOKUP(I$4, 'G&amp;A bed avail.'!$AQ$22:$AX$36,2,FALSE),"")</f>
        <v/>
      </c>
      <c r="J34" s="73" t="str">
        <f>IFERROR(VLOOKUP(J$4, 'G&amp;A bed avail.'!$AQ$22:$AX$36,2,FALSE),"")</f>
        <v/>
      </c>
      <c r="K34" s="73" t="str">
        <f>IFERROR(VLOOKUP(K$4, 'G&amp;A bed avail.'!$AQ$22:$AX$36,2,FALSE),"")</f>
        <v/>
      </c>
      <c r="L34" s="73" t="str">
        <f>IFERROR(VLOOKUP(L$4, 'G&amp;A bed avail.'!$AQ$22:$AX$36,2,FALSE),"")</f>
        <v/>
      </c>
      <c r="M34" s="73" t="str">
        <f>IFERROR(VLOOKUP(M$4, 'G&amp;A bed avail.'!$AQ$22:$AX$36,2,FALSE),"")</f>
        <v/>
      </c>
      <c r="N34" s="73" t="str">
        <f>IFERROR(VLOOKUP(N$4, 'G&amp;A bed avail.'!$AQ$22:$AX$36,2,FALSE),"")</f>
        <v/>
      </c>
      <c r="O34" s="73" t="str">
        <f>IFERROR(VLOOKUP(O$4, 'G&amp;A bed avail.'!$AQ$22:$AX$36,2,FALSE),"")</f>
        <v/>
      </c>
      <c r="P34" s="73" t="str">
        <f>IFERROR(VLOOKUP(P$4, 'G&amp;A bed avail.'!$AQ$22:$AX$36,2,FALSE),"")</f>
        <v/>
      </c>
      <c r="Q34" s="87" t="str">
        <f>IFERROR(VLOOKUP(Q$4, 'G&amp;A bed avail.'!$AQ$22:$AX$36,2,FALSE),"")</f>
        <v/>
      </c>
      <c r="R34" s="2"/>
      <c r="Z34" s="112"/>
      <c r="AA34" s="112"/>
      <c r="AB34" s="112"/>
      <c r="AC34" s="112"/>
    </row>
    <row r="35" spans="2:29" x14ac:dyDescent="0.25">
      <c r="B35" s="114"/>
      <c r="C35" s="1" t="s">
        <v>2</v>
      </c>
      <c r="D35" s="65">
        <f>IFERROR(VLOOKUP(D$4, 'G&amp;A bed avail.'!$AQ$22:$AX$36,3,FALSE),"")</f>
        <v>309.71428571428572</v>
      </c>
      <c r="E35" s="65">
        <f>IFERROR(VLOOKUP(E$4, 'G&amp;A bed avail.'!$AQ$22:$AX$36,3,FALSE),"")</f>
        <v>283.42857142857144</v>
      </c>
      <c r="F35" s="65">
        <f>IFERROR(VLOOKUP(F$4, 'G&amp;A bed avail.'!$AQ$22:$AX$36,3,FALSE),"")</f>
        <v>260.42857142857144</v>
      </c>
      <c r="G35" s="65">
        <f>IFERROR(VLOOKUP(G$4, 'G&amp;A bed avail.'!$AQ$22:$AX$36,3,FALSE),"")</f>
        <v>194.28571428571428</v>
      </c>
      <c r="H35" s="65">
        <f>IFERROR(VLOOKUP(H$4, 'G&amp;A bed avail.'!$AQ$22:$AX$36,3,FALSE),"")</f>
        <v>355.42857142857144</v>
      </c>
      <c r="I35" s="65" t="str">
        <f>IFERROR(VLOOKUP(I$4, 'G&amp;A bed avail.'!$AQ$22:$AX$36,3,FALSE),"")</f>
        <v/>
      </c>
      <c r="J35" s="65" t="str">
        <f>IFERROR(VLOOKUP(J$4, 'G&amp;A bed avail.'!$AQ$22:$AX$36,3,FALSE),"")</f>
        <v/>
      </c>
      <c r="K35" s="65" t="str">
        <f>IFERROR(VLOOKUP(K$4, 'G&amp;A bed avail.'!$AQ$22:$AX$36,3,FALSE),"")</f>
        <v/>
      </c>
      <c r="L35" s="65" t="str">
        <f>IFERROR(VLOOKUP(L$4, 'G&amp;A bed avail.'!$AQ$22:$AX$36,3,FALSE),"")</f>
        <v/>
      </c>
      <c r="M35" s="65" t="str">
        <f>IFERROR(VLOOKUP(M$4, 'G&amp;A bed avail.'!$AQ$22:$AX$36,3,FALSE),"")</f>
        <v/>
      </c>
      <c r="N35" s="65" t="str">
        <f>IFERROR(VLOOKUP(N$4, 'G&amp;A bed avail.'!$AQ$22:$AX$36,3,FALSE),"")</f>
        <v/>
      </c>
      <c r="O35" s="65" t="str">
        <f>IFERROR(VLOOKUP(O$4, 'G&amp;A bed avail.'!$AQ$22:$AX$36,3,FALSE),"")</f>
        <v/>
      </c>
      <c r="P35" s="65" t="str">
        <f>IFERROR(VLOOKUP(P$4, 'G&amp;A bed avail.'!$AQ$22:$AX$36,3,FALSE),"")</f>
        <v/>
      </c>
      <c r="Q35" s="88" t="str">
        <f>IFERROR(VLOOKUP(Q$4, 'G&amp;A bed avail.'!$AQ$22:$AX$36,3,FALSE),"")</f>
        <v/>
      </c>
      <c r="Z35" s="112"/>
      <c r="AA35" s="112"/>
      <c r="AB35" s="112"/>
      <c r="AC35" s="112"/>
    </row>
    <row r="36" spans="2:29" ht="15" customHeight="1" x14ac:dyDescent="0.25">
      <c r="B36" s="114"/>
      <c r="C36" s="1" t="s">
        <v>29</v>
      </c>
      <c r="D36" s="65">
        <f>IFERROR(VLOOKUP(D$4, 'G&amp;A bed avail.'!$AQ$22:$AX$36,4,FALSE),"")</f>
        <v>725.14285714285711</v>
      </c>
      <c r="E36" s="65">
        <f>IFERROR(VLOOKUP(E$4, 'G&amp;A bed avail.'!$AQ$22:$AX$36,4,FALSE),"")</f>
        <v>683.85714285714289</v>
      </c>
      <c r="F36" s="65">
        <f>IFERROR(VLOOKUP(F$4, 'G&amp;A bed avail.'!$AQ$22:$AX$36,4,FALSE),"")</f>
        <v>600.57142857142856</v>
      </c>
      <c r="G36" s="65">
        <f>IFERROR(VLOOKUP(G$4, 'G&amp;A bed avail.'!$AQ$22:$AX$36,4,FALSE),"")</f>
        <v>567.57142857142856</v>
      </c>
      <c r="H36" s="65">
        <f>IFERROR(VLOOKUP(H$4, 'G&amp;A bed avail.'!$AQ$22:$AX$36,4,FALSE),"")</f>
        <v>1001.1428571428571</v>
      </c>
      <c r="I36" s="65" t="str">
        <f>IFERROR(VLOOKUP(I$4, 'G&amp;A bed avail.'!$AQ$22:$AX$36,4,FALSE),"")</f>
        <v/>
      </c>
      <c r="J36" s="65" t="str">
        <f>IFERROR(VLOOKUP(J$4, 'G&amp;A bed avail.'!$AQ$22:$AX$36,4,FALSE),"")</f>
        <v/>
      </c>
      <c r="K36" s="65" t="str">
        <f>IFERROR(VLOOKUP(K$4, 'G&amp;A bed avail.'!$AQ$22:$AX$36,4,FALSE),"")</f>
        <v/>
      </c>
      <c r="L36" s="65" t="str">
        <f>IFERROR(VLOOKUP(L$4, 'G&amp;A bed avail.'!$AQ$22:$AX$36,4,FALSE),"")</f>
        <v/>
      </c>
      <c r="M36" s="65" t="str">
        <f>IFERROR(VLOOKUP(M$4, 'G&amp;A bed avail.'!$AQ$22:$AX$36,4,FALSE),"")</f>
        <v/>
      </c>
      <c r="N36" s="65" t="str">
        <f>IFERROR(VLOOKUP(N$4, 'G&amp;A bed avail.'!$AQ$22:$AX$36,4,FALSE),"")</f>
        <v/>
      </c>
      <c r="O36" s="65" t="str">
        <f>IFERROR(VLOOKUP(O$4, 'G&amp;A bed avail.'!$AQ$22:$AX$36,4,FALSE),"")</f>
        <v/>
      </c>
      <c r="P36" s="65" t="str">
        <f>IFERROR(VLOOKUP(P$4, 'G&amp;A bed avail.'!$AQ$22:$AX$36,4,FALSE),"")</f>
        <v/>
      </c>
      <c r="Q36" s="88" t="str">
        <f>IFERROR(VLOOKUP(Q$4, 'G&amp;A bed avail.'!$AQ$22:$AX$36,4,FALSE),"")</f>
        <v/>
      </c>
      <c r="Z36" s="112"/>
      <c r="AA36" s="112"/>
      <c r="AB36" s="112"/>
      <c r="AC36" s="112"/>
    </row>
    <row r="37" spans="2:29" x14ac:dyDescent="0.25">
      <c r="B37" s="114"/>
      <c r="C37" s="1" t="s">
        <v>3</v>
      </c>
      <c r="D37" s="65">
        <f>IFERROR(VLOOKUP(D$4, 'G&amp;A bed avail.'!$AQ$22:$AX$36,5,FALSE),"")</f>
        <v>701.85714285714289</v>
      </c>
      <c r="E37" s="65">
        <f>IFERROR(VLOOKUP(E$4, 'G&amp;A bed avail.'!$AQ$22:$AX$36,5,FALSE),"")</f>
        <v>680.85714285714289</v>
      </c>
      <c r="F37" s="65">
        <f>IFERROR(VLOOKUP(F$4, 'G&amp;A bed avail.'!$AQ$22:$AX$36,5,FALSE),"")</f>
        <v>657.57142857142856</v>
      </c>
      <c r="G37" s="65">
        <f>IFERROR(VLOOKUP(G$4, 'G&amp;A bed avail.'!$AQ$22:$AX$36,5,FALSE),"")</f>
        <v>597.85714285714289</v>
      </c>
      <c r="H37" s="65">
        <f>IFERROR(VLOOKUP(H$4, 'G&amp;A bed avail.'!$AQ$22:$AX$36,5,FALSE),"")</f>
        <v>983.57142857142856</v>
      </c>
      <c r="I37" s="65" t="str">
        <f>IFERROR(VLOOKUP(I$4, 'G&amp;A bed avail.'!$AQ$22:$AX$36,5,FALSE),"")</f>
        <v/>
      </c>
      <c r="J37" s="65" t="str">
        <f>IFERROR(VLOOKUP(J$4, 'G&amp;A bed avail.'!$AQ$22:$AX$36,5,FALSE),"")</f>
        <v/>
      </c>
      <c r="K37" s="65" t="str">
        <f>IFERROR(VLOOKUP(K$4, 'G&amp;A bed avail.'!$AQ$22:$AX$36,5,FALSE),"")</f>
        <v/>
      </c>
      <c r="L37" s="65" t="str">
        <f>IFERROR(VLOOKUP(L$4, 'G&amp;A bed avail.'!$AQ$22:$AX$36,5,FALSE),"")</f>
        <v/>
      </c>
      <c r="M37" s="65" t="str">
        <f>IFERROR(VLOOKUP(M$4, 'G&amp;A bed avail.'!$AQ$22:$AX$36,5,FALSE),"")</f>
        <v/>
      </c>
      <c r="N37" s="65" t="str">
        <f>IFERROR(VLOOKUP(N$4, 'G&amp;A bed avail.'!$AQ$22:$AX$36,5,FALSE),"")</f>
        <v/>
      </c>
      <c r="O37" s="65" t="str">
        <f>IFERROR(VLOOKUP(O$4, 'G&amp;A bed avail.'!$AQ$22:$AX$36,5,FALSE),"")</f>
        <v/>
      </c>
      <c r="P37" s="65" t="str">
        <f>IFERROR(VLOOKUP(P$4, 'G&amp;A bed avail.'!$AQ$22:$AX$36,5,FALSE),"")</f>
        <v/>
      </c>
      <c r="Q37" s="88" t="str">
        <f>IFERROR(VLOOKUP(Q$4, 'G&amp;A bed avail.'!$AQ$22:$AX$36,5,FALSE),"")</f>
        <v/>
      </c>
      <c r="Z37" s="112"/>
      <c r="AA37" s="112"/>
      <c r="AB37" s="112"/>
      <c r="AC37" s="112"/>
    </row>
    <row r="38" spans="2:29" x14ac:dyDescent="0.25">
      <c r="B38" s="114"/>
      <c r="C38" s="1" t="s">
        <v>270</v>
      </c>
      <c r="D38" s="65">
        <f>IFERROR(VLOOKUP(D$4, 'G&amp;A bed avail.'!$AQ$22:$AX$36,6,FALSE),"")</f>
        <v>392.85714285714283</v>
      </c>
      <c r="E38" s="65">
        <f>IFERROR(VLOOKUP(E$4, 'G&amp;A bed avail.'!$AQ$22:$AX$36,6,FALSE),"")</f>
        <v>364.42857142857144</v>
      </c>
      <c r="F38" s="65">
        <f>IFERROR(VLOOKUP(F$4, 'G&amp;A bed avail.'!$AQ$22:$AX$36,6,FALSE),"")</f>
        <v>301.14285714285717</v>
      </c>
      <c r="G38" s="65">
        <f>IFERROR(VLOOKUP(G$4, 'G&amp;A bed avail.'!$AQ$22:$AX$36,6,FALSE),"")</f>
        <v>253.57142857142858</v>
      </c>
      <c r="H38" s="65">
        <f>IFERROR(VLOOKUP(H$4, 'G&amp;A bed avail.'!$AQ$22:$AX$36,6,FALSE),"")</f>
        <v>471.14285714285717</v>
      </c>
      <c r="I38" s="65" t="str">
        <f>IFERROR(VLOOKUP(I$4, 'G&amp;A bed avail.'!$AQ$22:$AX$36,6,FALSE),"")</f>
        <v/>
      </c>
      <c r="J38" s="65" t="str">
        <f>IFERROR(VLOOKUP(J$4, 'G&amp;A bed avail.'!$AQ$22:$AX$36,6,FALSE),"")</f>
        <v/>
      </c>
      <c r="K38" s="65" t="str">
        <f>IFERROR(VLOOKUP(K$4, 'G&amp;A bed avail.'!$AQ$22:$AX$36,6,FALSE),"")</f>
        <v/>
      </c>
      <c r="L38" s="65" t="str">
        <f>IFERROR(VLOOKUP(L$4, 'G&amp;A bed avail.'!$AQ$22:$AX$36,6,FALSE),"")</f>
        <v/>
      </c>
      <c r="M38" s="65" t="str">
        <f>IFERROR(VLOOKUP(M$4, 'G&amp;A bed avail.'!$AQ$22:$AX$36,6,FALSE),"")</f>
        <v/>
      </c>
      <c r="N38" s="65" t="str">
        <f>IFERROR(VLOOKUP(N$4, 'G&amp;A bed avail.'!$AQ$22:$AX$36,6,FALSE),"")</f>
        <v/>
      </c>
      <c r="O38" s="65" t="str">
        <f>IFERROR(VLOOKUP(O$4, 'G&amp;A bed avail.'!$AQ$22:$AX$36,6,FALSE),"")</f>
        <v/>
      </c>
      <c r="P38" s="65" t="str">
        <f>IFERROR(VLOOKUP(P$4, 'G&amp;A bed avail.'!$AQ$22:$AX$36,6,FALSE),"")</f>
        <v/>
      </c>
      <c r="Q38" s="88" t="str">
        <f>IFERROR(VLOOKUP(Q$4, 'G&amp;A bed avail.'!$AQ$22:$AX$36,6,FALSE),"")</f>
        <v/>
      </c>
      <c r="Z38" s="112"/>
      <c r="AA38" s="112"/>
      <c r="AB38" s="112"/>
      <c r="AC38" s="112"/>
    </row>
    <row r="39" spans="2:29" x14ac:dyDescent="0.25">
      <c r="B39" s="114"/>
      <c r="C39" s="11" t="s">
        <v>278</v>
      </c>
      <c r="D39" s="65">
        <f>IFERROR(VLOOKUP(D$4, 'G&amp;A bed avail.'!$AQ$22:$AX$36,7,FALSE),"")</f>
        <v>270.28571428571428</v>
      </c>
      <c r="E39" s="65">
        <f>IFERROR(VLOOKUP(E$4, 'G&amp;A bed avail.'!$AQ$22:$AX$36,7,FALSE),"")</f>
        <v>237</v>
      </c>
      <c r="F39" s="65">
        <f>IFERROR(VLOOKUP(F$4, 'G&amp;A bed avail.'!$AQ$22:$AX$36,7,FALSE),"")</f>
        <v>167.71428571428572</v>
      </c>
      <c r="G39" s="65">
        <f>IFERROR(VLOOKUP(G$4, 'G&amp;A bed avail.'!$AQ$22:$AX$36,7,FALSE),"")</f>
        <v>114.57142857142857</v>
      </c>
      <c r="H39" s="65">
        <f>IFERROR(VLOOKUP(H$4, 'G&amp;A bed avail.'!$AQ$22:$AX$36,7,FALSE),"")</f>
        <v>9304.7142857142862</v>
      </c>
      <c r="I39" s="65" t="str">
        <f>IFERROR(VLOOKUP(I$4, 'G&amp;A bed avail.'!$AQ$22:$AX$36,7,FALSE),"")</f>
        <v/>
      </c>
      <c r="J39" s="65" t="str">
        <f>IFERROR(VLOOKUP(J$4, 'G&amp;A bed avail.'!$AQ$22:$AX$36,7,FALSE),"")</f>
        <v/>
      </c>
      <c r="K39" s="65" t="str">
        <f>IFERROR(VLOOKUP(K$4, 'G&amp;A bed avail.'!$AQ$22:$AX$36,7,FALSE),"")</f>
        <v/>
      </c>
      <c r="L39" s="65" t="str">
        <f>IFERROR(VLOOKUP(L$4, 'G&amp;A bed avail.'!$AQ$22:$AX$36,7,FALSE),"")</f>
        <v/>
      </c>
      <c r="M39" s="65" t="str">
        <f>IFERROR(VLOOKUP(M$4, 'G&amp;A bed avail.'!$AQ$22:$AX$36,7,FALSE),"")</f>
        <v/>
      </c>
      <c r="N39" s="65" t="str">
        <f>IFERROR(VLOOKUP(N$4, 'G&amp;A bed avail.'!$AQ$22:$AX$36,7,FALSE),"")</f>
        <v/>
      </c>
      <c r="O39" s="65" t="str">
        <f>IFERROR(VLOOKUP(O$4, 'G&amp;A bed avail.'!$AQ$22:$AX$36,7,FALSE),"")</f>
        <v/>
      </c>
      <c r="P39" s="65" t="str">
        <f>IFERROR(VLOOKUP(P$4, 'G&amp;A bed avail.'!$AQ$22:$AX$36,7,FALSE),"")</f>
        <v/>
      </c>
      <c r="Q39" s="88" t="str">
        <f>IFERROR(VLOOKUP(Q$4, 'G&amp;A bed avail.'!$AQ$22:$AX$36,7,FALSE),"")</f>
        <v/>
      </c>
      <c r="Z39" s="112"/>
      <c r="AA39" s="112"/>
      <c r="AB39" s="112"/>
      <c r="AC39" s="112"/>
    </row>
    <row r="40" spans="2:29" ht="7.5" customHeight="1" x14ac:dyDescent="0.25">
      <c r="B40" s="114"/>
      <c r="C40" s="1"/>
      <c r="D40" s="34"/>
      <c r="E40" s="34"/>
      <c r="F40" s="34"/>
      <c r="G40" s="34"/>
      <c r="H40" s="34"/>
      <c r="I40" s="34"/>
      <c r="J40" s="34"/>
      <c r="K40" s="34"/>
      <c r="L40" s="34"/>
      <c r="M40" s="34"/>
      <c r="N40" s="34"/>
      <c r="O40" s="34"/>
      <c r="P40" s="34"/>
      <c r="Q40" s="34"/>
      <c r="Z40" s="112"/>
      <c r="AA40" s="112"/>
      <c r="AB40" s="112"/>
      <c r="AC40" s="112"/>
    </row>
    <row r="41" spans="2:29" x14ac:dyDescent="0.25">
      <c r="B41" s="114"/>
      <c r="C41" s="1" t="s">
        <v>246</v>
      </c>
      <c r="D41" s="118" t="s">
        <v>0</v>
      </c>
      <c r="E41" s="119"/>
      <c r="F41" s="120"/>
      <c r="G41" s="118" t="s">
        <v>257</v>
      </c>
      <c r="H41" s="119"/>
      <c r="I41" s="119"/>
      <c r="J41" s="119"/>
      <c r="K41" s="121" t="s">
        <v>253</v>
      </c>
      <c r="L41" s="122"/>
      <c r="M41" s="122"/>
      <c r="N41" s="123" t="str">
        <f>TEXT('G&amp;A bed avail.'!BG7,"0,0")&amp;" ("&amp;TEXT('G&amp;A bed avail.'!BI7,"d-mmm")&amp;")"</f>
        <v>3,623 (6-Jan)</v>
      </c>
      <c r="O41" s="123"/>
      <c r="P41" s="123"/>
      <c r="Q41" s="85"/>
      <c r="R41" s="61"/>
      <c r="Z41" s="112"/>
      <c r="AA41" s="112"/>
      <c r="AB41" s="112"/>
      <c r="AC41" s="112"/>
    </row>
    <row r="42" spans="2:29" ht="7.5" customHeight="1" x14ac:dyDescent="0.25">
      <c r="B42" s="114"/>
      <c r="C42" s="1"/>
      <c r="D42" s="34"/>
      <c r="E42" s="34"/>
      <c r="F42" s="34"/>
      <c r="G42" s="34"/>
      <c r="H42" s="34"/>
      <c r="I42" s="34"/>
      <c r="J42" s="34"/>
      <c r="K42" s="34"/>
      <c r="L42" s="34"/>
      <c r="M42" s="34"/>
      <c r="N42" s="34"/>
      <c r="O42" s="34"/>
      <c r="P42" s="34"/>
      <c r="Q42" s="34"/>
      <c r="Z42" s="112"/>
      <c r="AA42" s="112"/>
      <c r="AB42" s="112"/>
      <c r="AC42" s="112"/>
    </row>
    <row r="43" spans="2:29" ht="15" customHeight="1" x14ac:dyDescent="0.25">
      <c r="B43" s="114"/>
      <c r="C43" s="12" t="s">
        <v>251</v>
      </c>
      <c r="Z43" s="112"/>
      <c r="AA43" s="112"/>
      <c r="AB43" s="112"/>
      <c r="AC43" s="112"/>
    </row>
    <row r="44" spans="2:29" ht="15" customHeight="1" x14ac:dyDescent="0.25">
      <c r="B44" s="114"/>
      <c r="C44" s="1" t="s">
        <v>0</v>
      </c>
      <c r="D44" s="14">
        <v>96210.71428571429</v>
      </c>
      <c r="E44" s="14">
        <v>96084.28571428571</v>
      </c>
      <c r="F44" s="14">
        <v>94919</v>
      </c>
      <c r="G44" s="14">
        <v>96129.571428571435</v>
      </c>
      <c r="H44" s="14">
        <v>98579.28571428571</v>
      </c>
      <c r="I44" s="14">
        <v>98611.142857142855</v>
      </c>
      <c r="J44" s="14">
        <v>98222.71428571429</v>
      </c>
      <c r="K44" s="14">
        <v>98310.857142857145</v>
      </c>
      <c r="L44" s="14">
        <v>98509.571428571435</v>
      </c>
      <c r="M44" s="14">
        <v>98109.28571428571</v>
      </c>
      <c r="N44" s="14">
        <v>98498.28571428571</v>
      </c>
      <c r="O44" s="14">
        <v>98668.142857142855</v>
      </c>
      <c r="P44" s="14">
        <v>98087.571428571435</v>
      </c>
      <c r="R44" s="3"/>
      <c r="Z44" s="112"/>
      <c r="AA44" s="112"/>
      <c r="AB44" s="112"/>
      <c r="AC44" s="112"/>
    </row>
    <row r="45" spans="2:29" ht="7.5" customHeight="1" x14ac:dyDescent="0.25">
      <c r="B45" s="114"/>
      <c r="C45" s="1"/>
      <c r="D45" s="31">
        <v>0.85</v>
      </c>
      <c r="E45" s="31">
        <v>0.85</v>
      </c>
      <c r="F45" s="31">
        <v>0.85</v>
      </c>
      <c r="G45" s="31">
        <v>0.85</v>
      </c>
      <c r="H45" s="31">
        <v>0.85</v>
      </c>
      <c r="I45" s="31">
        <v>0.85</v>
      </c>
      <c r="J45" s="31">
        <v>0.85</v>
      </c>
      <c r="K45" s="31">
        <v>0.85</v>
      </c>
      <c r="L45" s="31">
        <v>0.85</v>
      </c>
      <c r="M45" s="31">
        <v>0.85</v>
      </c>
      <c r="N45" s="31">
        <v>0.85</v>
      </c>
      <c r="O45" s="31">
        <v>0.85</v>
      </c>
      <c r="P45" s="31">
        <v>0.85</v>
      </c>
      <c r="Q45" s="31">
        <v>0.85</v>
      </c>
      <c r="Z45" s="112"/>
      <c r="AA45" s="112"/>
      <c r="AB45" s="112"/>
      <c r="AC45" s="112"/>
    </row>
    <row r="46" spans="2:29" x14ac:dyDescent="0.25">
      <c r="B46" s="114"/>
      <c r="C46" s="16" t="s">
        <v>253</v>
      </c>
      <c r="D46" s="64">
        <f>IFERROR(VLOOKUP(D$4, 'G&amp;A bed avail.'!$AQ$38:$AX$52,2,FALSE),"")</f>
        <v>96049.428571428565</v>
      </c>
      <c r="E46" s="64">
        <f>IFERROR(VLOOKUP(E$4, 'G&amp;A bed avail.'!$AQ$38:$AX$52,2,FALSE),"")</f>
        <v>95721.28571428571</v>
      </c>
      <c r="F46" s="64">
        <f>IFERROR(VLOOKUP(F$4, 'G&amp;A bed avail.'!$AQ$38:$AX$52,2,FALSE),"")</f>
        <v>95395.28571428571</v>
      </c>
      <c r="G46" s="64">
        <f>IFERROR(VLOOKUP(G$4, 'G&amp;A bed avail.'!$AQ$38:$AX$52,2,FALSE),"")</f>
        <v>94648.428571428565</v>
      </c>
      <c r="H46" s="64">
        <f>IFERROR(VLOOKUP(H$4, 'G&amp;A bed avail.'!$AQ$38:$AX$52,2,FALSE),"")</f>
        <v>96218.28571428571</v>
      </c>
      <c r="I46" s="64" t="str">
        <f>IFERROR(VLOOKUP(I$4, 'G&amp;A bed avail.'!$AQ$38:$AX$52,2,FALSE),"")</f>
        <v/>
      </c>
      <c r="J46" s="64" t="str">
        <f>IFERROR(VLOOKUP(J$4, 'G&amp;A bed avail.'!$AQ$38:$AX$52,2,FALSE),"")</f>
        <v/>
      </c>
      <c r="K46" s="64" t="str">
        <f>IFERROR(VLOOKUP(K$4, 'G&amp;A bed avail.'!$AQ$38:$AX$52,2,FALSE),"")</f>
        <v/>
      </c>
      <c r="L46" s="64" t="str">
        <f>IFERROR(VLOOKUP(L$4, 'G&amp;A bed avail.'!$AQ$38:$AX$52,2,FALSE),"")</f>
        <v/>
      </c>
      <c r="M46" s="64" t="str">
        <f>IFERROR(VLOOKUP(M$4, 'G&amp;A bed avail.'!$AQ$38:$AX$52,2,FALSE),"")</f>
        <v/>
      </c>
      <c r="N46" s="64" t="str">
        <f>IFERROR(VLOOKUP(N$4, 'G&amp;A bed avail.'!$AQ$38:$AX$52,2,FALSE),"")</f>
        <v/>
      </c>
      <c r="O46" s="64" t="str">
        <f>IFERROR(VLOOKUP(O$4, 'G&amp;A bed avail.'!$AQ$38:$AX$52,2,FALSE),"")</f>
        <v/>
      </c>
      <c r="P46" s="64" t="str">
        <f>IFERROR(VLOOKUP(P$4, 'G&amp;A bed avail.'!$AQ$38:$AX$52,2,FALSE),"")</f>
        <v/>
      </c>
      <c r="Q46" s="87" t="str">
        <f>IFERROR(VLOOKUP(Q$4, 'G&amp;A bed avail.'!$AQ$38:$AX$52,2,FALSE),"")</f>
        <v/>
      </c>
      <c r="R46" s="2"/>
      <c r="Z46" s="112"/>
      <c r="AA46" s="112"/>
      <c r="AB46" s="112"/>
      <c r="AC46" s="112"/>
    </row>
    <row r="47" spans="2:29" x14ac:dyDescent="0.25">
      <c r="B47" s="114"/>
      <c r="C47" s="1" t="s">
        <v>2</v>
      </c>
      <c r="D47" s="65">
        <f>IFERROR(VLOOKUP(D$4, 'G&amp;A bed avail.'!$AQ$38:$AX$52,3,FALSE),"")</f>
        <v>13726.285714285714</v>
      </c>
      <c r="E47" s="65">
        <f>IFERROR(VLOOKUP(E$4, 'G&amp;A bed avail.'!$AQ$38:$AX$52,3,FALSE),"")</f>
        <v>13712.142857142857</v>
      </c>
      <c r="F47" s="65">
        <f>IFERROR(VLOOKUP(F$4, 'G&amp;A bed avail.'!$AQ$38:$AX$52,3,FALSE),"")</f>
        <v>13691.285714285714</v>
      </c>
      <c r="G47" s="65">
        <f>IFERROR(VLOOKUP(G$4, 'G&amp;A bed avail.'!$AQ$38:$AX$52,3,FALSE),"")</f>
        <v>13575.428571428571</v>
      </c>
      <c r="H47" s="65">
        <f>IFERROR(VLOOKUP(H$4, 'G&amp;A bed avail.'!$AQ$38:$AX$52,3,FALSE),"")</f>
        <v>13832.285714285714</v>
      </c>
      <c r="I47" s="65" t="str">
        <f>IFERROR(VLOOKUP(I$4, 'G&amp;A bed avail.'!$AQ$38:$AX$52,3,FALSE),"")</f>
        <v/>
      </c>
      <c r="J47" s="65" t="str">
        <f>IFERROR(VLOOKUP(J$4, 'G&amp;A bed avail.'!$AQ$38:$AX$52,3,FALSE),"")</f>
        <v/>
      </c>
      <c r="K47" s="65" t="str">
        <f>IFERROR(VLOOKUP(K$4, 'G&amp;A bed avail.'!$AQ$38:$AX$52,3,FALSE),"")</f>
        <v/>
      </c>
      <c r="L47" s="65" t="str">
        <f>IFERROR(VLOOKUP(L$4, 'G&amp;A bed avail.'!$AQ$38:$AX$52,3,FALSE),"")</f>
        <v/>
      </c>
      <c r="M47" s="65" t="str">
        <f>IFERROR(VLOOKUP(M$4, 'G&amp;A bed avail.'!$AQ$38:$AX$52,3,FALSE),"")</f>
        <v/>
      </c>
      <c r="N47" s="65" t="str">
        <f>IFERROR(VLOOKUP(N$4, 'G&amp;A bed avail.'!$AQ$38:$AX$52,3,FALSE),"")</f>
        <v/>
      </c>
      <c r="O47" s="65" t="str">
        <f>IFERROR(VLOOKUP(O$4, 'G&amp;A bed avail.'!$AQ$38:$AX$52,3,FALSE),"")</f>
        <v/>
      </c>
      <c r="P47" s="65" t="str">
        <f>IFERROR(VLOOKUP(P$4, 'G&amp;A bed avail.'!$AQ$38:$AX$52,3,FALSE),"")</f>
        <v/>
      </c>
      <c r="Q47" s="88" t="str">
        <f>IFERROR(VLOOKUP(Q$4, 'G&amp;A bed avail.'!$AQ$38:$AX$52,3,FALSE),"")</f>
        <v/>
      </c>
      <c r="Z47" s="112"/>
      <c r="AA47" s="112"/>
      <c r="AB47" s="112"/>
      <c r="AC47" s="112"/>
    </row>
    <row r="48" spans="2:29" ht="15" customHeight="1" x14ac:dyDescent="0.25">
      <c r="B48" s="114"/>
      <c r="C48" s="1" t="s">
        <v>29</v>
      </c>
      <c r="D48" s="65">
        <f>IFERROR(VLOOKUP(D$4, 'G&amp;A bed avail.'!$AQ$38:$AX$52,4,FALSE),"")</f>
        <v>27857.571428571428</v>
      </c>
      <c r="E48" s="65">
        <f>IFERROR(VLOOKUP(E$4, 'G&amp;A bed avail.'!$AQ$38:$AX$52,4,FALSE),"")</f>
        <v>27681.428571428572</v>
      </c>
      <c r="F48" s="65">
        <f>IFERROR(VLOOKUP(F$4, 'G&amp;A bed avail.'!$AQ$38:$AX$52,4,FALSE),"")</f>
        <v>27558</v>
      </c>
      <c r="G48" s="65">
        <f>IFERROR(VLOOKUP(G$4, 'G&amp;A bed avail.'!$AQ$38:$AX$52,4,FALSE),"")</f>
        <v>27377.857142857141</v>
      </c>
      <c r="H48" s="65">
        <f>IFERROR(VLOOKUP(H$4, 'G&amp;A bed avail.'!$AQ$38:$AX$52,4,FALSE),"")</f>
        <v>27567.571428571428</v>
      </c>
      <c r="I48" s="65" t="str">
        <f>IFERROR(VLOOKUP(I$4, 'G&amp;A bed avail.'!$AQ$38:$AX$52,4,FALSE),"")</f>
        <v/>
      </c>
      <c r="J48" s="65" t="str">
        <f>IFERROR(VLOOKUP(J$4, 'G&amp;A bed avail.'!$AQ$38:$AX$52,4,FALSE),"")</f>
        <v/>
      </c>
      <c r="K48" s="65" t="str">
        <f>IFERROR(VLOOKUP(K$4, 'G&amp;A bed avail.'!$AQ$38:$AX$52,4,FALSE),"")</f>
        <v/>
      </c>
      <c r="L48" s="65" t="str">
        <f>IFERROR(VLOOKUP(L$4, 'G&amp;A bed avail.'!$AQ$38:$AX$52,4,FALSE),"")</f>
        <v/>
      </c>
      <c r="M48" s="65" t="str">
        <f>IFERROR(VLOOKUP(M$4, 'G&amp;A bed avail.'!$AQ$38:$AX$52,4,FALSE),"")</f>
        <v/>
      </c>
      <c r="N48" s="65" t="str">
        <f>IFERROR(VLOOKUP(N$4, 'G&amp;A bed avail.'!$AQ$38:$AX$52,4,FALSE),"")</f>
        <v/>
      </c>
      <c r="O48" s="65" t="str">
        <f>IFERROR(VLOOKUP(O$4, 'G&amp;A bed avail.'!$AQ$38:$AX$52,4,FALSE),"")</f>
        <v/>
      </c>
      <c r="P48" s="65" t="str">
        <f>IFERROR(VLOOKUP(P$4, 'G&amp;A bed avail.'!$AQ$38:$AX$52,4,FALSE),"")</f>
        <v/>
      </c>
      <c r="Q48" s="88" t="str">
        <f>IFERROR(VLOOKUP(Q$4, 'G&amp;A bed avail.'!$AQ$38:$AX$52,4,FALSE),"")</f>
        <v/>
      </c>
      <c r="Z48" s="112"/>
      <c r="AA48" s="112"/>
      <c r="AB48" s="112"/>
      <c r="AC48" s="112"/>
    </row>
    <row r="49" spans="2:29" x14ac:dyDescent="0.25">
      <c r="B49" s="114"/>
      <c r="C49" s="1" t="s">
        <v>3</v>
      </c>
      <c r="D49" s="65">
        <f>IFERROR(VLOOKUP(D$4, 'G&amp;A bed avail.'!$AQ$38:$AX$52,5,FALSE),"")</f>
        <v>31623.428571428572</v>
      </c>
      <c r="E49" s="65">
        <f>IFERROR(VLOOKUP(E$4, 'G&amp;A bed avail.'!$AQ$38:$AX$52,5,FALSE),"")</f>
        <v>31622.428571428572</v>
      </c>
      <c r="F49" s="65">
        <f>IFERROR(VLOOKUP(F$4, 'G&amp;A bed avail.'!$AQ$38:$AX$52,5,FALSE),"")</f>
        <v>31517.142857142859</v>
      </c>
      <c r="G49" s="65">
        <f>IFERROR(VLOOKUP(G$4, 'G&amp;A bed avail.'!$AQ$38:$AX$52,5,FALSE),"")</f>
        <v>31344.857142857141</v>
      </c>
      <c r="H49" s="65">
        <f>IFERROR(VLOOKUP(H$4, 'G&amp;A bed avail.'!$AQ$38:$AX$52,5,FALSE),"")</f>
        <v>31926.714285714286</v>
      </c>
      <c r="I49" s="65" t="str">
        <f>IFERROR(VLOOKUP(I$4, 'G&amp;A bed avail.'!$AQ$38:$AX$52,5,FALSE),"")</f>
        <v/>
      </c>
      <c r="J49" s="65" t="str">
        <f>IFERROR(VLOOKUP(J$4, 'G&amp;A bed avail.'!$AQ$38:$AX$52,5,FALSE),"")</f>
        <v/>
      </c>
      <c r="K49" s="65" t="str">
        <f>IFERROR(VLOOKUP(K$4, 'G&amp;A bed avail.'!$AQ$38:$AX$52,5,FALSE),"")</f>
        <v/>
      </c>
      <c r="L49" s="65" t="str">
        <f>IFERROR(VLOOKUP(L$4, 'G&amp;A bed avail.'!$AQ$38:$AX$52,5,FALSE),"")</f>
        <v/>
      </c>
      <c r="M49" s="65" t="str">
        <f>IFERROR(VLOOKUP(M$4, 'G&amp;A bed avail.'!$AQ$38:$AX$52,5,FALSE),"")</f>
        <v/>
      </c>
      <c r="N49" s="65" t="str">
        <f>IFERROR(VLOOKUP(N$4, 'G&amp;A bed avail.'!$AQ$38:$AX$52,5,FALSE),"")</f>
        <v/>
      </c>
      <c r="O49" s="65" t="str">
        <f>IFERROR(VLOOKUP(O$4, 'G&amp;A bed avail.'!$AQ$38:$AX$52,5,FALSE),"")</f>
        <v/>
      </c>
      <c r="P49" s="65" t="str">
        <f>IFERROR(VLOOKUP(P$4, 'G&amp;A bed avail.'!$AQ$38:$AX$52,5,FALSE),"")</f>
        <v/>
      </c>
      <c r="Q49" s="88" t="str">
        <f>IFERROR(VLOOKUP(Q$4, 'G&amp;A bed avail.'!$AQ$38:$AX$52,5,FALSE),"")</f>
        <v/>
      </c>
      <c r="Z49" s="112"/>
      <c r="AA49" s="112"/>
      <c r="AB49" s="112"/>
      <c r="AC49" s="112"/>
    </row>
    <row r="50" spans="2:29" x14ac:dyDescent="0.25">
      <c r="B50" s="52"/>
      <c r="C50" s="1" t="s">
        <v>270</v>
      </c>
      <c r="D50" s="65">
        <f>IFERROR(VLOOKUP(D$4, 'G&amp;A bed avail.'!$AQ$38:$AX$52,6,FALSE),"")</f>
        <v>13302.714285714286</v>
      </c>
      <c r="E50" s="65">
        <f>IFERROR(VLOOKUP(E$4, 'G&amp;A bed avail.'!$AQ$38:$AX$52,6,FALSE),"")</f>
        <v>13237.714285714286</v>
      </c>
      <c r="F50" s="65">
        <f>IFERROR(VLOOKUP(F$4, 'G&amp;A bed avail.'!$AQ$38:$AX$52,6,FALSE),"")</f>
        <v>13172.857142857143</v>
      </c>
      <c r="G50" s="65">
        <f>IFERROR(VLOOKUP(G$4, 'G&amp;A bed avail.'!$AQ$38:$AX$52,6,FALSE),"")</f>
        <v>13002</v>
      </c>
      <c r="H50" s="65">
        <f>IFERROR(VLOOKUP(H$4, 'G&amp;A bed avail.'!$AQ$38:$AX$52,6,FALSE),"")</f>
        <v>13332.428571428571</v>
      </c>
      <c r="I50" s="65" t="str">
        <f>IFERROR(VLOOKUP(I$4, 'G&amp;A bed avail.'!$AQ$38:$AX$52,6,FALSE),"")</f>
        <v/>
      </c>
      <c r="J50" s="65" t="str">
        <f>IFERROR(VLOOKUP(J$4, 'G&amp;A bed avail.'!$AQ$38:$AX$52,6,FALSE),"")</f>
        <v/>
      </c>
      <c r="K50" s="65" t="str">
        <f>IFERROR(VLOOKUP(K$4, 'G&amp;A bed avail.'!$AQ$38:$AX$52,6,FALSE),"")</f>
        <v/>
      </c>
      <c r="L50" s="65" t="str">
        <f>IFERROR(VLOOKUP(L$4, 'G&amp;A bed avail.'!$AQ$38:$AX$52,6,FALSE),"")</f>
        <v/>
      </c>
      <c r="M50" s="65" t="str">
        <f>IFERROR(VLOOKUP(M$4, 'G&amp;A bed avail.'!$AQ$38:$AX$52,6,FALSE),"")</f>
        <v/>
      </c>
      <c r="N50" s="65" t="str">
        <f>IFERROR(VLOOKUP(N$4, 'G&amp;A bed avail.'!$AQ$38:$AX$52,6,FALSE),"")</f>
        <v/>
      </c>
      <c r="O50" s="65" t="str">
        <f>IFERROR(VLOOKUP(O$4, 'G&amp;A bed avail.'!$AQ$38:$AX$52,6,FALSE),"")</f>
        <v/>
      </c>
      <c r="P50" s="65" t="str">
        <f>IFERROR(VLOOKUP(P$4, 'G&amp;A bed avail.'!$AQ$38:$AX$52,6,FALSE),"")</f>
        <v/>
      </c>
      <c r="Q50" s="88" t="str">
        <f>IFERROR(VLOOKUP(Q$4, 'G&amp;A bed avail.'!$AQ$38:$AX$52,6,FALSE),"")</f>
        <v/>
      </c>
      <c r="Z50" s="51"/>
      <c r="AA50" s="51"/>
      <c r="AB50" s="51"/>
      <c r="AC50" s="51"/>
    </row>
    <row r="51" spans="2:29" x14ac:dyDescent="0.25">
      <c r="B51" s="52"/>
      <c r="C51" s="11" t="s">
        <v>278</v>
      </c>
      <c r="D51" s="65">
        <f>IFERROR(VLOOKUP(D$4, 'G&amp;A bed avail.'!$AQ$38:$AX$52,7,FALSE),"")</f>
        <v>9539.4285714285706</v>
      </c>
      <c r="E51" s="65">
        <f>IFERROR(VLOOKUP(E$4, 'G&amp;A bed avail.'!$AQ$38:$AX$52,7,FALSE),"")</f>
        <v>9467.5714285714294</v>
      </c>
      <c r="F51" s="65">
        <f>IFERROR(VLOOKUP(F$4, 'G&amp;A bed avail.'!$AQ$38:$AX$52,7,FALSE),"")</f>
        <v>9456</v>
      </c>
      <c r="G51" s="65">
        <f>IFERROR(VLOOKUP(G$4, 'G&amp;A bed avail.'!$AQ$38:$AX$52,7,FALSE),"")</f>
        <v>9348.2857142857138</v>
      </c>
      <c r="H51" s="65">
        <f>IFERROR(VLOOKUP(H$4, 'G&amp;A bed avail.'!$AQ$38:$AX$52,7,FALSE),"")</f>
        <v>9559.2857142857138</v>
      </c>
      <c r="I51" s="65" t="str">
        <f>IFERROR(VLOOKUP(I$4, 'G&amp;A bed avail.'!$AQ$38:$AX$52,7,FALSE),"")</f>
        <v/>
      </c>
      <c r="J51" s="65" t="str">
        <f>IFERROR(VLOOKUP(J$4, 'G&amp;A bed avail.'!$AQ$38:$AX$52,7,FALSE),"")</f>
        <v/>
      </c>
      <c r="K51" s="65" t="str">
        <f>IFERROR(VLOOKUP(K$4, 'G&amp;A bed avail.'!$AQ$38:$AX$52,7,FALSE),"")</f>
        <v/>
      </c>
      <c r="L51" s="65" t="str">
        <f>IFERROR(VLOOKUP(L$4, 'G&amp;A bed avail.'!$AQ$38:$AX$52,7,FALSE),"")</f>
        <v/>
      </c>
      <c r="M51" s="65" t="str">
        <f>IFERROR(VLOOKUP(M$4, 'G&amp;A bed avail.'!$AQ$38:$AX$52,7,FALSE),"")</f>
        <v/>
      </c>
      <c r="N51" s="65" t="str">
        <f>IFERROR(VLOOKUP(N$4, 'G&amp;A bed avail.'!$AQ$38:$AX$52,7,FALSE),"")</f>
        <v/>
      </c>
      <c r="O51" s="65" t="str">
        <f>IFERROR(VLOOKUP(O$4, 'G&amp;A bed avail.'!$AQ$38:$AX$52,7,FALSE),"")</f>
        <v/>
      </c>
      <c r="P51" s="65" t="str">
        <f>IFERROR(VLOOKUP(P$4, 'G&amp;A bed avail.'!$AQ$38:$AX$52,7,FALSE),"")</f>
        <v/>
      </c>
      <c r="Q51" s="88" t="str">
        <f>IFERROR(VLOOKUP(Q$4, 'G&amp;A bed avail.'!$AQ$38:$AX$52,7,FALSE),"")</f>
        <v/>
      </c>
      <c r="Z51" s="51"/>
      <c r="AA51" s="51"/>
      <c r="AB51" s="51"/>
      <c r="AC51" s="51"/>
    </row>
    <row r="52" spans="2:29" ht="7.5" customHeight="1" x14ac:dyDescent="0.25">
      <c r="B52" s="41"/>
      <c r="C52" s="1"/>
      <c r="D52" s="34"/>
      <c r="E52" s="34"/>
      <c r="F52" s="34"/>
      <c r="G52" s="34"/>
      <c r="H52" s="34"/>
      <c r="I52" s="34"/>
      <c r="J52" s="34"/>
      <c r="K52" s="34"/>
      <c r="L52" s="34"/>
      <c r="M52" s="34"/>
      <c r="N52" s="34"/>
      <c r="O52" s="34"/>
      <c r="P52" s="34"/>
      <c r="Q52" s="34"/>
      <c r="Z52" s="29"/>
      <c r="AA52" s="29"/>
      <c r="AB52" s="29"/>
      <c r="AC52" s="29"/>
    </row>
    <row r="53" spans="2:29" x14ac:dyDescent="0.25">
      <c r="B53" s="41"/>
      <c r="C53" s="1" t="s">
        <v>247</v>
      </c>
      <c r="D53" s="118" t="s">
        <v>0</v>
      </c>
      <c r="E53" s="119"/>
      <c r="F53" s="120"/>
      <c r="G53" s="118" t="s">
        <v>258</v>
      </c>
      <c r="H53" s="119"/>
      <c r="I53" s="119"/>
      <c r="J53" s="119"/>
      <c r="K53" s="121" t="s">
        <v>253</v>
      </c>
      <c r="L53" s="122"/>
      <c r="M53" s="122"/>
      <c r="N53" s="123" t="str">
        <f>TEXT('G&amp;A bed avail.'!BG8,"0,0")&amp;" ("&amp;TEXT('G&amp;A bed avail.'!BI8,"d-mmm")&amp;")"</f>
        <v>96,892 (6-Jan)</v>
      </c>
      <c r="O53" s="123"/>
      <c r="P53" s="123"/>
      <c r="Q53" s="85"/>
      <c r="R53" s="61"/>
      <c r="Z53" s="29"/>
      <c r="AA53" s="29"/>
      <c r="AB53" s="29"/>
      <c r="AC53" s="29"/>
    </row>
    <row r="54" spans="2:29" ht="30" customHeight="1" x14ac:dyDescent="0.25">
      <c r="C54" s="1"/>
    </row>
    <row r="55" spans="2:29" ht="15" customHeight="1" x14ac:dyDescent="0.25">
      <c r="B55" s="114" t="s">
        <v>7</v>
      </c>
      <c r="C55" s="1" t="s">
        <v>0</v>
      </c>
      <c r="D55" s="7">
        <v>0.94566539218233792</v>
      </c>
      <c r="E55" s="7">
        <v>0.950476516153972</v>
      </c>
      <c r="F55" s="7">
        <v>0.90906682840858299</v>
      </c>
      <c r="G55" s="7">
        <v>0.91743732789226451</v>
      </c>
      <c r="H55" s="7">
        <v>0.9501996217692793</v>
      </c>
      <c r="I55" s="7">
        <v>0.94869313522957421</v>
      </c>
      <c r="J55" s="7">
        <v>0.94774848413008916</v>
      </c>
      <c r="K55" s="7">
        <v>0.95097184441189464</v>
      </c>
      <c r="L55" s="7">
        <v>0.95039060743916115</v>
      </c>
      <c r="M55" s="7">
        <v>0.94971496800215505</v>
      </c>
      <c r="N55" s="7">
        <v>0.94976272248393012</v>
      </c>
      <c r="O55" s="7">
        <v>0.9524075653308276</v>
      </c>
      <c r="P55" s="7">
        <v>0.95201955104258151</v>
      </c>
      <c r="R55" s="3"/>
      <c r="Z55" s="115" t="s">
        <v>14</v>
      </c>
      <c r="AA55" s="115"/>
      <c r="AB55" s="115"/>
      <c r="AC55" s="115"/>
    </row>
    <row r="56" spans="2:29" ht="7.5" customHeight="1" x14ac:dyDescent="0.25">
      <c r="B56" s="114"/>
      <c r="C56" s="1"/>
      <c r="D56" s="31">
        <v>0.85</v>
      </c>
      <c r="E56" s="31">
        <v>0.85</v>
      </c>
      <c r="F56" s="31">
        <v>0.85</v>
      </c>
      <c r="G56" s="31">
        <v>0.85</v>
      </c>
      <c r="H56" s="31">
        <v>0.85</v>
      </c>
      <c r="I56" s="31">
        <v>0.85</v>
      </c>
      <c r="J56" s="31">
        <v>0.85</v>
      </c>
      <c r="K56" s="31">
        <v>0.85</v>
      </c>
      <c r="L56" s="31">
        <v>0.85</v>
      </c>
      <c r="M56" s="31">
        <v>0.85</v>
      </c>
      <c r="N56" s="31">
        <v>0.85</v>
      </c>
      <c r="O56" s="31">
        <v>0.85</v>
      </c>
      <c r="P56" s="31">
        <v>0.85</v>
      </c>
      <c r="Q56" s="31">
        <v>0.85</v>
      </c>
      <c r="Z56" s="115"/>
      <c r="AA56" s="115"/>
      <c r="AB56" s="115"/>
      <c r="AC56" s="115"/>
    </row>
    <row r="57" spans="2:29" x14ac:dyDescent="0.25">
      <c r="B57" s="114"/>
      <c r="C57" s="16" t="s">
        <v>253</v>
      </c>
      <c r="D57" s="66">
        <f>IFERROR(VLOOKUP(D$4,'G&amp;A bed occ.'!$W$3:$AD$17,2,FALSE),"")</f>
        <v>0.94153307969408606</v>
      </c>
      <c r="E57" s="66">
        <f>IFERROR(VLOOKUP(E$4,'G&amp;A bed occ.'!$W$3:$AD$17,2,FALSE),"")</f>
        <v>0.93393915967339702</v>
      </c>
      <c r="F57" s="66">
        <f>IFERROR(VLOOKUP(F$4,'G&amp;A bed occ.'!$W$3:$AD$17,2,FALSE),"")</f>
        <v>0.91231222866658579</v>
      </c>
      <c r="G57" s="66">
        <f>IFERROR(VLOOKUP(G$4,'G&amp;A bed occ.'!$W$3:$AD$17,2,FALSE),"")</f>
        <v>0.87478774834387107</v>
      </c>
      <c r="H57" s="66">
        <f>IFERROR(VLOOKUP(H$4,'G&amp;A bed occ.'!$W$3:$AD$17,2,FALSE),"")</f>
        <v>0.93198946443206521</v>
      </c>
      <c r="I57" s="66" t="str">
        <f>IFERROR(VLOOKUP(I$4,'G&amp;A bed occ.'!$W$3:$AD$17,2,FALSE),"")</f>
        <v/>
      </c>
      <c r="J57" s="66" t="str">
        <f>IFERROR(VLOOKUP(J$4,'G&amp;A bed occ.'!$W$3:$AD$17,2,FALSE),"")</f>
        <v/>
      </c>
      <c r="K57" s="66" t="str">
        <f>IFERROR(VLOOKUP(K$4,'G&amp;A bed occ.'!$W$3:$AD$17,2,FALSE),"")</f>
        <v/>
      </c>
      <c r="L57" s="66" t="str">
        <f>IFERROR(VLOOKUP(L$4,'G&amp;A bed occ.'!$W$3:$AD$17,2,FALSE),"")</f>
        <v/>
      </c>
      <c r="M57" s="66" t="str">
        <f>IFERROR(VLOOKUP(M$4,'G&amp;A bed occ.'!$W$3:$AD$17,2,FALSE),"")</f>
        <v/>
      </c>
      <c r="N57" s="66" t="str">
        <f>IFERROR(VLOOKUP(N$4,'G&amp;A bed occ.'!$W$3:$AD$17,2,FALSE),"")</f>
        <v/>
      </c>
      <c r="O57" s="66" t="str">
        <f>IFERROR(VLOOKUP(O$4,'G&amp;A bed occ.'!$W$3:$AD$17,2,FALSE),"")</f>
        <v/>
      </c>
      <c r="P57" s="66" t="str">
        <f>IFERROR(VLOOKUP(P$4,'G&amp;A bed occ.'!$W$3:$AD$17,2,FALSE),"")</f>
        <v/>
      </c>
      <c r="Q57" s="90" t="str">
        <f>IFERROR(VLOOKUP(Q$4,'G&amp;A bed occ.'!$W$3:$AD$17,2,FALSE),"")</f>
        <v/>
      </c>
      <c r="R57" s="2"/>
      <c r="Z57" s="115"/>
      <c r="AA57" s="115"/>
      <c r="AB57" s="115"/>
      <c r="AC57" s="115"/>
    </row>
    <row r="58" spans="2:29" x14ac:dyDescent="0.25">
      <c r="B58" s="114"/>
      <c r="C58" s="1" t="s">
        <v>2</v>
      </c>
      <c r="D58" s="74">
        <f>IFERROR(VLOOKUP(D$4,'G&amp;A bed occ.'!$W$3:$AD$17,3,FALSE),"")</f>
        <v>0.95124058115815324</v>
      </c>
      <c r="E58" s="74">
        <f>IFERROR(VLOOKUP(E$4,'G&amp;A bed occ.'!$W$3:$AD$17,3,FALSE),"")</f>
        <v>0.94419961452310253</v>
      </c>
      <c r="F58" s="74">
        <f>IFERROR(VLOOKUP(F$4,'G&amp;A bed occ.'!$W$3:$AD$17,3,FALSE),"")</f>
        <v>0.92656434228236939</v>
      </c>
      <c r="G58" s="74">
        <f>IFERROR(VLOOKUP(G$4,'G&amp;A bed occ.'!$W$3:$AD$17,3,FALSE),"")</f>
        <v>0.87722565980553102</v>
      </c>
      <c r="H58" s="74">
        <f>IFERROR(VLOOKUP(H$4,'G&amp;A bed occ.'!$W$3:$AD$17,3,FALSE),"")</f>
        <v>0.92734389523475103</v>
      </c>
      <c r="I58" s="74" t="str">
        <f>IFERROR(VLOOKUP(I$4,'G&amp;A bed occ.'!$W$3:$AD$17,3,FALSE),"")</f>
        <v/>
      </c>
      <c r="J58" s="74" t="str">
        <f>IFERROR(VLOOKUP(J$4,'G&amp;A bed occ.'!$W$3:$AD$17,3,FALSE),"")</f>
        <v/>
      </c>
      <c r="K58" s="74" t="str">
        <f>IFERROR(VLOOKUP(K$4,'G&amp;A bed occ.'!$W$3:$AD$17,3,FALSE),"")</f>
        <v/>
      </c>
      <c r="L58" s="74" t="str">
        <f>IFERROR(VLOOKUP(L$4,'G&amp;A bed occ.'!$W$3:$AD$17,3,FALSE),"")</f>
        <v/>
      </c>
      <c r="M58" s="74" t="str">
        <f>IFERROR(VLOOKUP(M$4,'G&amp;A bed occ.'!$W$3:$AD$17,3,FALSE),"")</f>
        <v/>
      </c>
      <c r="N58" s="74" t="str">
        <f>IFERROR(VLOOKUP(N$4,'G&amp;A bed occ.'!$W$3:$AD$17,3,FALSE),"")</f>
        <v/>
      </c>
      <c r="O58" s="74" t="str">
        <f>IFERROR(VLOOKUP(O$4,'G&amp;A bed occ.'!$W$3:$AD$17,3,FALSE),"")</f>
        <v/>
      </c>
      <c r="P58" s="74" t="str">
        <f>IFERROR(VLOOKUP(P$4,'G&amp;A bed occ.'!$W$3:$AD$17,3,FALSE),"")</f>
        <v/>
      </c>
      <c r="Q58" s="91" t="str">
        <f>IFERROR(VLOOKUP(Q$4,'G&amp;A bed occ.'!$W$3:$AD$17,3,FALSE),"")</f>
        <v/>
      </c>
      <c r="Z58" s="115"/>
      <c r="AA58" s="115"/>
      <c r="AB58" s="115"/>
      <c r="AC58" s="115"/>
    </row>
    <row r="59" spans="2:29" ht="15" customHeight="1" x14ac:dyDescent="0.25">
      <c r="B59" s="114"/>
      <c r="C59" s="1" t="s">
        <v>29</v>
      </c>
      <c r="D59" s="74">
        <f>IFERROR(VLOOKUP(D$4,'G&amp;A bed occ.'!$W$3:$AD$17,4,FALSE),"")</f>
        <v>0.9432470269688159</v>
      </c>
      <c r="E59" s="74">
        <f>IFERROR(VLOOKUP(E$4,'G&amp;A bed occ.'!$W$3:$AD$17,4,FALSE),"")</f>
        <v>0.93814832017340144</v>
      </c>
      <c r="F59" s="74">
        <f>IFERROR(VLOOKUP(F$4,'G&amp;A bed occ.'!$W$3:$AD$17,4,FALSE),"")</f>
        <v>0.91894497838325406</v>
      </c>
      <c r="G59" s="74">
        <f>IFERROR(VLOOKUP(G$4,'G&amp;A bed occ.'!$W$3:$AD$17,4,FALSE),"")</f>
        <v>0.88934227347439276</v>
      </c>
      <c r="H59" s="74">
        <f>IFERROR(VLOOKUP(H$4,'G&amp;A bed occ.'!$W$3:$AD$17,4,FALSE),"")</f>
        <v>0.94385224876018925</v>
      </c>
      <c r="I59" s="74" t="str">
        <f>IFERROR(VLOOKUP(I$4,'G&amp;A bed occ.'!$W$3:$AD$17,4,FALSE),"")</f>
        <v/>
      </c>
      <c r="J59" s="74" t="str">
        <f>IFERROR(VLOOKUP(J$4,'G&amp;A bed occ.'!$W$3:$AD$17,4,FALSE),"")</f>
        <v/>
      </c>
      <c r="K59" s="74" t="str">
        <f>IFERROR(VLOOKUP(K$4,'G&amp;A bed occ.'!$W$3:$AD$17,4,FALSE),"")</f>
        <v/>
      </c>
      <c r="L59" s="74" t="str">
        <f>IFERROR(VLOOKUP(L$4,'G&amp;A bed occ.'!$W$3:$AD$17,4,FALSE),"")</f>
        <v/>
      </c>
      <c r="M59" s="74" t="str">
        <f>IFERROR(VLOOKUP(M$4,'G&amp;A bed occ.'!$W$3:$AD$17,4,FALSE),"")</f>
        <v/>
      </c>
      <c r="N59" s="74" t="str">
        <f>IFERROR(VLOOKUP(N$4,'G&amp;A bed occ.'!$W$3:$AD$17,4,FALSE),"")</f>
        <v/>
      </c>
      <c r="O59" s="74" t="str">
        <f>IFERROR(VLOOKUP(O$4,'G&amp;A bed occ.'!$W$3:$AD$17,4,FALSE),"")</f>
        <v/>
      </c>
      <c r="P59" s="74" t="str">
        <f>IFERROR(VLOOKUP(P$4,'G&amp;A bed occ.'!$W$3:$AD$17,4,FALSE),"")</f>
        <v/>
      </c>
      <c r="Q59" s="91" t="str">
        <f>IFERROR(VLOOKUP(Q$4,'G&amp;A bed occ.'!$W$3:$AD$17,4,FALSE),"")</f>
        <v/>
      </c>
      <c r="Z59" s="112" t="s">
        <v>248</v>
      </c>
      <c r="AA59" s="112"/>
      <c r="AB59" s="112"/>
      <c r="AC59" s="112"/>
    </row>
    <row r="60" spans="2:29" x14ac:dyDescent="0.25">
      <c r="B60" s="114"/>
      <c r="C60" s="1" t="s">
        <v>3</v>
      </c>
      <c r="D60" s="74">
        <f>IFERROR(VLOOKUP(D$4,'G&amp;A bed occ.'!$W$3:$AD$17,5,FALSE),"")</f>
        <v>0.9320395366906995</v>
      </c>
      <c r="E60" s="74">
        <f>IFERROR(VLOOKUP(E$4,'G&amp;A bed occ.'!$W$3:$AD$17,5,FALSE),"")</f>
        <v>0.92271760097941335</v>
      </c>
      <c r="F60" s="74">
        <f>IFERROR(VLOOKUP(F$4,'G&amp;A bed occ.'!$W$3:$AD$17,5,FALSE),"")</f>
        <v>0.89719427069168711</v>
      </c>
      <c r="G60" s="74">
        <f>IFERROR(VLOOKUP(G$4,'G&amp;A bed occ.'!$W$3:$AD$17,5,FALSE),"")</f>
        <v>0.85858240586288936</v>
      </c>
      <c r="H60" s="74">
        <f>IFERROR(VLOOKUP(H$4,'G&amp;A bed occ.'!$W$3:$AD$17,5,FALSE),"")</f>
        <v>0.91638439819765805</v>
      </c>
      <c r="I60" s="74" t="str">
        <f>IFERROR(VLOOKUP(I$4,'G&amp;A bed occ.'!$W$3:$AD$17,5,FALSE),"")</f>
        <v/>
      </c>
      <c r="J60" s="74" t="str">
        <f>IFERROR(VLOOKUP(J$4,'G&amp;A bed occ.'!$W$3:$AD$17,5,FALSE),"")</f>
        <v/>
      </c>
      <c r="K60" s="74" t="str">
        <f>IFERROR(VLOOKUP(K$4,'G&amp;A bed occ.'!$W$3:$AD$17,5,FALSE),"")</f>
        <v/>
      </c>
      <c r="L60" s="74" t="str">
        <f>IFERROR(VLOOKUP(L$4,'G&amp;A bed occ.'!$W$3:$AD$17,5,FALSE),"")</f>
        <v/>
      </c>
      <c r="M60" s="74" t="str">
        <f>IFERROR(VLOOKUP(M$4,'G&amp;A bed occ.'!$W$3:$AD$17,5,FALSE),"")</f>
        <v/>
      </c>
      <c r="N60" s="74" t="str">
        <f>IFERROR(VLOOKUP(N$4,'G&amp;A bed occ.'!$W$3:$AD$17,5,FALSE),"")</f>
        <v/>
      </c>
      <c r="O60" s="74" t="str">
        <f>IFERROR(VLOOKUP(O$4,'G&amp;A bed occ.'!$W$3:$AD$17,5,FALSE),"")</f>
        <v/>
      </c>
      <c r="P60" s="74" t="str">
        <f>IFERROR(VLOOKUP(P$4,'G&amp;A bed occ.'!$W$3:$AD$17,5,FALSE),"")</f>
        <v/>
      </c>
      <c r="Q60" s="91" t="str">
        <f>IFERROR(VLOOKUP(Q$4,'G&amp;A bed occ.'!$W$3:$AD$17,5,FALSE),"")</f>
        <v/>
      </c>
      <c r="Z60" s="112"/>
      <c r="AA60" s="112"/>
      <c r="AB60" s="112"/>
      <c r="AC60" s="112"/>
    </row>
    <row r="61" spans="2:29" x14ac:dyDescent="0.25">
      <c r="B61" s="114"/>
      <c r="C61" s="1" t="s">
        <v>270</v>
      </c>
      <c r="D61" s="74">
        <f>IFERROR(VLOOKUP(D$4,'G&amp;A bed occ.'!$W$3:$AD$17,6,FALSE),"")</f>
        <v>0.950944490383273</v>
      </c>
      <c r="E61" s="74">
        <f>IFERROR(VLOOKUP(E$4,'G&amp;A bed occ.'!$W$3:$AD$17,6,FALSE),"")</f>
        <v>0.94618190451523787</v>
      </c>
      <c r="F61" s="74">
        <f>IFERROR(VLOOKUP(F$4,'G&amp;A bed occ.'!$W$3:$AD$17,6,FALSE),"")</f>
        <v>0.92816397353866176</v>
      </c>
      <c r="G61" s="74">
        <f>IFERROR(VLOOKUP(G$4,'G&amp;A bed occ.'!$W$3:$AD$17,6,FALSE),"")</f>
        <v>0.90046586239479642</v>
      </c>
      <c r="H61" s="74">
        <f>IFERROR(VLOOKUP(H$4,'G&amp;A bed occ.'!$W$3:$AD$17,6,FALSE),"")</f>
        <v>0.94993946017765496</v>
      </c>
      <c r="I61" s="74" t="str">
        <f>IFERROR(VLOOKUP(I$4,'G&amp;A bed occ.'!$W$3:$AD$17,6,FALSE),"")</f>
        <v/>
      </c>
      <c r="J61" s="74" t="str">
        <f>IFERROR(VLOOKUP(J$4,'G&amp;A bed occ.'!$W$3:$AD$17,6,FALSE),"")</f>
        <v/>
      </c>
      <c r="K61" s="74" t="str">
        <f>IFERROR(VLOOKUP(K$4,'G&amp;A bed occ.'!$W$3:$AD$17,6,FALSE),"")</f>
        <v/>
      </c>
      <c r="L61" s="74" t="str">
        <f>IFERROR(VLOOKUP(L$4,'G&amp;A bed occ.'!$W$3:$AD$17,6,FALSE),"")</f>
        <v/>
      </c>
      <c r="M61" s="74" t="str">
        <f>IFERROR(VLOOKUP(M$4,'G&amp;A bed occ.'!$W$3:$AD$17,6,FALSE),"")</f>
        <v/>
      </c>
      <c r="N61" s="74" t="str">
        <f>IFERROR(VLOOKUP(N$4,'G&amp;A bed occ.'!$W$3:$AD$17,6,FALSE),"")</f>
        <v/>
      </c>
      <c r="O61" s="74" t="str">
        <f>IFERROR(VLOOKUP(O$4,'G&amp;A bed occ.'!$W$3:$AD$17,6,FALSE),"")</f>
        <v/>
      </c>
      <c r="P61" s="74" t="str">
        <f>IFERROR(VLOOKUP(P$4,'G&amp;A bed occ.'!$W$3:$AD$17,6,FALSE),"")</f>
        <v/>
      </c>
      <c r="Q61" s="91" t="str">
        <f>IFERROR(VLOOKUP(Q$4,'G&amp;A bed occ.'!$W$3:$AD$17,6,FALSE),"")</f>
        <v/>
      </c>
      <c r="Z61" s="112"/>
      <c r="AA61" s="112"/>
      <c r="AB61" s="112"/>
      <c r="AC61" s="112"/>
    </row>
    <row r="62" spans="2:29" x14ac:dyDescent="0.25">
      <c r="B62" s="114"/>
      <c r="C62" s="11" t="s">
        <v>278</v>
      </c>
      <c r="D62" s="74">
        <f>IFERROR(VLOOKUP(D$4,'G&amp;A bed occ.'!$W$3:$AD$17,7,FALSE),"")</f>
        <v>0.94090691266323234</v>
      </c>
      <c r="E62" s="74">
        <f>IFERROR(VLOOKUP(E$4,'G&amp;A bed occ.'!$W$3:$AD$17,7,FALSE),"")</f>
        <v>0.92713473058409912</v>
      </c>
      <c r="F62" s="74">
        <f>IFERROR(VLOOKUP(F$4,'G&amp;A bed occ.'!$W$3:$AD$17,7,FALSE),"")</f>
        <v>0.90065264684554025</v>
      </c>
      <c r="G62" s="74">
        <f>IFERROR(VLOOKUP(G$4,'G&amp;A bed occ.'!$W$3:$AD$17,7,FALSE),"")</f>
        <v>0.84724472019315988</v>
      </c>
      <c r="H62" s="74">
        <f>IFERROR(VLOOKUP(H$4,'G&amp;A bed occ.'!$W$3:$AD$17,7,FALSE),"")</f>
        <v>0.93158484644698503</v>
      </c>
      <c r="I62" s="74" t="str">
        <f>IFERROR(VLOOKUP(I$4,'G&amp;A bed occ.'!$W$3:$AD$17,7,FALSE),"")</f>
        <v/>
      </c>
      <c r="J62" s="74" t="str">
        <f>IFERROR(VLOOKUP(J$4,'G&amp;A bed occ.'!$W$3:$AD$17,7,FALSE),"")</f>
        <v/>
      </c>
      <c r="K62" s="74" t="str">
        <f>IFERROR(VLOOKUP(K$4,'G&amp;A bed occ.'!$W$3:$AD$17,7,FALSE),"")</f>
        <v/>
      </c>
      <c r="L62" s="74" t="str">
        <f>IFERROR(VLOOKUP(L$4,'G&amp;A bed occ.'!$W$3:$AD$17,7,FALSE),"")</f>
        <v/>
      </c>
      <c r="M62" s="74" t="str">
        <f>IFERROR(VLOOKUP(M$4,'G&amp;A bed occ.'!$W$3:$AD$17,7,FALSE),"")</f>
        <v/>
      </c>
      <c r="N62" s="74" t="str">
        <f>IFERROR(VLOOKUP(N$4,'G&amp;A bed occ.'!$W$3:$AD$17,7,FALSE),"")</f>
        <v/>
      </c>
      <c r="O62" s="74" t="str">
        <f>IFERROR(VLOOKUP(O$4,'G&amp;A bed occ.'!$W$3:$AD$17,7,FALSE),"")</f>
        <v/>
      </c>
      <c r="P62" s="74" t="str">
        <f>IFERROR(VLOOKUP(P$4,'G&amp;A bed occ.'!$W$3:$AD$17,7,FALSE),"")</f>
        <v/>
      </c>
      <c r="Q62" s="91" t="str">
        <f>IFERROR(VLOOKUP(Q$4,'G&amp;A bed occ.'!$W$3:$AD$17,7,FALSE),"")</f>
        <v/>
      </c>
      <c r="Z62" s="112"/>
      <c r="AA62" s="112"/>
      <c r="AB62" s="112"/>
      <c r="AC62" s="112"/>
    </row>
    <row r="63" spans="2:29" ht="7.5" customHeight="1" x14ac:dyDescent="0.25">
      <c r="B63" s="114"/>
      <c r="C63" s="8"/>
      <c r="Q63" s="92"/>
      <c r="Z63" s="112"/>
      <c r="AA63" s="112"/>
      <c r="AB63" s="112"/>
      <c r="AC63" s="112"/>
    </row>
    <row r="64" spans="2:29" ht="15" customHeight="1" x14ac:dyDescent="0.25">
      <c r="B64" s="114"/>
      <c r="C64" s="9" t="s">
        <v>9</v>
      </c>
      <c r="D64" s="69">
        <f>IF(ISBLANK(HLOOKUP(D4, 'G&amp;A bed occ.'!AH149:AU150,2,FALSE)),"",HLOOKUP(D4,'G&amp;A bed occ.'!AH149:AU150,2,FALSE))</f>
        <v>133</v>
      </c>
      <c r="E64" s="69">
        <f>IF(ISBLANK(HLOOKUP(E4, 'G&amp;A bed occ.'!AI149:AV150,2,FALSE)),"",HLOOKUP(E4,'G&amp;A bed occ.'!AI149:AV150,2,FALSE))</f>
        <v>131</v>
      </c>
      <c r="F64" s="69">
        <f>IF(ISBLANK(HLOOKUP(F4, 'G&amp;A bed occ.'!AJ149:AW150,2,FALSE))," ",HLOOKUP(F4,'G&amp;A bed occ.'!AJ149:AW150,2,FALSE))</f>
        <v>130</v>
      </c>
      <c r="G64" s="69">
        <f>IF(ISBLANK(HLOOKUP(G4, 'G&amp;A bed occ.'!AK149:AX150,2,FALSE)),"",HLOOKUP(G4,'G&amp;A bed occ.'!AK149:AX150,2,FALSE))</f>
        <v>125</v>
      </c>
      <c r="H64" s="69">
        <f>IF(ISBLANK(HLOOKUP(H4, 'G&amp;A bed occ.'!AL149:AY150,2,FALSE)),"",HLOOKUP(H4,'G&amp;A bed occ.'!AL149:AY150,2,FALSE))</f>
        <v>129</v>
      </c>
      <c r="I64" s="69"/>
      <c r="J64" s="69" t="str">
        <f>IF(ISBLANK(HLOOKUP(J4, 'G&amp;A bed occ.'!AN149:BA150,2,FALSE)),"",HLOOKUP(J4,'G&amp;A bed occ.'!AN149:BA150,2,FALSE))</f>
        <v/>
      </c>
      <c r="K64" s="69" t="str">
        <f>IF(ISBLANK(HLOOKUP(K4, 'G&amp;A bed occ.'!AO149:BB150,2,FALSE)),"",HLOOKUP(K4,'G&amp;A bed occ.'!AO149:BB150,2,FALSE))</f>
        <v/>
      </c>
      <c r="L64" s="69" t="str">
        <f>IF(ISBLANK(HLOOKUP(L4, 'G&amp;A bed occ.'!AP149:BC150,2,FALSE)),"",HLOOKUP(L4,'G&amp;A bed occ.'!AP149:BC150,2,FALSE))</f>
        <v/>
      </c>
      <c r="M64" s="69" t="str">
        <f>IF(ISBLANK(HLOOKUP(M4, 'G&amp;A bed occ.'!AQ149:BD150,2,FALSE)),"",HLOOKUP(M4,'G&amp;A bed occ.'!AQ149:BD150,2,FALSE))</f>
        <v/>
      </c>
      <c r="N64" s="69" t="str">
        <f>IF(ISBLANK(HLOOKUP(N4, 'G&amp;A bed occ.'!AR149:BE150,2,FALSE)),"",HLOOKUP(N4,'G&amp;A bed occ.'!AR149:BE150,2,FALSE))</f>
        <v/>
      </c>
      <c r="O64" s="69" t="str">
        <f>IF(ISBLANK(HLOOKUP(O4, 'G&amp;A bed occ.'!AS149:BF150,2,FALSE)),"",HLOOKUP(O4,'G&amp;A bed occ.'!AS149:BF150,2,FALSE))</f>
        <v/>
      </c>
      <c r="P64" s="69" t="str">
        <f>IF(ISBLANK(HLOOKUP(P4, 'G&amp;A bed occ.'!AT149:BG150,2,FALSE)),"",HLOOKUP(P4,'G&amp;A bed occ.'!AT149:BG150,2,FALSE))</f>
        <v/>
      </c>
      <c r="Q64" s="93"/>
      <c r="Z64" s="112"/>
      <c r="AA64" s="112"/>
      <c r="AB64" s="112"/>
      <c r="AC64" s="112"/>
    </row>
    <row r="65" spans="2:29" ht="7.5" customHeight="1" x14ac:dyDescent="0.25">
      <c r="B65" s="114"/>
      <c r="C65" s="9"/>
      <c r="Q65" s="92"/>
      <c r="Z65" s="112"/>
      <c r="AA65" s="112"/>
      <c r="AB65" s="112"/>
      <c r="AC65" s="112"/>
    </row>
    <row r="66" spans="2:29" x14ac:dyDescent="0.25">
      <c r="B66" s="114"/>
      <c r="C66" s="9" t="s">
        <v>10</v>
      </c>
      <c r="D66" s="69">
        <f>IF(ISBLANK(HLOOKUP(D4,'G&amp;A bed occ.'!AH290:AU291,2,FALSE)),"",HLOOKUP(D4,'G&amp;A bed occ.'!AH290:AU291,2,FALSE))</f>
        <v>98</v>
      </c>
      <c r="E66" s="69">
        <f>IF(ISBLANK(HLOOKUP(E4,'G&amp;A bed occ.'!AI290:AV291,2,FALSE)),"",HLOOKUP(E4,'G&amp;A bed occ.'!AI290:AV291,2,FALSE))</f>
        <v>92</v>
      </c>
      <c r="F66" s="69">
        <f>IF(ISBLANK(HLOOKUP(F4,'G&amp;A bed occ.'!AJ290:AW291,2,FALSE)),"",HLOOKUP(F4,'G&amp;A bed occ.'!AJ290:AW291,2,FALSE))</f>
        <v>84</v>
      </c>
      <c r="G66" s="69">
        <f>IF(ISBLANK(HLOOKUP(G4,'G&amp;A bed occ.'!AK290:AX291,2,FALSE)),"",HLOOKUP(G4,'G&amp;A bed occ.'!AK290:AX291,2,FALSE))</f>
        <v>68</v>
      </c>
      <c r="H66" s="69">
        <f>IF(ISBLANK(HLOOKUP(H4,'G&amp;A bed occ.'!AL290:AY291,2,FALSE)),"",HLOOKUP(H4,'G&amp;A bed occ.'!AL290:AY291,2,FALSE))</f>
        <v>89</v>
      </c>
      <c r="I66" s="69" t="str">
        <f>IF(ISBLANK(HLOOKUP(I4,'G&amp;A bed occ.'!AM290:AZ291,2,FALSE)),"",HLOOKUP(I4,'G&amp;A bed occ.'!AM290:AZ291,2,FALSE))</f>
        <v/>
      </c>
      <c r="J66" s="69" t="str">
        <f>IF(ISBLANK(HLOOKUP(J4,'G&amp;A bed occ.'!AN290:BA291,2,FALSE)),"",HLOOKUP(J4,'G&amp;A bed occ.'!AN290:BA291,2,FALSE))</f>
        <v/>
      </c>
      <c r="K66" s="69" t="str">
        <f>IF(ISBLANK(HLOOKUP(K4,'G&amp;A bed occ.'!AO290:BB291,2,FALSE)),"",HLOOKUP(K4,'G&amp;A bed occ.'!AO290:BB291,2,FALSE))</f>
        <v/>
      </c>
      <c r="L66" s="69" t="str">
        <f>IF(ISBLANK(HLOOKUP(L4,'G&amp;A bed occ.'!AP290:BC291,2,FALSE)),"",HLOOKUP(L4,'G&amp;A bed occ.'!AP290:BC291,2,FALSE))</f>
        <v/>
      </c>
      <c r="M66" s="69" t="str">
        <f>IF(ISBLANK(HLOOKUP(M4,'G&amp;A bed occ.'!AQ290:BD291,2,FALSE)),"",HLOOKUP(M4,'G&amp;A bed occ.'!AQ290:BD291,2,FALSE))</f>
        <v/>
      </c>
      <c r="N66" s="69" t="str">
        <f>IF(ISBLANK(HLOOKUP(N4,'G&amp;A bed occ.'!AR290:BE291,2,FALSE)),"",HLOOKUP(N4,'G&amp;A bed occ.'!AR290:BE291,2,FALSE))</f>
        <v/>
      </c>
      <c r="O66" s="69" t="str">
        <f>IF(ISBLANK(HLOOKUP(O4,'G&amp;A bed occ.'!AS290:BF291,2,FALSE)),"",HLOOKUP(O4,'G&amp;A bed occ.'!AS290:BF291,2,FALSE))</f>
        <v/>
      </c>
      <c r="P66" s="69" t="str">
        <f>IF(ISBLANK(HLOOKUP(P4,'G&amp;A bed occ.'!AT290:BG291,2,FALSE)),"",HLOOKUP(P4,'G&amp;A bed occ.'!AT290:BG291,2,FALSE))</f>
        <v/>
      </c>
      <c r="Q66" s="93"/>
      <c r="Z66" s="112"/>
      <c r="AA66" s="112"/>
      <c r="AB66" s="112"/>
      <c r="AC66" s="112"/>
    </row>
    <row r="67" spans="2:29" ht="7.5" customHeight="1" x14ac:dyDescent="0.25">
      <c r="B67" s="114"/>
      <c r="C67" s="9"/>
      <c r="Q67" s="92"/>
      <c r="Z67" s="112"/>
      <c r="AA67" s="112"/>
      <c r="AB67" s="112"/>
      <c r="AC67" s="112"/>
    </row>
    <row r="68" spans="2:29" ht="15" customHeight="1" x14ac:dyDescent="0.25">
      <c r="B68" s="114"/>
      <c r="C68" s="9" t="s">
        <v>8</v>
      </c>
      <c r="D68" s="69">
        <f>IF(ISBLANK(HLOOKUP(D4,'G&amp;A bed occ.'!AH431:AU432,2,FALSE)),"",HLOOKUP(D4,'G&amp;A bed occ.'!AH431:AU432,2,FALSE))</f>
        <v>14</v>
      </c>
      <c r="E68" s="69">
        <f>IF(ISBLANK(HLOOKUP(E4,'G&amp;A bed occ.'!AI431:AV432,2,FALSE)),"",HLOOKUP(E4,'G&amp;A bed occ.'!AI431:AV432,2,FALSE))</f>
        <v>9</v>
      </c>
      <c r="F68" s="69">
        <f>IF(ISBLANK(HLOOKUP(F4,'G&amp;A bed occ.'!AJ431:AW432,2,FALSE)),"",HLOOKUP(F4,'G&amp;A bed occ.'!AJ431:AW432,2,FALSE))</f>
        <v>7</v>
      </c>
      <c r="G68" s="69">
        <f>IF(ISBLANK(HLOOKUP(G4,'G&amp;A bed occ.'!AK431:AX432,2,FALSE)),"",HLOOKUP(G4,'G&amp;A bed occ.'!AK431:AX432,2,FALSE))</f>
        <v>6</v>
      </c>
      <c r="H68" s="69">
        <f>IF(ISBLANK(HLOOKUP(H4,'G&amp;A bed occ.'!AL431:AY432,2,FALSE)),"",HLOOKUP(H4,'G&amp;A bed occ.'!AL431:AY432,2,FALSE))</f>
        <v>15</v>
      </c>
      <c r="I68" s="69" t="str">
        <f>IF(ISBLANK(HLOOKUP(I4,'G&amp;A bed occ.'!AM431:AZ432,2,FALSE)),"",HLOOKUP(I4,'G&amp;A bed occ.'!AM431:AZ432,2,FALSE))</f>
        <v/>
      </c>
      <c r="J68" s="69" t="str">
        <f>IF(ISBLANK(HLOOKUP(J4,'G&amp;A bed occ.'!AN431:BA432,2,FALSE)),"",HLOOKUP(J4,'G&amp;A bed occ.'!AN431:BA432,2,FALSE))</f>
        <v/>
      </c>
      <c r="K68" s="69" t="str">
        <f>IF(ISBLANK(HLOOKUP(K4,'G&amp;A bed occ.'!AO431:BB432,2,FALSE)),"",HLOOKUP(K4,'G&amp;A bed occ.'!AO431:BB432,2,FALSE))</f>
        <v/>
      </c>
      <c r="L68" s="69" t="str">
        <f>IF(ISBLANK(HLOOKUP(L4,'G&amp;A bed occ.'!AP431:BC432,2,FALSE)),"",HLOOKUP(L4,'G&amp;A bed occ.'!AP431:BC432,2,FALSE))</f>
        <v/>
      </c>
      <c r="M68" s="69" t="str">
        <f>IF(ISBLANK(HLOOKUP(M4,'G&amp;A bed occ.'!AQ431:BD432,2,FALSE)),"",HLOOKUP(M4,'G&amp;A bed occ.'!AQ431:BD432,2,FALSE))</f>
        <v/>
      </c>
      <c r="N68" s="69" t="str">
        <f>IF(ISBLANK(HLOOKUP(N4,'G&amp;A bed occ.'!AR431:BE432,2,FALSE)),"",HLOOKUP(N4,'G&amp;A bed occ.'!AR431:BE432,2,FALSE))</f>
        <v/>
      </c>
      <c r="O68" s="69" t="str">
        <f>IF(ISBLANK(HLOOKUP(O4,'G&amp;A bed occ.'!AS431:BF432,2,FALSE)),"",HLOOKUP(O4,'G&amp;A bed occ.'!AS431:BF432,2,FALSE))</f>
        <v/>
      </c>
      <c r="P68" s="69" t="str">
        <f>IF(ISBLANK(HLOOKUP(P4,'G&amp;A bed occ.'!AT431:BG432,2,FALSE)),"",HLOOKUP(P4,'G&amp;A bed occ.'!AT431:BG432,2,FALSE))</f>
        <v/>
      </c>
      <c r="Q68" s="93"/>
      <c r="Z68" s="112"/>
      <c r="AA68" s="112"/>
      <c r="AB68" s="112"/>
      <c r="AC68" s="112"/>
    </row>
    <row r="69" spans="2:29" ht="30" customHeight="1" x14ac:dyDescent="0.25">
      <c r="C69" s="1"/>
    </row>
    <row r="70" spans="2:29" ht="15" customHeight="1" x14ac:dyDescent="0.25">
      <c r="B70" s="114" t="s">
        <v>11</v>
      </c>
      <c r="C70" s="40" t="s">
        <v>12</v>
      </c>
      <c r="Z70" s="115" t="s">
        <v>33</v>
      </c>
      <c r="AA70" s="115"/>
      <c r="AB70" s="115"/>
      <c r="AC70" s="115"/>
    </row>
    <row r="71" spans="2:29" x14ac:dyDescent="0.25">
      <c r="B71" s="114"/>
      <c r="C71" s="1" t="s">
        <v>0</v>
      </c>
      <c r="D71" s="14">
        <v>42999</v>
      </c>
      <c r="E71" s="14">
        <v>43570.142857142855</v>
      </c>
      <c r="F71" s="14">
        <v>40411</v>
      </c>
      <c r="G71" s="14">
        <v>43553.142857142855</v>
      </c>
      <c r="H71" s="14">
        <v>46221</v>
      </c>
      <c r="I71" s="14">
        <v>45788</v>
      </c>
      <c r="J71" s="14">
        <v>45820.142857142855</v>
      </c>
      <c r="K71" s="14">
        <v>45732.142857142855</v>
      </c>
      <c r="L71" s="14">
        <v>45634.428571428572</v>
      </c>
      <c r="M71" s="14">
        <v>45175.142857142855</v>
      </c>
      <c r="N71" s="14">
        <v>45500.714285714283</v>
      </c>
      <c r="O71" s="14">
        <v>45469.285714285717</v>
      </c>
      <c r="P71" s="14">
        <v>46331</v>
      </c>
      <c r="Z71" s="115"/>
      <c r="AA71" s="115"/>
      <c r="AB71" s="115"/>
      <c r="AC71" s="115"/>
    </row>
    <row r="72" spans="2:29" ht="7.5" customHeight="1" x14ac:dyDescent="0.25">
      <c r="B72" s="114"/>
      <c r="C72" s="40"/>
      <c r="Z72" s="115"/>
      <c r="AA72" s="115"/>
      <c r="AB72" s="115"/>
      <c r="AC72" s="115"/>
    </row>
    <row r="73" spans="2:29" x14ac:dyDescent="0.25">
      <c r="B73" s="114"/>
      <c r="C73" s="16" t="s">
        <v>253</v>
      </c>
      <c r="D73" s="64">
        <f>IFERROR(VLOOKUP(D$4,'Long stay'!$I$4:$P$18,2,FALSE),"")</f>
        <v>40658.428571428572</v>
      </c>
      <c r="E73" s="107">
        <f>IFERROR(VLOOKUP(E$4,'Long stay'!$I$4:$P$18,2,FALSE),"")</f>
        <v>40129.428571428572</v>
      </c>
      <c r="F73" s="64">
        <f>IFERROR(VLOOKUP(F$4,'Long stay'!$I$4:$P$18,2,FALSE),"")</f>
        <v>37680.571428571428</v>
      </c>
      <c r="G73" s="64">
        <f>IFERROR(VLOOKUP(G$4,'Long stay'!$I$4:$P$18,2,FALSE),"")</f>
        <v>38508.714285714283</v>
      </c>
      <c r="H73" s="64">
        <f>IFERROR(VLOOKUP(H$4,'Long stay'!$I$4:$P$18,2,FALSE),"")</f>
        <v>41687</v>
      </c>
      <c r="I73" s="64" t="str">
        <f>IFERROR(VLOOKUP(I$4,'Long stay'!$I$4:$P$18,2,FALSE),"")</f>
        <v/>
      </c>
      <c r="J73" s="64" t="str">
        <f>IFERROR(VLOOKUP(J$4,'Long stay'!$I$4:$P$18,2,FALSE),"")</f>
        <v/>
      </c>
      <c r="K73" s="64" t="str">
        <f>IFERROR(VLOOKUP(K$4,'Long stay'!$I$4:$P$18,2,FALSE),"")</f>
        <v/>
      </c>
      <c r="L73" s="64" t="str">
        <f>IFERROR(VLOOKUP(L$4,'Long stay'!$I$4:$P$18,2,FALSE),"")</f>
        <v/>
      </c>
      <c r="M73" s="64" t="str">
        <f>IFERROR(VLOOKUP(M$4,'Long stay'!$I$4:$P$18,2,FALSE),"")</f>
        <v/>
      </c>
      <c r="N73" s="64" t="str">
        <f>IFERROR(VLOOKUP(N$4,'Long stay'!$I$4:$P$18,2,FALSE),"")</f>
        <v/>
      </c>
      <c r="O73" s="64" t="str">
        <f>IFERROR(VLOOKUP(O$4,'Long stay'!$I$4:$P$18,2,FALSE),"")</f>
        <v/>
      </c>
      <c r="P73" s="64" t="str">
        <f>IFERROR(VLOOKUP(P$4,'Long stay'!$I$4:$P$18,2,FALSE),"")</f>
        <v/>
      </c>
      <c r="Q73" s="87" t="str">
        <f>IFERROR(VLOOKUP(Q$4,'Long stay'!$I$4:$P$18,2,FALSE),"")</f>
        <v/>
      </c>
      <c r="Z73" s="115"/>
      <c r="AA73" s="115"/>
      <c r="AB73" s="115"/>
      <c r="AC73" s="115"/>
    </row>
    <row r="74" spans="2:29" x14ac:dyDescent="0.25">
      <c r="B74" s="114"/>
      <c r="C74" s="1" t="s">
        <v>2</v>
      </c>
      <c r="D74" s="65">
        <f>IFERROR(VLOOKUP(D$4,'Long stay'!$I$4:$P$18,3,FALSE),"")</f>
        <v>5844.4285714285716</v>
      </c>
      <c r="E74" s="65">
        <f>IFERROR(VLOOKUP(E$4,'Long stay'!$I$4:$P$18,3,FALSE),"")</f>
        <v>5576.7142857142853</v>
      </c>
      <c r="F74" s="65">
        <f>IFERROR(VLOOKUP(F$4,'Long stay'!$I$4:$P$18,3,FALSE),"")</f>
        <v>5288.7142857142853</v>
      </c>
      <c r="G74" s="65">
        <f>IFERROR(VLOOKUP(G$4,'Long stay'!$I$4:$P$18,3,FALSE),"")</f>
        <v>5501.2857142857147</v>
      </c>
      <c r="H74" s="65">
        <f>IFERROR(VLOOKUP(H$4,'Long stay'!$I$4:$P$18,3,FALSE),"")</f>
        <v>6074.2857142857147</v>
      </c>
      <c r="I74" s="65" t="str">
        <f>IFERROR(VLOOKUP(I$4,'Long stay'!$I$4:$P$18,3,FALSE),"")</f>
        <v/>
      </c>
      <c r="J74" s="65" t="str">
        <f>IFERROR(VLOOKUP(J$4,'Long stay'!$I$4:$P$18,3,FALSE),"")</f>
        <v/>
      </c>
      <c r="K74" s="65" t="str">
        <f>IFERROR(VLOOKUP(K$4,'Long stay'!$I$4:$P$18,3,FALSE),"")</f>
        <v/>
      </c>
      <c r="L74" s="65" t="str">
        <f>IFERROR(VLOOKUP(L$4,'Long stay'!$I$4:$P$18,3,FALSE),"")</f>
        <v/>
      </c>
      <c r="M74" s="65" t="str">
        <f>IFERROR(VLOOKUP(M$4,'Long stay'!$I$4:$P$18,3,FALSE),"")</f>
        <v/>
      </c>
      <c r="N74" s="65" t="str">
        <f>IFERROR(VLOOKUP(N$4,'Long stay'!$I$4:$P$18,3,FALSE),"")</f>
        <v/>
      </c>
      <c r="O74" s="65" t="str">
        <f>IFERROR(VLOOKUP(O$4,'Long stay'!$I$4:$P$18,3,FALSE),"")</f>
        <v/>
      </c>
      <c r="P74" s="65" t="str">
        <f>IFERROR(VLOOKUP(P$4,'Long stay'!$I$4:$P$18,3,FALSE),"")</f>
        <v/>
      </c>
      <c r="Q74" s="88" t="str">
        <f>IFERROR(VLOOKUP(Q$4,'Long stay'!$I$4:$P$18,3,FALSE),"")</f>
        <v/>
      </c>
      <c r="Z74" s="115"/>
      <c r="AA74" s="115"/>
      <c r="AB74" s="115"/>
      <c r="AC74" s="115"/>
    </row>
    <row r="75" spans="2:29" ht="15" customHeight="1" x14ac:dyDescent="0.25">
      <c r="B75" s="114"/>
      <c r="C75" s="1" t="s">
        <v>29</v>
      </c>
      <c r="D75" s="65">
        <f>IFERROR(VLOOKUP(D$4,'Long stay'!$I$4:$P$18,4,FALSE),"")</f>
        <v>11579.428571428571</v>
      </c>
      <c r="E75" s="65">
        <f>IFERROR(VLOOKUP(E$4,'Long stay'!$I$4:$P$18,4,FALSE),"")</f>
        <v>11497.428571428571</v>
      </c>
      <c r="F75" s="65">
        <f>IFERROR(VLOOKUP(F$4,'Long stay'!$I$4:$P$18,4,FALSE),"")</f>
        <v>10701</v>
      </c>
      <c r="G75" s="65">
        <f>IFERROR(VLOOKUP(G$4,'Long stay'!$I$4:$P$18,4,FALSE),"")</f>
        <v>11115.857142857143</v>
      </c>
      <c r="H75" s="65">
        <f>IFERROR(VLOOKUP(H$4,'Long stay'!$I$4:$P$18,4,FALSE),"")</f>
        <v>11851.428571428571</v>
      </c>
      <c r="I75" s="65" t="str">
        <f>IFERROR(VLOOKUP(I$4,'Long stay'!$I$4:$P$18,4,FALSE),"")</f>
        <v/>
      </c>
      <c r="J75" s="65" t="str">
        <f>IFERROR(VLOOKUP(J$4,'Long stay'!$I$4:$P$18,4,FALSE),"")</f>
        <v/>
      </c>
      <c r="K75" s="65" t="str">
        <f>IFERROR(VLOOKUP(K$4,'Long stay'!$I$4:$P$18,4,FALSE),"")</f>
        <v/>
      </c>
      <c r="L75" s="65" t="str">
        <f>IFERROR(VLOOKUP(L$4,'Long stay'!$I$4:$P$18,4,FALSE),"")</f>
        <v/>
      </c>
      <c r="M75" s="65" t="str">
        <f>IFERROR(VLOOKUP(M$4,'Long stay'!$I$4:$P$18,4,FALSE),"")</f>
        <v/>
      </c>
      <c r="N75" s="65" t="str">
        <f>IFERROR(VLOOKUP(N$4,'Long stay'!$I$4:$P$18,4,FALSE),"")</f>
        <v/>
      </c>
      <c r="O75" s="65" t="str">
        <f>IFERROR(VLOOKUP(O$4,'Long stay'!$I$4:$P$18,4,FALSE),"")</f>
        <v/>
      </c>
      <c r="P75" s="65" t="str">
        <f>IFERROR(VLOOKUP(P$4,'Long stay'!$I$4:$P$18,4,FALSE),"")</f>
        <v/>
      </c>
      <c r="Q75" s="88" t="str">
        <f>IFERROR(VLOOKUP(Q$4,'Long stay'!$I$4:$P$18,4,FALSE),"")</f>
        <v/>
      </c>
      <c r="Z75" s="112" t="s">
        <v>261</v>
      </c>
      <c r="AA75" s="112"/>
      <c r="AB75" s="112"/>
      <c r="AC75" s="112"/>
    </row>
    <row r="76" spans="2:29" x14ac:dyDescent="0.25">
      <c r="B76" s="114"/>
      <c r="C76" s="1" t="s">
        <v>3</v>
      </c>
      <c r="D76" s="65">
        <f>IFERROR(VLOOKUP(D$4,'Long stay'!$I$4:$P$18,5,FALSE),"")</f>
        <v>13072.142857142857</v>
      </c>
      <c r="E76" s="65">
        <f>IFERROR(VLOOKUP(E$4,'Long stay'!$I$4:$P$18,5,FALSE),"")</f>
        <v>13060.857142857143</v>
      </c>
      <c r="F76" s="65">
        <f>IFERROR(VLOOKUP(F$4,'Long stay'!$I$4:$P$18,5,FALSE),"")</f>
        <v>12412.285714285714</v>
      </c>
      <c r="G76" s="65">
        <f>IFERROR(VLOOKUP(G$4,'Long stay'!$I$4:$P$18,5,FALSE),"")</f>
        <v>12473</v>
      </c>
      <c r="H76" s="65">
        <f>IFERROR(VLOOKUP(H$4,'Long stay'!$I$4:$P$18,5,FALSE),"")</f>
        <v>13469.571428571429</v>
      </c>
      <c r="I76" s="65" t="str">
        <f>IFERROR(VLOOKUP(I$4,'Long stay'!$I$4:$P$18,5,FALSE),"")</f>
        <v/>
      </c>
      <c r="J76" s="65" t="str">
        <f>IFERROR(VLOOKUP(J$4,'Long stay'!$I$4:$P$18,5,FALSE),"")</f>
        <v/>
      </c>
      <c r="K76" s="65" t="str">
        <f>IFERROR(VLOOKUP(K$4,'Long stay'!$I$4:$P$18,5,FALSE),"")</f>
        <v/>
      </c>
      <c r="L76" s="65" t="str">
        <f>IFERROR(VLOOKUP(L$4,'Long stay'!$I$4:$P$18,5,FALSE),"")</f>
        <v/>
      </c>
      <c r="M76" s="65" t="str">
        <f>IFERROR(VLOOKUP(M$4,'Long stay'!$I$4:$P$18,5,FALSE),"")</f>
        <v/>
      </c>
      <c r="N76" s="65" t="str">
        <f>IFERROR(VLOOKUP(N$4,'Long stay'!$I$4:$P$18,5,FALSE),"")</f>
        <v/>
      </c>
      <c r="O76" s="65" t="str">
        <f>IFERROR(VLOOKUP(O$4,'Long stay'!$I$4:$P$18,5,FALSE),"")</f>
        <v/>
      </c>
      <c r="P76" s="65" t="str">
        <f>IFERROR(VLOOKUP(P$4,'Long stay'!$I$4:$P$18,5,FALSE),"")</f>
        <v/>
      </c>
      <c r="Q76" s="88" t="str">
        <f>IFERROR(VLOOKUP(Q$4,'Long stay'!$I$4:$P$18,5,FALSE),"")</f>
        <v/>
      </c>
      <c r="Z76" s="112"/>
      <c r="AA76" s="112"/>
      <c r="AB76" s="112"/>
      <c r="AC76" s="112"/>
    </row>
    <row r="77" spans="2:29" ht="15" customHeight="1" x14ac:dyDescent="0.25">
      <c r="B77" s="114"/>
      <c r="C77" s="1" t="s">
        <v>270</v>
      </c>
      <c r="D77" s="65">
        <f>IFERROR(VLOOKUP(D$4,'Long stay'!$I$4:$P$18,6,FALSE),"")</f>
        <v>6263.1428571428569</v>
      </c>
      <c r="E77" s="65">
        <f>IFERROR(VLOOKUP(E$4,'Long stay'!$I$4:$P$18,6,FALSE),"")</f>
        <v>6126.2857142857147</v>
      </c>
      <c r="F77" s="65">
        <f>IFERROR(VLOOKUP(F$4,'Long stay'!$I$4:$P$18,6,FALSE),"")</f>
        <v>5749.7142857142853</v>
      </c>
      <c r="G77" s="65">
        <f>IFERROR(VLOOKUP(G$4,'Long stay'!$I$4:$P$18,6,FALSE),"")</f>
        <v>5919.4285714285716</v>
      </c>
      <c r="H77" s="65">
        <f>IFERROR(VLOOKUP(H$4,'Long stay'!$I$4:$P$18,6,FALSE),"")</f>
        <v>6377.5714285714284</v>
      </c>
      <c r="I77" s="65" t="str">
        <f>IFERROR(VLOOKUP(I$4,'Long stay'!$I$4:$P$18,6,FALSE),"")</f>
        <v/>
      </c>
      <c r="J77" s="65" t="str">
        <f>IFERROR(VLOOKUP(J$4,'Long stay'!$I$4:$P$18,6,FALSE),"")</f>
        <v/>
      </c>
      <c r="K77" s="65" t="str">
        <f>IFERROR(VLOOKUP(K$4,'Long stay'!$I$4:$P$18,6,FALSE),"")</f>
        <v/>
      </c>
      <c r="L77" s="65" t="str">
        <f>IFERROR(VLOOKUP(L$4,'Long stay'!$I$4:$P$18,6,FALSE),"")</f>
        <v/>
      </c>
      <c r="M77" s="65" t="str">
        <f>IFERROR(VLOOKUP(M$4,'Long stay'!$I$4:$P$18,6,FALSE),"")</f>
        <v/>
      </c>
      <c r="N77" s="65" t="str">
        <f>IFERROR(VLOOKUP(N$4,'Long stay'!$I$4:$P$18,6,FALSE),"")</f>
        <v/>
      </c>
      <c r="O77" s="65" t="str">
        <f>IFERROR(VLOOKUP(O$4,'Long stay'!$I$4:$P$18,6,FALSE),"")</f>
        <v/>
      </c>
      <c r="P77" s="65" t="str">
        <f>IFERROR(VLOOKUP(P$4,'Long stay'!$I$4:$P$18,6,FALSE),"")</f>
        <v/>
      </c>
      <c r="Q77" s="88" t="str">
        <f>IFERROR(VLOOKUP(Q$4,'Long stay'!$I$4:$P$18,6,FALSE),"")</f>
        <v/>
      </c>
      <c r="Z77" s="112"/>
      <c r="AA77" s="112"/>
      <c r="AB77" s="112"/>
      <c r="AC77" s="112"/>
    </row>
    <row r="78" spans="2:29" ht="15" customHeight="1" x14ac:dyDescent="0.25">
      <c r="B78" s="114"/>
      <c r="C78" s="11" t="s">
        <v>278</v>
      </c>
      <c r="D78" s="65">
        <f>IFERROR(VLOOKUP(D$4,'Long stay'!$I$4:$P$18,7,FALSE),"")</f>
        <v>3899.2857142857142</v>
      </c>
      <c r="E78" s="65">
        <f>IFERROR(VLOOKUP(E$4,'Long stay'!$I$4:$P$18,7,FALSE),"")</f>
        <v>3868.1428571428573</v>
      </c>
      <c r="F78" s="65">
        <f>IFERROR(VLOOKUP(F$4,'Long stay'!$I$4:$P$18,7,FALSE),"")</f>
        <v>3528.8571428571427</v>
      </c>
      <c r="G78" s="65">
        <f>IFERROR(VLOOKUP(G$4,'Long stay'!$I$4:$P$18,7,FALSE),"")</f>
        <v>3499.1428571428573</v>
      </c>
      <c r="H78" s="65">
        <f>IFERROR(VLOOKUP(H$4,'Long stay'!$I$4:$P$18,7,FALSE),"")</f>
        <v>3914.1428571428573</v>
      </c>
      <c r="I78" s="65" t="str">
        <f>IFERROR(VLOOKUP(I$4,'Long stay'!$I$4:$P$18,7,FALSE),"")</f>
        <v/>
      </c>
      <c r="J78" s="65" t="str">
        <f>IFERROR(VLOOKUP(J$4,'Long stay'!$I$4:$P$18,7,FALSE),"")</f>
        <v/>
      </c>
      <c r="K78" s="65" t="str">
        <f>IFERROR(VLOOKUP(K$4,'Long stay'!$I$4:$P$18,7,FALSE),"")</f>
        <v/>
      </c>
      <c r="L78" s="65" t="str">
        <f>IFERROR(VLOOKUP(L$4,'Long stay'!$I$4:$P$18,7,FALSE),"")</f>
        <v/>
      </c>
      <c r="M78" s="65" t="str">
        <f>IFERROR(VLOOKUP(M$4,'Long stay'!$I$4:$P$18,7,FALSE),"")</f>
        <v/>
      </c>
      <c r="N78" s="65" t="str">
        <f>IFERROR(VLOOKUP(N$4,'Long stay'!$I$4:$P$18,7,FALSE),"")</f>
        <v/>
      </c>
      <c r="O78" s="65" t="str">
        <f>IFERROR(VLOOKUP(O$4,'Long stay'!$I$4:$P$18,7,FALSE),"")</f>
        <v/>
      </c>
      <c r="P78" s="65" t="str">
        <f>IFERROR(VLOOKUP(P$4,'Long stay'!$I$4:$P$18,7,FALSE),"")</f>
        <v/>
      </c>
      <c r="Q78" s="88" t="str">
        <f>IFERROR(VLOOKUP(Q$4,'Long stay'!$I$4:$P$18,7,FALSE),"")</f>
        <v/>
      </c>
      <c r="Z78" s="112"/>
      <c r="AA78" s="112"/>
      <c r="AB78" s="112"/>
      <c r="AC78" s="112"/>
    </row>
    <row r="79" spans="2:29" ht="7.5" customHeight="1" x14ac:dyDescent="0.25">
      <c r="B79" s="114"/>
      <c r="Z79" s="112"/>
      <c r="AA79" s="112"/>
      <c r="AB79" s="112"/>
      <c r="AC79" s="112"/>
    </row>
    <row r="80" spans="2:29" ht="17.25" customHeight="1" x14ac:dyDescent="0.25">
      <c r="B80" s="114"/>
      <c r="C80" s="40" t="s">
        <v>327</v>
      </c>
      <c r="Z80" s="112"/>
      <c r="AA80" s="112"/>
      <c r="AB80" s="112"/>
      <c r="AC80" s="112"/>
    </row>
    <row r="81" spans="2:29" ht="14.25" customHeight="1" x14ac:dyDescent="0.25">
      <c r="B81" s="114"/>
      <c r="C81" s="1" t="s">
        <v>0</v>
      </c>
      <c r="D81" s="95" t="s">
        <v>328</v>
      </c>
      <c r="E81" s="95" t="s">
        <v>328</v>
      </c>
      <c r="F81" s="95" t="s">
        <v>328</v>
      </c>
      <c r="G81" s="95" t="s">
        <v>328</v>
      </c>
      <c r="H81" s="95" t="s">
        <v>328</v>
      </c>
      <c r="I81" s="95" t="s">
        <v>328</v>
      </c>
      <c r="J81" s="95" t="s">
        <v>328</v>
      </c>
      <c r="K81" s="95" t="s">
        <v>328</v>
      </c>
      <c r="L81" s="95" t="s">
        <v>328</v>
      </c>
      <c r="M81" s="95" t="s">
        <v>328</v>
      </c>
      <c r="N81" s="95" t="s">
        <v>328</v>
      </c>
      <c r="O81" s="95" t="s">
        <v>328</v>
      </c>
      <c r="P81" s="95" t="s">
        <v>328</v>
      </c>
      <c r="Q81" s="94"/>
      <c r="Z81" s="112"/>
      <c r="AA81" s="112"/>
      <c r="AB81" s="112"/>
      <c r="AC81" s="112"/>
    </row>
    <row r="82" spans="2:29" x14ac:dyDescent="0.25">
      <c r="B82" s="114"/>
      <c r="C82" s="40"/>
      <c r="Q82" s="92"/>
      <c r="Z82" s="112"/>
      <c r="AA82" s="112"/>
      <c r="AB82" s="112"/>
      <c r="AC82" s="112"/>
    </row>
    <row r="83" spans="2:29" x14ac:dyDescent="0.25">
      <c r="B83" s="114"/>
      <c r="C83" s="16" t="s">
        <v>253</v>
      </c>
      <c r="D83" s="64">
        <f>'Long stay'!AR5</f>
        <v>23080.857142857141</v>
      </c>
      <c r="E83" s="107">
        <f>'Long stay'!AR6</f>
        <v>22984.142857142859</v>
      </c>
      <c r="F83" s="109">
        <f>'Long stay'!AR7</f>
        <v>21743.714285714286</v>
      </c>
      <c r="G83" s="109">
        <f>'Long stay'!AR8</f>
        <v>21803.714285714286</v>
      </c>
      <c r="H83" s="110">
        <f>'Long stay'!AR9</f>
        <v>24544.714285714286</v>
      </c>
      <c r="I83" s="64"/>
      <c r="J83" s="64"/>
      <c r="K83" s="64"/>
      <c r="L83" s="64"/>
      <c r="M83" s="64" t="str">
        <f>IFERROR(VLOOKUP(M$4,'Long stay'!$Z$4:$AG$18,2,FALSE),"")</f>
        <v/>
      </c>
      <c r="N83" s="64" t="str">
        <f>IFERROR(VLOOKUP(N$4,'Long stay'!$Z$4:$AG$18,2,FALSE),"")</f>
        <v/>
      </c>
      <c r="O83" s="64" t="str">
        <f>IFERROR(VLOOKUP(O$4,'Long stay'!$Z$4:$AG$18,2,FALSE),"")</f>
        <v/>
      </c>
      <c r="P83" s="64" t="str">
        <f>IFERROR(VLOOKUP(P$4,'Long stay'!$Z$4:$AG$18,2,FALSE),"")</f>
        <v/>
      </c>
      <c r="Q83" s="87" t="str">
        <f>IFERROR(VLOOKUP(Q$4,'Long stay'!$Z$4:$AG$18,2,FALSE),"")</f>
        <v/>
      </c>
      <c r="Z83" s="112"/>
      <c r="AA83" s="112"/>
      <c r="AB83" s="112"/>
      <c r="AC83" s="112"/>
    </row>
    <row r="84" spans="2:29" x14ac:dyDescent="0.25">
      <c r="B84" s="114"/>
      <c r="C84" s="1" t="s">
        <v>2</v>
      </c>
      <c r="D84" s="65">
        <f>'Long stay'!AS5</f>
        <v>3377.4285714285716</v>
      </c>
      <c r="E84" s="65">
        <f>'Long stay'!AS6</f>
        <v>3304.1428571428573</v>
      </c>
      <c r="F84" s="65">
        <f>IFERROR(VLOOKUP(F$4,'Long stay'!$Z$4:$AG$18,3,FALSE),"")</f>
        <v>2075.1428571428573</v>
      </c>
      <c r="G84" s="65">
        <f>IFERROR(VLOOKUP(G$4,'Long stay'!$Z$4:$AG$18,3,FALSE),"")</f>
        <v>2102.4285714285716</v>
      </c>
      <c r="H84" s="65">
        <f>IFERROR(VLOOKUP(H$4,'Long stay'!$Z$4:$AG$18,3,FALSE),"")</f>
        <v>2433</v>
      </c>
      <c r="I84" s="65" t="str">
        <f>IFERROR(VLOOKUP(I$4,'Long stay'!$Z$4:$AG$18,3,FALSE),"")</f>
        <v/>
      </c>
      <c r="J84" s="65" t="str">
        <f>IFERROR(VLOOKUP(J$4,'Long stay'!$Z$4:$AG$18,3,FALSE),"")</f>
        <v/>
      </c>
      <c r="K84" s="65" t="str">
        <f>IFERROR(VLOOKUP(K$4,'Long stay'!$Z$4:$AG$18,3,FALSE),"")</f>
        <v/>
      </c>
      <c r="L84" s="65" t="str">
        <f>IFERROR(VLOOKUP(L$4,'Long stay'!$Z$4:$AG$18,3,FALSE),"")</f>
        <v/>
      </c>
      <c r="M84" s="65" t="str">
        <f>IFERROR(VLOOKUP(M$4,'Long stay'!$Z$4:$AG$18,3,FALSE),"")</f>
        <v/>
      </c>
      <c r="N84" s="65" t="str">
        <f>IFERROR(VLOOKUP(N$4,'Long stay'!$Z$4:$AG$18,3,FALSE),"")</f>
        <v/>
      </c>
      <c r="O84" s="65" t="str">
        <f>IFERROR(VLOOKUP(O$4,'Long stay'!$Z$4:$AG$18,3,FALSE),"")</f>
        <v/>
      </c>
      <c r="P84" s="65" t="str">
        <f>IFERROR(VLOOKUP(P$4,'Long stay'!$Z$4:$AG$18,3,FALSE),"")</f>
        <v/>
      </c>
      <c r="Q84" s="88" t="str">
        <f>IFERROR(VLOOKUP(Q$4,'Long stay'!$Z$4:$AG$18,3,FALSE),"")</f>
        <v/>
      </c>
      <c r="Z84" s="112"/>
      <c r="AA84" s="112"/>
      <c r="AB84" s="112"/>
      <c r="AC84" s="112"/>
    </row>
    <row r="85" spans="2:29" x14ac:dyDescent="0.25">
      <c r="B85" s="114"/>
      <c r="C85" s="1" t="s">
        <v>29</v>
      </c>
      <c r="D85" s="65">
        <f>'Long stay'!AT5</f>
        <v>6382.8571428571431</v>
      </c>
      <c r="E85" s="65">
        <f>'Long stay'!AT6</f>
        <v>6430.5714285714284</v>
      </c>
      <c r="F85" s="65">
        <f>IFERROR(VLOOKUP(F$4,'Long stay'!$Z$4:$AG$18,4,FALSE),"")</f>
        <v>3757.7142857142858</v>
      </c>
      <c r="G85" s="65">
        <f>IFERROR(VLOOKUP(G$4,'Long stay'!$Z$4:$AG$18,4,FALSE),"")</f>
        <v>3797.2857142857142</v>
      </c>
      <c r="H85" s="65">
        <f>IFERROR(VLOOKUP(H$4,'Long stay'!$Z$4:$AG$18,4,FALSE),"")</f>
        <v>4061.2857142857142</v>
      </c>
      <c r="I85" s="65" t="str">
        <f>IFERROR(VLOOKUP(I$4,'Long stay'!$Z$4:$AG$18,4,FALSE),"")</f>
        <v/>
      </c>
      <c r="J85" s="65" t="str">
        <f>IFERROR(VLOOKUP(J$4,'Long stay'!$Z$4:$AG$18,4,FALSE),"")</f>
        <v/>
      </c>
      <c r="K85" s="65" t="str">
        <f>IFERROR(VLOOKUP(K$4,'Long stay'!$Z$4:$AG$18,4,FALSE),"")</f>
        <v/>
      </c>
      <c r="L85" s="65" t="str">
        <f>IFERROR(VLOOKUP(L$4,'Long stay'!$Z$4:$AG$18,4,FALSE),"")</f>
        <v/>
      </c>
      <c r="M85" s="65" t="str">
        <f>IFERROR(VLOOKUP(M$4,'Long stay'!$Z$4:$AG$18,4,FALSE),"")</f>
        <v/>
      </c>
      <c r="N85" s="65" t="str">
        <f>IFERROR(VLOOKUP(N$4,'Long stay'!$Z$4:$AG$18,4,FALSE),"")</f>
        <v/>
      </c>
      <c r="O85" s="65" t="str">
        <f>IFERROR(VLOOKUP(O$4,'Long stay'!$Z$4:$AG$18,4,FALSE),"")</f>
        <v/>
      </c>
      <c r="P85" s="65" t="str">
        <f>IFERROR(VLOOKUP(P$4,'Long stay'!$Z$4:$AG$18,4,FALSE),"")</f>
        <v/>
      </c>
      <c r="Q85" s="88" t="str">
        <f>IFERROR(VLOOKUP(Q$4,'Long stay'!$Z$4:$AG$18,4,FALSE),"")</f>
        <v/>
      </c>
      <c r="Z85" s="112"/>
      <c r="AA85" s="112"/>
      <c r="AB85" s="112"/>
      <c r="AC85" s="112"/>
    </row>
    <row r="86" spans="2:29" x14ac:dyDescent="0.25">
      <c r="B86" s="114"/>
      <c r="C86" s="1" t="s">
        <v>3</v>
      </c>
      <c r="D86" s="65">
        <f>'Long stay'!AU5</f>
        <v>7669.2857142857147</v>
      </c>
      <c r="E86" s="65">
        <f>'Long stay'!AU6</f>
        <v>7632.2857142857147</v>
      </c>
      <c r="F86" s="65">
        <f>IFERROR(VLOOKUP(F$4,'Long stay'!$Z$4:$AG$18,5,FALSE),"")</f>
        <v>4787.1428571428569</v>
      </c>
      <c r="G86" s="65">
        <f>IFERROR(VLOOKUP(G$4,'Long stay'!$Z$4:$AG$18,5,FALSE),"")</f>
        <v>4830.5714285714284</v>
      </c>
      <c r="H86" s="65">
        <f>IFERROR(VLOOKUP(H$4,'Long stay'!$Z$4:$AG$18,5,FALSE),"")</f>
        <v>5301</v>
      </c>
      <c r="I86" s="65" t="str">
        <f>IFERROR(VLOOKUP(I$4,'Long stay'!$Z$4:$AG$18,5,FALSE),"")</f>
        <v/>
      </c>
      <c r="J86" s="65" t="str">
        <f>IFERROR(VLOOKUP(J$4,'Long stay'!$Z$4:$AG$18,5,FALSE),"")</f>
        <v/>
      </c>
      <c r="K86" s="65" t="str">
        <f>IFERROR(VLOOKUP(K$4,'Long stay'!$Z$4:$AG$18,5,FALSE),"")</f>
        <v/>
      </c>
      <c r="L86" s="65" t="str">
        <f>IFERROR(VLOOKUP(L$4,'Long stay'!$Z$4:$AG$18,5,FALSE),"")</f>
        <v/>
      </c>
      <c r="M86" s="65" t="str">
        <f>IFERROR(VLOOKUP(M$4,'Long stay'!$Z$4:$AG$18,5,FALSE),"")</f>
        <v/>
      </c>
      <c r="N86" s="65" t="str">
        <f>IFERROR(VLOOKUP(N$4,'Long stay'!$Z$4:$AG$18,5,FALSE),"")</f>
        <v/>
      </c>
      <c r="O86" s="65" t="str">
        <f>IFERROR(VLOOKUP(O$4,'Long stay'!$Z$4:$AG$18,5,FALSE),"")</f>
        <v/>
      </c>
      <c r="P86" s="65" t="str">
        <f>IFERROR(VLOOKUP(P$4,'Long stay'!$Z$4:$AG$18,5,FALSE),"")</f>
        <v/>
      </c>
      <c r="Q86" s="88" t="str">
        <f>IFERROR(VLOOKUP(Q$4,'Long stay'!$Z$4:$AG$18,5,FALSE),"")</f>
        <v/>
      </c>
      <c r="Z86" s="112"/>
      <c r="AA86" s="112"/>
      <c r="AB86" s="112"/>
      <c r="AC86" s="112"/>
    </row>
    <row r="87" spans="2:29" x14ac:dyDescent="0.25">
      <c r="B87" s="52"/>
      <c r="C87" s="1" t="s">
        <v>270</v>
      </c>
      <c r="D87" s="65">
        <f>'Long stay'!AV5</f>
        <v>3604.4285714285716</v>
      </c>
      <c r="E87" s="65">
        <f>'Long stay'!AV6</f>
        <v>3591.4285714285716</v>
      </c>
      <c r="F87" s="65">
        <f>IFERROR(VLOOKUP(F$4,'Long stay'!$Z$4:$AG$18,6,FALSE),"")</f>
        <v>2193</v>
      </c>
      <c r="G87" s="65">
        <f>IFERROR(VLOOKUP(G$4,'Long stay'!$Z$4:$AG$18,6,FALSE),"")</f>
        <v>2214.5714285714284</v>
      </c>
      <c r="H87" s="65">
        <f>IFERROR(VLOOKUP(H$4,'Long stay'!$Z$4:$AG$18,6,FALSE),"")</f>
        <v>2436.8571428571427</v>
      </c>
      <c r="I87" s="65" t="str">
        <f>IFERROR(VLOOKUP(I$4,'Long stay'!$Z$4:$AG$18,6,FALSE),"")</f>
        <v/>
      </c>
      <c r="J87" s="65" t="str">
        <f>IFERROR(VLOOKUP(J$4,'Long stay'!$Z$4:$AG$18,6,FALSE),"")</f>
        <v/>
      </c>
      <c r="K87" s="65" t="str">
        <f>IFERROR(VLOOKUP(K$4,'Long stay'!$Z$4:$AG$18,6,FALSE),"")</f>
        <v/>
      </c>
      <c r="L87" s="65" t="str">
        <f>IFERROR(VLOOKUP(L$4,'Long stay'!$Z$4:$AG$18,6,FALSE),"")</f>
        <v/>
      </c>
      <c r="M87" s="65" t="str">
        <f>IFERROR(VLOOKUP(M$4,'Long stay'!$Z$4:$AG$18,6,FALSE),"")</f>
        <v/>
      </c>
      <c r="N87" s="65" t="str">
        <f>IFERROR(VLOOKUP(N$4,'Long stay'!$Z$4:$AG$18,6,FALSE),"")</f>
        <v/>
      </c>
      <c r="O87" s="65" t="str">
        <f>IFERROR(VLOOKUP(O$4,'Long stay'!$Z$4:$AG$18,6,FALSE),"")</f>
        <v/>
      </c>
      <c r="P87" s="65" t="str">
        <f>IFERROR(VLOOKUP(P$4,'Long stay'!$Z$4:$AG$18,6,FALSE),"")</f>
        <v/>
      </c>
      <c r="Q87" s="88" t="str">
        <f>IFERROR(VLOOKUP(Q$4,'Long stay'!$Z$4:$AG$18,6,FALSE),"")</f>
        <v/>
      </c>
      <c r="Z87" s="51"/>
      <c r="AA87" s="51"/>
      <c r="AB87" s="51"/>
      <c r="AC87" s="51"/>
    </row>
    <row r="88" spans="2:29" x14ac:dyDescent="0.25">
      <c r="B88" s="52"/>
      <c r="C88" s="11" t="s">
        <v>278</v>
      </c>
      <c r="D88" s="65">
        <f>'Long stay'!AW5</f>
        <v>2046.8571428571429</v>
      </c>
      <c r="E88" s="65">
        <f>'Long stay'!AW6</f>
        <v>2025.7142857142858</v>
      </c>
      <c r="F88" s="65">
        <f>IFERROR(VLOOKUP(F$4,'Long stay'!$Z$4:$AG$18,7,FALSE),"")</f>
        <v>1163.8571428571429</v>
      </c>
      <c r="G88" s="65">
        <f>IFERROR(VLOOKUP(G$4,'Long stay'!$Z$4:$AG$18,7,FALSE),"")</f>
        <v>1161</v>
      </c>
      <c r="H88" s="65">
        <f>IFERROR(VLOOKUP(H$4,'Long stay'!$Z$4:$AG$18,7,FALSE),"")</f>
        <v>1332</v>
      </c>
      <c r="I88" s="65" t="str">
        <f>IFERROR(VLOOKUP(I$4,'Long stay'!$Z$4:$AG$18,7,FALSE),"")</f>
        <v/>
      </c>
      <c r="J88" s="65" t="str">
        <f>IFERROR(VLOOKUP(J$4,'Long stay'!$Z$4:$AG$18,7,FALSE),"")</f>
        <v/>
      </c>
      <c r="K88" s="65" t="str">
        <f>IFERROR(VLOOKUP(K$4,'Long stay'!$Z$4:$AG$18,7,FALSE),"")</f>
        <v/>
      </c>
      <c r="L88" s="65" t="str">
        <f>IFERROR(VLOOKUP(L$4,'Long stay'!$Z$4:$AG$18,7,FALSE),"")</f>
        <v/>
      </c>
      <c r="M88" s="65" t="str">
        <f>IFERROR(VLOOKUP(M$4,'Long stay'!$Z$4:$AG$18,7,FALSE),"")</f>
        <v/>
      </c>
      <c r="N88" s="65" t="str">
        <f>IFERROR(VLOOKUP(N$4,'Long stay'!$Z$4:$AG$18,7,FALSE),"")</f>
        <v/>
      </c>
      <c r="O88" s="65" t="str">
        <f>IFERROR(VLOOKUP(O$4,'Long stay'!$Z$4:$AG$18,7,FALSE),"")</f>
        <v/>
      </c>
      <c r="P88" s="65" t="str">
        <f>IFERROR(VLOOKUP(P$4,'Long stay'!$Z$4:$AG$18,7,FALSE),"")</f>
        <v/>
      </c>
      <c r="Q88" s="88" t="str">
        <f>IFERROR(VLOOKUP(Q$4,'Long stay'!$Z$4:$AG$18,7,FALSE),"")</f>
        <v/>
      </c>
      <c r="Z88" s="51"/>
      <c r="AA88" s="51"/>
      <c r="AB88" s="51"/>
      <c r="AC88" s="51"/>
    </row>
    <row r="89" spans="2:29" x14ac:dyDescent="0.25">
      <c r="B89" s="52"/>
      <c r="C89" s="40" t="s">
        <v>13</v>
      </c>
      <c r="Z89" s="51"/>
      <c r="AA89" s="51"/>
      <c r="AB89" s="51"/>
      <c r="AC89" s="51"/>
    </row>
    <row r="90" spans="2:29" x14ac:dyDescent="0.25">
      <c r="B90" s="52"/>
      <c r="C90" s="1" t="s">
        <v>0</v>
      </c>
      <c r="D90" s="14">
        <v>16587.714285714286</v>
      </c>
      <c r="E90" s="14">
        <v>16862</v>
      </c>
      <c r="F90" s="14">
        <v>15784.142857142857</v>
      </c>
      <c r="G90" s="14">
        <v>16555.714285714286</v>
      </c>
      <c r="H90" s="14">
        <v>17596.142857142859</v>
      </c>
      <c r="I90" s="14">
        <v>17721.142857142859</v>
      </c>
      <c r="J90" s="14">
        <v>17571.714285714286</v>
      </c>
      <c r="K90" s="14">
        <v>17811.714285714286</v>
      </c>
      <c r="L90" s="14">
        <v>17930.428571428572</v>
      </c>
      <c r="M90" s="14">
        <v>17813</v>
      </c>
      <c r="N90" s="14">
        <v>17990.857142857141</v>
      </c>
      <c r="O90" s="14">
        <v>17795</v>
      </c>
      <c r="P90" s="14">
        <v>17920.428571428572</v>
      </c>
      <c r="Z90" s="51"/>
      <c r="AA90" s="51"/>
      <c r="AB90" s="51"/>
      <c r="AC90" s="51"/>
    </row>
    <row r="91" spans="2:29" x14ac:dyDescent="0.25">
      <c r="B91" s="52"/>
      <c r="C91" s="40"/>
      <c r="Z91" s="51"/>
      <c r="AA91" s="51"/>
      <c r="AB91" s="51"/>
      <c r="AC91" s="51"/>
    </row>
    <row r="92" spans="2:29" x14ac:dyDescent="0.25">
      <c r="B92" s="52"/>
      <c r="C92" s="16" t="s">
        <v>253</v>
      </c>
      <c r="D92" s="64">
        <f>IFERROR(VLOOKUP(D$4,'Long stay'!$Z$4:$AG$18,2,FALSE),"")</f>
        <v>14924.714285714286</v>
      </c>
      <c r="E92" s="64">
        <f>IFERROR(VLOOKUP(E$4,'Long stay'!$Z$4:$AG$18,2,FALSE),"")</f>
        <v>14588.571428571429</v>
      </c>
      <c r="F92" s="64">
        <f>IFERROR(VLOOKUP(F$4,'Long stay'!$Z$4:$AG$18,2,FALSE),"")</f>
        <v>13976.857142857143</v>
      </c>
      <c r="G92" s="64">
        <f>IFERROR(VLOOKUP(G$4,'Long stay'!$Z$4:$AG$18,2,FALSE),"")</f>
        <v>14105.857142857143</v>
      </c>
      <c r="H92" s="64">
        <f>IFERROR(VLOOKUP(H$4,'Long stay'!$Z$4:$AG$18,2,FALSE),"")</f>
        <v>15564.142857142857</v>
      </c>
      <c r="I92" s="64" t="str">
        <f>IFERROR(VLOOKUP(I$4,'Long stay'!$Z$4:$AG$18,2,FALSE),"")</f>
        <v/>
      </c>
      <c r="J92" s="64" t="str">
        <f>IFERROR(VLOOKUP(J$4,'Long stay'!$Z$4:$AG$18,2,FALSE),"")</f>
        <v/>
      </c>
      <c r="K92" s="64" t="str">
        <f>IFERROR(VLOOKUP(K$4,'Long stay'!$Z$4:$AG$18,2,FALSE),"")</f>
        <v/>
      </c>
      <c r="L92" s="64" t="str">
        <f>IFERROR(VLOOKUP(L$4,'Long stay'!$Z$4:$AG$18,2,FALSE),"")</f>
        <v/>
      </c>
      <c r="M92" s="64" t="str">
        <f>IFERROR(VLOOKUP(M$4,'Long stay'!$Z$4:$AG$18,2,FALSE),"")</f>
        <v/>
      </c>
      <c r="N92" s="64" t="str">
        <f>IFERROR(VLOOKUP(N$4,'Long stay'!$Z$4:$AG$18,2,FALSE),"")</f>
        <v/>
      </c>
      <c r="O92" s="64" t="str">
        <f>IFERROR(VLOOKUP(O$4,'Long stay'!$Z$4:$AG$18,2,FALSE),"")</f>
        <v/>
      </c>
      <c r="P92" s="64" t="str">
        <f>IFERROR(VLOOKUP(P$4,'Long stay'!$Z$4:$AG$18,2,FALSE),"")</f>
        <v/>
      </c>
      <c r="Q92" s="87" t="str">
        <f>IFERROR(VLOOKUP(Q$4,'Long stay'!$Z$4:$AG$18,2,FALSE),"")</f>
        <v/>
      </c>
      <c r="Z92" s="51"/>
      <c r="AA92" s="51"/>
      <c r="AB92" s="51"/>
      <c r="AC92" s="51"/>
    </row>
    <row r="93" spans="2:29" x14ac:dyDescent="0.25">
      <c r="B93" s="52"/>
      <c r="C93" s="1" t="s">
        <v>2</v>
      </c>
      <c r="D93" s="65">
        <f>IFERROR(VLOOKUP(D$4,'Long stay'!$Z$4:$AG$18,3,FALSE),"")</f>
        <v>2247</v>
      </c>
      <c r="E93" s="65">
        <f>IFERROR(VLOOKUP(E$4,'Long stay'!$Z$4:$AG$18,3,FALSE),"")</f>
        <v>2140</v>
      </c>
      <c r="F93" s="65">
        <f>IFERROR(VLOOKUP(F$4,'Long stay'!$Z$4:$AG$18,3,FALSE),"")</f>
        <v>2075.1428571428573</v>
      </c>
      <c r="G93" s="65">
        <f>IFERROR(VLOOKUP(G$4,'Long stay'!$Z$4:$AG$18,3,FALSE),"")</f>
        <v>2102.4285714285716</v>
      </c>
      <c r="H93" s="65">
        <f>IFERROR(VLOOKUP(H$4,'Long stay'!$Z$4:$AG$18,3,FALSE),"")</f>
        <v>2433</v>
      </c>
      <c r="I93" s="65" t="str">
        <f>IFERROR(VLOOKUP(I$4,'Long stay'!$Z$4:$AG$18,3,FALSE),"")</f>
        <v/>
      </c>
      <c r="J93" s="65" t="str">
        <f>IFERROR(VLOOKUP(J$4,'Long stay'!$Z$4:$AG$18,3,FALSE),"")</f>
        <v/>
      </c>
      <c r="K93" s="65" t="str">
        <f>IFERROR(VLOOKUP(K$4,'Long stay'!$Z$4:$AG$18,3,FALSE),"")</f>
        <v/>
      </c>
      <c r="L93" s="65" t="str">
        <f>IFERROR(VLOOKUP(L$4,'Long stay'!$Z$4:$AG$18,3,FALSE),"")</f>
        <v/>
      </c>
      <c r="M93" s="65" t="str">
        <f>IFERROR(VLOOKUP(M$4,'Long stay'!$Z$4:$AG$18,3,FALSE),"")</f>
        <v/>
      </c>
      <c r="N93" s="65" t="str">
        <f>IFERROR(VLOOKUP(N$4,'Long stay'!$Z$4:$AG$18,3,FALSE),"")</f>
        <v/>
      </c>
      <c r="O93" s="65" t="str">
        <f>IFERROR(VLOOKUP(O$4,'Long stay'!$Z$4:$AG$18,3,FALSE),"")</f>
        <v/>
      </c>
      <c r="P93" s="65" t="str">
        <f>IFERROR(VLOOKUP(P$4,'Long stay'!$Z$4:$AG$18,3,FALSE),"")</f>
        <v/>
      </c>
      <c r="Q93" s="88" t="str">
        <f>IFERROR(VLOOKUP(Q$4,'Long stay'!$Z$4:$AG$18,3,FALSE),"")</f>
        <v/>
      </c>
      <c r="Z93" s="51"/>
      <c r="AA93" s="51"/>
      <c r="AB93" s="51"/>
      <c r="AC93" s="51"/>
    </row>
    <row r="94" spans="2:29" x14ac:dyDescent="0.25">
      <c r="B94" s="52"/>
      <c r="C94" s="1" t="s">
        <v>29</v>
      </c>
      <c r="D94" s="65">
        <f>IFERROR(VLOOKUP(D$4,'Long stay'!$Z$4:$AG$18,4,FALSE),"")</f>
        <v>3963.1428571428573</v>
      </c>
      <c r="E94" s="65">
        <f>IFERROR(VLOOKUP(E$4,'Long stay'!$Z$4:$AG$18,4,FALSE),"")</f>
        <v>3933.2857142857142</v>
      </c>
      <c r="F94" s="65">
        <f>IFERROR(VLOOKUP(F$4,'Long stay'!$Z$4:$AG$18,4,FALSE),"")</f>
        <v>3757.7142857142858</v>
      </c>
      <c r="G94" s="65">
        <f>IFERROR(VLOOKUP(G$4,'Long stay'!$Z$4:$AG$18,4,FALSE),"")</f>
        <v>3797.2857142857142</v>
      </c>
      <c r="H94" s="65">
        <f>IFERROR(VLOOKUP(H$4,'Long stay'!$Z$4:$AG$18,4,FALSE),"")</f>
        <v>4061.2857142857142</v>
      </c>
      <c r="I94" s="65" t="str">
        <f>IFERROR(VLOOKUP(I$4,'Long stay'!$Z$4:$AG$18,4,FALSE),"")</f>
        <v/>
      </c>
      <c r="J94" s="65" t="str">
        <f>IFERROR(VLOOKUP(J$4,'Long stay'!$Z$4:$AG$18,4,FALSE),"")</f>
        <v/>
      </c>
      <c r="K94" s="65" t="str">
        <f>IFERROR(VLOOKUP(K$4,'Long stay'!$Z$4:$AG$18,4,FALSE),"")</f>
        <v/>
      </c>
      <c r="L94" s="65" t="str">
        <f>IFERROR(VLOOKUP(L$4,'Long stay'!$Z$4:$AG$18,4,FALSE),"")</f>
        <v/>
      </c>
      <c r="M94" s="65" t="str">
        <f>IFERROR(VLOOKUP(M$4,'Long stay'!$Z$4:$AG$18,4,FALSE),"")</f>
        <v/>
      </c>
      <c r="N94" s="65" t="str">
        <f>IFERROR(VLOOKUP(N$4,'Long stay'!$Z$4:$AG$18,4,FALSE),"")</f>
        <v/>
      </c>
      <c r="O94" s="65" t="str">
        <f>IFERROR(VLOOKUP(O$4,'Long stay'!$Z$4:$AG$18,4,FALSE),"")</f>
        <v/>
      </c>
      <c r="P94" s="65" t="str">
        <f>IFERROR(VLOOKUP(P$4,'Long stay'!$Z$4:$AG$18,4,FALSE),"")</f>
        <v/>
      </c>
      <c r="Q94" s="88" t="str">
        <f>IFERROR(VLOOKUP(Q$4,'Long stay'!$Z$4:$AG$18,4,FALSE),"")</f>
        <v/>
      </c>
      <c r="Z94" s="51"/>
      <c r="AA94" s="51"/>
      <c r="AB94" s="51"/>
      <c r="AC94" s="51"/>
    </row>
    <row r="95" spans="2:29" x14ac:dyDescent="0.25">
      <c r="B95" s="52"/>
      <c r="C95" s="1" t="s">
        <v>3</v>
      </c>
      <c r="D95" s="65">
        <f>IFERROR(VLOOKUP(D$4,'Long stay'!$Z$4:$AG$18,5,FALSE),"")</f>
        <v>5114.5714285714284</v>
      </c>
      <c r="E95" s="65">
        <f>IFERROR(VLOOKUP(E$4,'Long stay'!$Z$4:$AG$18,5,FALSE),"")</f>
        <v>5007.8571428571431</v>
      </c>
      <c r="F95" s="65">
        <f>IFERROR(VLOOKUP(F$4,'Long stay'!$Z$4:$AG$18,5,FALSE),"")</f>
        <v>4787.1428571428569</v>
      </c>
      <c r="G95" s="65">
        <f>IFERROR(VLOOKUP(G$4,'Long stay'!$Z$4:$AG$18,5,FALSE),"")</f>
        <v>4830.5714285714284</v>
      </c>
      <c r="H95" s="65">
        <f>IFERROR(VLOOKUP(H$4,'Long stay'!$Z$4:$AG$18,5,FALSE),"")</f>
        <v>5301</v>
      </c>
      <c r="I95" s="65" t="str">
        <f>IFERROR(VLOOKUP(I$4,'Long stay'!$Z$4:$AG$18,5,FALSE),"")</f>
        <v/>
      </c>
      <c r="J95" s="65" t="str">
        <f>IFERROR(VLOOKUP(J$4,'Long stay'!$Z$4:$AG$18,5,FALSE),"")</f>
        <v/>
      </c>
      <c r="K95" s="65" t="str">
        <f>IFERROR(VLOOKUP(K$4,'Long stay'!$Z$4:$AG$18,5,FALSE),"")</f>
        <v/>
      </c>
      <c r="L95" s="65" t="str">
        <f>IFERROR(VLOOKUP(L$4,'Long stay'!$Z$4:$AG$18,5,FALSE),"")</f>
        <v/>
      </c>
      <c r="M95" s="65" t="str">
        <f>IFERROR(VLOOKUP(M$4,'Long stay'!$Z$4:$AG$18,5,FALSE),"")</f>
        <v/>
      </c>
      <c r="N95" s="65" t="str">
        <f>IFERROR(VLOOKUP(N$4,'Long stay'!$Z$4:$AG$18,5,FALSE),"")</f>
        <v/>
      </c>
      <c r="O95" s="65" t="str">
        <f>IFERROR(VLOOKUP(O$4,'Long stay'!$Z$4:$AG$18,5,FALSE),"")</f>
        <v/>
      </c>
      <c r="P95" s="65" t="str">
        <f>IFERROR(VLOOKUP(P$4,'Long stay'!$Z$4:$AG$18,5,FALSE),"")</f>
        <v/>
      </c>
      <c r="Q95" s="88" t="str">
        <f>IFERROR(VLOOKUP(Q$4,'Long stay'!$Z$4:$AG$18,5,FALSE),"")</f>
        <v/>
      </c>
      <c r="Z95" s="51"/>
      <c r="AA95" s="51"/>
      <c r="AB95" s="51"/>
      <c r="AC95" s="51"/>
    </row>
    <row r="96" spans="2:29" x14ac:dyDescent="0.25">
      <c r="B96" s="52"/>
      <c r="C96" s="1" t="s">
        <v>270</v>
      </c>
      <c r="D96" s="65">
        <f>IFERROR(VLOOKUP(D$4,'Long stay'!$Z$4:$AG$18,6,FALSE),"")</f>
        <v>2347</v>
      </c>
      <c r="E96" s="65">
        <f>IFERROR(VLOOKUP(E$4,'Long stay'!$Z$4:$AG$18,6,FALSE),"")</f>
        <v>2277.7142857142858</v>
      </c>
      <c r="F96" s="65">
        <f>IFERROR(VLOOKUP(F$4,'Long stay'!$Z$4:$AG$18,6,FALSE),"")</f>
        <v>2193</v>
      </c>
      <c r="G96" s="65">
        <f>IFERROR(VLOOKUP(G$4,'Long stay'!$Z$4:$AG$18,6,FALSE),"")</f>
        <v>2214.5714285714284</v>
      </c>
      <c r="H96" s="65">
        <f>IFERROR(VLOOKUP(H$4,'Long stay'!$Z$4:$AG$18,6,FALSE),"")</f>
        <v>2436.8571428571427</v>
      </c>
      <c r="I96" s="65" t="str">
        <f>IFERROR(VLOOKUP(I$4,'Long stay'!$Z$4:$AG$18,6,FALSE),"")</f>
        <v/>
      </c>
      <c r="J96" s="65" t="str">
        <f>IFERROR(VLOOKUP(J$4,'Long stay'!$Z$4:$AG$18,6,FALSE),"")</f>
        <v/>
      </c>
      <c r="K96" s="65" t="str">
        <f>IFERROR(VLOOKUP(K$4,'Long stay'!$Z$4:$AG$18,6,FALSE),"")</f>
        <v/>
      </c>
      <c r="L96" s="65" t="str">
        <f>IFERROR(VLOOKUP(L$4,'Long stay'!$Z$4:$AG$18,6,FALSE),"")</f>
        <v/>
      </c>
      <c r="M96" s="65" t="str">
        <f>IFERROR(VLOOKUP(M$4,'Long stay'!$Z$4:$AG$18,6,FALSE),"")</f>
        <v/>
      </c>
      <c r="N96" s="65" t="str">
        <f>IFERROR(VLOOKUP(N$4,'Long stay'!$Z$4:$AG$18,6,FALSE),"")</f>
        <v/>
      </c>
      <c r="O96" s="65" t="str">
        <f>IFERROR(VLOOKUP(O$4,'Long stay'!$Z$4:$AG$18,6,FALSE),"")</f>
        <v/>
      </c>
      <c r="P96" s="65" t="str">
        <f>IFERROR(VLOOKUP(P$4,'Long stay'!$Z$4:$AG$18,6,FALSE),"")</f>
        <v/>
      </c>
      <c r="Q96" s="88" t="str">
        <f>IFERROR(VLOOKUP(Q$4,'Long stay'!$Z$4:$AG$18,6,FALSE),"")</f>
        <v/>
      </c>
      <c r="Z96" s="51"/>
      <c r="AA96" s="51"/>
      <c r="AB96" s="51"/>
      <c r="AC96" s="51"/>
    </row>
    <row r="97" spans="2:29" x14ac:dyDescent="0.25">
      <c r="B97" s="52"/>
      <c r="C97" s="11" t="s">
        <v>278</v>
      </c>
      <c r="D97" s="65">
        <f>IFERROR(VLOOKUP(D$4,'Long stay'!$Z$4:$AG$18,7,FALSE),"")</f>
        <v>1253</v>
      </c>
      <c r="E97" s="65">
        <f>IFERROR(VLOOKUP(E$4,'Long stay'!$Z$4:$AG$18,7,FALSE),"")</f>
        <v>1229.7142857142858</v>
      </c>
      <c r="F97" s="65">
        <f>IFERROR(VLOOKUP(F$4,'Long stay'!$Z$4:$AG$18,7,FALSE),"")</f>
        <v>1163.8571428571429</v>
      </c>
      <c r="G97" s="65">
        <f>IFERROR(VLOOKUP(G$4,'Long stay'!$Z$4:$AG$18,7,FALSE),"")</f>
        <v>1161</v>
      </c>
      <c r="H97" s="65">
        <f>IFERROR(VLOOKUP(H$4,'Long stay'!$Z$4:$AG$18,7,FALSE),"")</f>
        <v>1332</v>
      </c>
      <c r="I97" s="65" t="str">
        <f>IFERROR(VLOOKUP(I$4,'Long stay'!$Z$4:$AG$18,7,FALSE),"")</f>
        <v/>
      </c>
      <c r="J97" s="65" t="str">
        <f>IFERROR(VLOOKUP(J$4,'Long stay'!$Z$4:$AG$18,7,FALSE),"")</f>
        <v/>
      </c>
      <c r="K97" s="65" t="str">
        <f>IFERROR(VLOOKUP(K$4,'Long stay'!$Z$4:$AG$18,7,FALSE),"")</f>
        <v/>
      </c>
      <c r="L97" s="65" t="str">
        <f>IFERROR(VLOOKUP(L$4,'Long stay'!$Z$4:$AG$18,7,FALSE),"")</f>
        <v/>
      </c>
      <c r="M97" s="65" t="str">
        <f>IFERROR(VLOOKUP(M$4,'Long stay'!$Z$4:$AG$18,7,FALSE),"")</f>
        <v/>
      </c>
      <c r="N97" s="65" t="str">
        <f>IFERROR(VLOOKUP(N$4,'Long stay'!$Z$4:$AG$18,7,FALSE),"")</f>
        <v/>
      </c>
      <c r="O97" s="65" t="str">
        <f>IFERROR(VLOOKUP(O$4,'Long stay'!$Z$4:$AG$18,7,FALSE),"")</f>
        <v/>
      </c>
      <c r="P97" s="65" t="str">
        <f>IFERROR(VLOOKUP(P$4,'Long stay'!$Z$4:$AG$18,7,FALSE),"")</f>
        <v/>
      </c>
      <c r="Q97" s="88" t="str">
        <f>IFERROR(VLOOKUP(Q$4,'Long stay'!$Z$4:$AG$18,7,FALSE),"")</f>
        <v/>
      </c>
      <c r="Z97" s="51"/>
      <c r="AA97" s="51"/>
      <c r="AB97" s="51"/>
      <c r="AC97" s="51"/>
    </row>
    <row r="98" spans="2:29" ht="30" customHeight="1" x14ac:dyDescent="0.25">
      <c r="C98" s="1"/>
      <c r="D98" s="60"/>
      <c r="E98" s="60"/>
      <c r="F98" s="60"/>
      <c r="G98" s="60"/>
      <c r="H98" s="60"/>
      <c r="I98" s="60"/>
      <c r="J98" s="60"/>
      <c r="K98" s="60"/>
      <c r="L98" s="60"/>
      <c r="M98" s="60"/>
      <c r="N98" s="60"/>
      <c r="O98" s="60"/>
      <c r="P98" s="60"/>
      <c r="Q98" s="60"/>
      <c r="R98" s="44"/>
    </row>
    <row r="99" spans="2:29" ht="15" customHeight="1" x14ac:dyDescent="0.25">
      <c r="B99" s="114" t="s">
        <v>15</v>
      </c>
      <c r="C99" s="13" t="s">
        <v>16</v>
      </c>
      <c r="Z99" s="115" t="s">
        <v>34</v>
      </c>
      <c r="AA99" s="115"/>
      <c r="AB99" s="115"/>
      <c r="AC99" s="115"/>
    </row>
    <row r="100" spans="2:29" ht="15" customHeight="1" x14ac:dyDescent="0.25">
      <c r="B100" s="114"/>
      <c r="C100" s="1" t="s">
        <v>0</v>
      </c>
      <c r="D100" s="14">
        <v>1123.1428571428571</v>
      </c>
      <c r="E100" s="14">
        <v>1071.4285714285713</v>
      </c>
      <c r="F100" s="14">
        <v>811.71428571428567</v>
      </c>
      <c r="G100" s="14">
        <v>731</v>
      </c>
      <c r="H100" s="14">
        <v>943.85714285714289</v>
      </c>
      <c r="I100" s="14">
        <v>621.28571428571433</v>
      </c>
      <c r="J100" s="14">
        <v>742</v>
      </c>
      <c r="K100" s="14">
        <v>672</v>
      </c>
      <c r="L100" s="14">
        <v>640.28571428571433</v>
      </c>
      <c r="M100" s="14">
        <v>816.85714285714289</v>
      </c>
      <c r="N100" s="14">
        <v>840.85714285714289</v>
      </c>
      <c r="O100" s="14">
        <v>949</v>
      </c>
      <c r="P100" s="14">
        <v>751.28571428571433</v>
      </c>
      <c r="Z100" s="115"/>
      <c r="AA100" s="115"/>
      <c r="AB100" s="115"/>
      <c r="AC100" s="115"/>
    </row>
    <row r="101" spans="2:29" ht="7.5" customHeight="1" x14ac:dyDescent="0.25">
      <c r="B101" s="114"/>
      <c r="C101" s="1"/>
      <c r="Z101" s="115"/>
      <c r="AA101" s="115"/>
      <c r="AB101" s="115"/>
      <c r="AC101" s="115"/>
    </row>
    <row r="102" spans="2:29" x14ac:dyDescent="0.25">
      <c r="B102" s="114"/>
      <c r="C102" s="16" t="s">
        <v>253</v>
      </c>
      <c r="D102" s="64">
        <f>IFERROR(VLOOKUP(D$4,'D&amp;V'!$O$3:$V$17,2,FALSE),"")</f>
        <v>493.57142857142856</v>
      </c>
      <c r="E102" s="64">
        <f>IFERROR(VLOOKUP(E$4,'D&amp;V'!$O$3:$V$17,2,FALSE),"")</f>
        <v>372.85714285714283</v>
      </c>
      <c r="F102" s="64">
        <f>IFERROR(VLOOKUP(F$4,'D&amp;V'!$O$3:$V$17,2,FALSE),"")</f>
        <v>510.85714285714283</v>
      </c>
      <c r="G102" s="64">
        <f>IFERROR(VLOOKUP(G$4,'D&amp;V'!$O$3:$V$17,2,FALSE),"")</f>
        <v>504.28571428571428</v>
      </c>
      <c r="H102" s="64">
        <f>IFERROR(VLOOKUP(H$4,'D&amp;V'!$O$3:$V$17,2,FALSE),"")</f>
        <v>397.85714285714283</v>
      </c>
      <c r="I102" s="64" t="str">
        <f>IFERROR(VLOOKUP(I$4,'D&amp;V'!$O$3:$V$17,2,FALSE),"")</f>
        <v/>
      </c>
      <c r="J102" s="64" t="str">
        <f>IFERROR(VLOOKUP(J$4,'D&amp;V'!$O$3:$V$17,2,FALSE),"")</f>
        <v/>
      </c>
      <c r="K102" s="64" t="str">
        <f>IFERROR(VLOOKUP(K$4,'D&amp;V'!$O$3:$V$17,2,FALSE),"")</f>
        <v/>
      </c>
      <c r="L102" s="64" t="str">
        <f>IFERROR(VLOOKUP(L$4,'D&amp;V'!$O$3:$V$17,2,FALSE),"")</f>
        <v/>
      </c>
      <c r="M102" s="64" t="str">
        <f>IFERROR(VLOOKUP(M$4,'D&amp;V'!$O$3:$V$17,2,FALSE),"")</f>
        <v/>
      </c>
      <c r="N102" s="64" t="str">
        <f>IFERROR(VLOOKUP(N$4,'D&amp;V'!$O$3:$V$17,2,FALSE),"")</f>
        <v/>
      </c>
      <c r="O102" s="64" t="str">
        <f>IFERROR(VLOOKUP(O$4,'D&amp;V'!$O$3:$V$17,2,FALSE),"")</f>
        <v/>
      </c>
      <c r="P102" s="64" t="str">
        <f>IFERROR(VLOOKUP(P$4,'D&amp;V'!$O$3:$V$17,2,FALSE),"")</f>
        <v/>
      </c>
      <c r="Q102" s="87" t="str">
        <f>IFERROR(VLOOKUP(Q$4,'D&amp;V'!$O$3:$V$17,2,FALSE),"")</f>
        <v/>
      </c>
      <c r="Z102" s="115"/>
      <c r="AA102" s="115"/>
      <c r="AB102" s="115"/>
      <c r="AC102" s="115"/>
    </row>
    <row r="103" spans="2:29" x14ac:dyDescent="0.25">
      <c r="B103" s="114"/>
      <c r="C103" s="1" t="s">
        <v>2</v>
      </c>
      <c r="D103" s="65">
        <f>IFERROR(VLOOKUP(D$4,'D&amp;V'!$O$3:$V$17,3,FALSE),"")</f>
        <v>44.714285714285715</v>
      </c>
      <c r="E103" s="65">
        <f>IFERROR(VLOOKUP(E$4,'D&amp;V'!$O$3:$V$17,3,FALSE),"")</f>
        <v>46.142857142857146</v>
      </c>
      <c r="F103" s="65">
        <f>IFERROR(VLOOKUP(F$4,'D&amp;V'!$O$3:$V$17,3,FALSE),"")</f>
        <v>83.857142857142861</v>
      </c>
      <c r="G103" s="65">
        <f>IFERROR(VLOOKUP(G$4,'D&amp;V'!$O$3:$V$17,3,FALSE),"")</f>
        <v>81.428571428571431</v>
      </c>
      <c r="H103" s="65">
        <f>IFERROR(VLOOKUP(H$4,'D&amp;V'!$O$3:$V$17,3,FALSE),"")</f>
        <v>63.857142857142854</v>
      </c>
      <c r="I103" s="65" t="str">
        <f>IFERROR(VLOOKUP(I$4,'D&amp;V'!$O$3:$V$17,3,FALSE),"")</f>
        <v/>
      </c>
      <c r="J103" s="65" t="str">
        <f>IFERROR(VLOOKUP(J$4,'D&amp;V'!$O$3:$V$17,3,FALSE),"")</f>
        <v/>
      </c>
      <c r="K103" s="65" t="str">
        <f>IFERROR(VLOOKUP(K$4,'D&amp;V'!$O$3:$V$17,3,FALSE),"")</f>
        <v/>
      </c>
      <c r="L103" s="65" t="str">
        <f>IFERROR(VLOOKUP(L$4,'D&amp;V'!$O$3:$V$17,3,FALSE),"")</f>
        <v/>
      </c>
      <c r="M103" s="65" t="str">
        <f>IFERROR(VLOOKUP(M$4,'D&amp;V'!$O$3:$V$17,3,FALSE),"")</f>
        <v/>
      </c>
      <c r="N103" s="65" t="str">
        <f>IFERROR(VLOOKUP(N$4,'D&amp;V'!$O$3:$V$17,3,FALSE),"")</f>
        <v/>
      </c>
      <c r="O103" s="65" t="str">
        <f>IFERROR(VLOOKUP(O$4,'D&amp;V'!$O$3:$V$17,3,FALSE),"")</f>
        <v/>
      </c>
      <c r="P103" s="65" t="str">
        <f>IFERROR(VLOOKUP(P$4,'D&amp;V'!$O$3:$V$17,3,FALSE),"")</f>
        <v/>
      </c>
      <c r="Q103" s="88" t="str">
        <f>IFERROR(VLOOKUP(Q$4,'D&amp;V'!$O$3:$V$17,3,FALSE),"")</f>
        <v/>
      </c>
      <c r="Z103" s="15"/>
      <c r="AA103" s="15"/>
      <c r="AB103" s="15"/>
      <c r="AC103" s="15"/>
    </row>
    <row r="104" spans="2:29" x14ac:dyDescent="0.25">
      <c r="B104" s="114"/>
      <c r="C104" s="1" t="s">
        <v>29</v>
      </c>
      <c r="D104" s="65">
        <f>IFERROR(VLOOKUP(D$4,'D&amp;V'!$O$3:$V$17,4,FALSE),"")</f>
        <v>202.85714285714286</v>
      </c>
      <c r="E104" s="65">
        <f>IFERROR(VLOOKUP(E$4,'D&amp;V'!$O$3:$V$17,4,FALSE),"")</f>
        <v>71.142857142857139</v>
      </c>
      <c r="F104" s="65">
        <f>IFERROR(VLOOKUP(F$4,'D&amp;V'!$O$3:$V$17,4,FALSE),"")</f>
        <v>143.57142857142858</v>
      </c>
      <c r="G104" s="65">
        <f>IFERROR(VLOOKUP(G$4,'D&amp;V'!$O$3:$V$17,4,FALSE),"")</f>
        <v>126.42857142857143</v>
      </c>
      <c r="H104" s="65">
        <f>IFERROR(VLOOKUP(H$4,'D&amp;V'!$O$3:$V$17,4,FALSE),"")</f>
        <v>86.428571428571431</v>
      </c>
      <c r="I104" s="65" t="str">
        <f>IFERROR(VLOOKUP(I$4,'D&amp;V'!$O$3:$V$17,4,FALSE),"")</f>
        <v/>
      </c>
      <c r="J104" s="65" t="str">
        <f>IFERROR(VLOOKUP(J$4,'D&amp;V'!$O$3:$V$17,4,FALSE),"")</f>
        <v/>
      </c>
      <c r="K104" s="65" t="str">
        <f>IFERROR(VLOOKUP(K$4,'D&amp;V'!$O$3:$V$17,4,FALSE),"")</f>
        <v/>
      </c>
      <c r="L104" s="65" t="str">
        <f>IFERROR(VLOOKUP(L$4,'D&amp;V'!$O$3:$V$17,4,FALSE),"")</f>
        <v/>
      </c>
      <c r="M104" s="65" t="str">
        <f>IFERROR(VLOOKUP(M$4,'D&amp;V'!$O$3:$V$17,4,FALSE),"")</f>
        <v/>
      </c>
      <c r="N104" s="65" t="str">
        <f>IFERROR(VLOOKUP(N$4,'D&amp;V'!$O$3:$V$17,4,FALSE),"")</f>
        <v/>
      </c>
      <c r="O104" s="65" t="str">
        <f>IFERROR(VLOOKUP(O$4,'D&amp;V'!$O$3:$V$17,4,FALSE),"")</f>
        <v/>
      </c>
      <c r="P104" s="65" t="str">
        <f>IFERROR(VLOOKUP(P$4,'D&amp;V'!$O$3:$V$17,4,FALSE),"")</f>
        <v/>
      </c>
      <c r="Q104" s="88" t="str">
        <f>IFERROR(VLOOKUP(Q$4,'D&amp;V'!$O$3:$V$17,4,FALSE),"")</f>
        <v/>
      </c>
      <c r="Z104" s="112" t="s">
        <v>343</v>
      </c>
      <c r="AA104" s="112"/>
      <c r="AB104" s="112"/>
      <c r="AC104" s="112"/>
    </row>
    <row r="105" spans="2:29" x14ac:dyDescent="0.25">
      <c r="B105" s="114"/>
      <c r="C105" s="1" t="s">
        <v>3</v>
      </c>
      <c r="D105" s="65">
        <f>IFERROR(VLOOKUP(D$4,'D&amp;V'!$O$3:$V$17,5,FALSE),"")</f>
        <v>194.28571428571428</v>
      </c>
      <c r="E105" s="65">
        <f>IFERROR(VLOOKUP(E$4,'D&amp;V'!$O$3:$V$17,5,FALSE),"")</f>
        <v>191.28571428571428</v>
      </c>
      <c r="F105" s="65">
        <f>IFERROR(VLOOKUP(F$4,'D&amp;V'!$O$3:$V$17,5,FALSE),"")</f>
        <v>238.71428571428572</v>
      </c>
      <c r="G105" s="65">
        <f>IFERROR(VLOOKUP(G$4,'D&amp;V'!$O$3:$V$17,5,FALSE),"")</f>
        <v>223.71428571428572</v>
      </c>
      <c r="H105" s="65">
        <f>IFERROR(VLOOKUP(H$4,'D&amp;V'!$O$3:$V$17,5,FALSE),"")</f>
        <v>199.28571428571428</v>
      </c>
      <c r="I105" s="65" t="str">
        <f>IFERROR(VLOOKUP(I$4,'D&amp;V'!$O$3:$V$17,5,FALSE),"")</f>
        <v/>
      </c>
      <c r="J105" s="65" t="str">
        <f>IFERROR(VLOOKUP(J$4,'D&amp;V'!$O$3:$V$17,5,FALSE),"")</f>
        <v/>
      </c>
      <c r="K105" s="65" t="str">
        <f>IFERROR(VLOOKUP(K$4,'D&amp;V'!$O$3:$V$17,5,FALSE),"")</f>
        <v/>
      </c>
      <c r="L105" s="65" t="str">
        <f>IFERROR(VLOOKUP(L$4,'D&amp;V'!$O$3:$V$17,5,FALSE),"")</f>
        <v/>
      </c>
      <c r="M105" s="65" t="str">
        <f>IFERROR(VLOOKUP(M$4,'D&amp;V'!$O$3:$V$17,5,FALSE),"")</f>
        <v/>
      </c>
      <c r="N105" s="65" t="str">
        <f>IFERROR(VLOOKUP(N$4,'D&amp;V'!$O$3:$V$17,5,FALSE),"")</f>
        <v/>
      </c>
      <c r="O105" s="65" t="str">
        <f>IFERROR(VLOOKUP(O$4,'D&amp;V'!$O$3:$V$17,5,FALSE),"")</f>
        <v/>
      </c>
      <c r="P105" s="65" t="str">
        <f>IFERROR(VLOOKUP(P$4,'D&amp;V'!$O$3:$V$17,5,FALSE),"")</f>
        <v/>
      </c>
      <c r="Q105" s="88" t="str">
        <f>IFERROR(VLOOKUP(Q$4,'D&amp;V'!$O$3:$V$17,5,FALSE),"")</f>
        <v/>
      </c>
      <c r="Z105" s="112"/>
      <c r="AA105" s="112"/>
      <c r="AB105" s="112"/>
      <c r="AC105" s="112"/>
    </row>
    <row r="106" spans="2:29" x14ac:dyDescent="0.25">
      <c r="B106" s="114"/>
      <c r="C106" s="1" t="s">
        <v>270</v>
      </c>
      <c r="D106" s="65">
        <f>IFERROR(VLOOKUP(D$4,'D&amp;V'!$O$3:$V$17,6,FALSE),"")</f>
        <v>30.142857142857142</v>
      </c>
      <c r="E106" s="65">
        <f>IFERROR(VLOOKUP(E$4,'D&amp;V'!$O$3:$V$17,6,FALSE),"")</f>
        <v>21.857142857142858</v>
      </c>
      <c r="F106" s="65">
        <f>IFERROR(VLOOKUP(F$4,'D&amp;V'!$O$3:$V$17,6,FALSE),"")</f>
        <v>21.714285714285715</v>
      </c>
      <c r="G106" s="65">
        <f>IFERROR(VLOOKUP(G$4,'D&amp;V'!$O$3:$V$17,6,FALSE),"")</f>
        <v>3.2857142857142856</v>
      </c>
      <c r="H106" s="65">
        <f>IFERROR(VLOOKUP(H$4,'D&amp;V'!$O$3:$V$17,6,FALSE),"")</f>
        <v>14.285714285714286</v>
      </c>
      <c r="I106" s="65" t="str">
        <f>IFERROR(VLOOKUP(I$4,'D&amp;V'!$O$3:$V$17,6,FALSE),"")</f>
        <v/>
      </c>
      <c r="J106" s="65" t="str">
        <f>IFERROR(VLOOKUP(J$4,'D&amp;V'!$O$3:$V$17,6,FALSE),"")</f>
        <v/>
      </c>
      <c r="K106" s="65" t="str">
        <f>IFERROR(VLOOKUP(K$4,'D&amp;V'!$O$3:$V$17,6,FALSE),"")</f>
        <v/>
      </c>
      <c r="L106" s="65" t="str">
        <f>IFERROR(VLOOKUP(L$4,'D&amp;V'!$O$3:$V$17,6,FALSE),"")</f>
        <v/>
      </c>
      <c r="M106" s="65" t="str">
        <f>IFERROR(VLOOKUP(M$4,'D&amp;V'!$O$3:$V$17,6,FALSE),"")</f>
        <v/>
      </c>
      <c r="N106" s="65" t="str">
        <f>IFERROR(VLOOKUP(N$4,'D&amp;V'!$O$3:$V$17,6,FALSE),"")</f>
        <v/>
      </c>
      <c r="O106" s="65" t="str">
        <f>IFERROR(VLOOKUP(O$4,'D&amp;V'!$O$3:$V$17,6,FALSE),"")</f>
        <v/>
      </c>
      <c r="P106" s="65" t="str">
        <f>IFERROR(VLOOKUP(P$4,'D&amp;V'!$O$3:$V$17,6,FALSE),"")</f>
        <v/>
      </c>
      <c r="Q106" s="88" t="str">
        <f>IFERROR(VLOOKUP(Q$4,'D&amp;V'!$O$3:$V$17,6,FALSE),"")</f>
        <v/>
      </c>
      <c r="Z106" s="112"/>
      <c r="AA106" s="112"/>
      <c r="AB106" s="112"/>
      <c r="AC106" s="112"/>
    </row>
    <row r="107" spans="2:29" x14ac:dyDescent="0.25">
      <c r="B107" s="114"/>
      <c r="C107" s="11" t="s">
        <v>305</v>
      </c>
      <c r="D107" s="65">
        <f>IFERROR(VLOOKUP(D$4,'D&amp;V'!$O$3:$V$17,7,FALSE),"")</f>
        <v>21.571428571428573</v>
      </c>
      <c r="E107" s="65">
        <f>IFERROR(VLOOKUP(E$4,'D&amp;V'!$O$3:$V$17,7,FALSE),"")</f>
        <v>42.428571428571431</v>
      </c>
      <c r="F107" s="65">
        <f>IFERROR(VLOOKUP(F$4,'D&amp;V'!$O$3:$V$17,7,FALSE),"")</f>
        <v>23</v>
      </c>
      <c r="G107" s="65">
        <f>IFERROR(VLOOKUP(G$4,'D&amp;V'!$O$3:$V$17,7,FALSE),"")</f>
        <v>69.428571428571431</v>
      </c>
      <c r="H107" s="65">
        <f>IFERROR(VLOOKUP(H$4,'D&amp;V'!$O$3:$V$17,7,FALSE),"")</f>
        <v>34</v>
      </c>
      <c r="I107" s="65" t="str">
        <f>IFERROR(VLOOKUP(I$4,'D&amp;V'!$O$3:$V$17,7,FALSE),"")</f>
        <v/>
      </c>
      <c r="J107" s="65" t="str">
        <f>IFERROR(VLOOKUP(J$4,'D&amp;V'!$O$3:$V$17,7,FALSE),"")</f>
        <v/>
      </c>
      <c r="K107" s="65" t="str">
        <f>IFERROR(VLOOKUP(K$4,'D&amp;V'!$O$3:$V$17,7,FALSE),"")</f>
        <v/>
      </c>
      <c r="L107" s="65" t="str">
        <f>IFERROR(VLOOKUP(L$4,'D&amp;V'!$O$3:$V$17,7,FALSE),"")</f>
        <v/>
      </c>
      <c r="M107" s="65" t="str">
        <f>IFERROR(VLOOKUP(M$4,'D&amp;V'!$O$3:$V$17,7,FALSE),"")</f>
        <v/>
      </c>
      <c r="N107" s="65" t="str">
        <f>IFERROR(VLOOKUP(N$4,'D&amp;V'!$O$3:$V$17,7,FALSE),"")</f>
        <v/>
      </c>
      <c r="O107" s="65" t="str">
        <f>IFERROR(VLOOKUP(O$4,'D&amp;V'!$O$3:$V$17,7,FALSE),"")</f>
        <v/>
      </c>
      <c r="P107" s="65" t="str">
        <f>IFERROR(VLOOKUP(P$4,'D&amp;V'!$O$3:$V$17,7,FALSE),"")</f>
        <v/>
      </c>
      <c r="Q107" s="88" t="str">
        <f>IFERROR(VLOOKUP(Q$4,'D&amp;V'!$O$3:$V$17,7,FALSE),"")</f>
        <v/>
      </c>
      <c r="Z107" s="112"/>
      <c r="AA107" s="112"/>
      <c r="AB107" s="112"/>
      <c r="AC107" s="112"/>
    </row>
    <row r="108" spans="2:29" ht="7.5" customHeight="1" x14ac:dyDescent="0.25">
      <c r="B108" s="114"/>
      <c r="Z108" s="112"/>
      <c r="AA108" s="112"/>
      <c r="AB108" s="112"/>
      <c r="AC108" s="112"/>
    </row>
    <row r="109" spans="2:29" x14ac:dyDescent="0.25">
      <c r="B109" s="114"/>
      <c r="C109" s="11" t="s">
        <v>35</v>
      </c>
      <c r="D109" s="62">
        <f>HLOOKUP(D4,'D&amp;V'!Y142:AL143,2,FALSE)</f>
        <v>44</v>
      </c>
      <c r="E109" s="62">
        <f>HLOOKUP(E4,'D&amp;V'!Z142:AM143,2,FALSE)</f>
        <v>44</v>
      </c>
      <c r="F109" s="62">
        <f>HLOOKUP(F4,'D&amp;V'!AA142:AM143,2,FALSE)</f>
        <v>55</v>
      </c>
      <c r="G109" s="62">
        <f>HLOOKUP(G4,'D&amp;V'!AB142:AM143,2,FALSE)</f>
        <v>53</v>
      </c>
      <c r="H109" s="62">
        <f>HLOOKUP(H4,'D&amp;V'!AC142:AM143,2,FALSE)</f>
        <v>51</v>
      </c>
      <c r="I109" s="62" t="str">
        <f>HLOOKUP(I4,'D&amp;V'!AD142:AM143,2,FALSE)</f>
        <v/>
      </c>
      <c r="J109" s="62" t="str">
        <f>HLOOKUP(J4,'D&amp;V'!AE142:AN143,2,FALSE)</f>
        <v/>
      </c>
      <c r="K109" s="62" t="str">
        <f>HLOOKUP(K4,'D&amp;V'!AF142:AO143,2,FALSE)</f>
        <v/>
      </c>
      <c r="L109" s="62" t="str">
        <f>HLOOKUP(L4,'D&amp;V'!AG142:AP143,2,FALSE)</f>
        <v/>
      </c>
      <c r="M109" s="62" t="str">
        <f>HLOOKUP(M4,'D&amp;V'!AH142:AQ143,2,FALSE)</f>
        <v/>
      </c>
      <c r="N109" s="62" t="str">
        <f>HLOOKUP(N4,'D&amp;V'!AI142:AR143,2,FALSE)</f>
        <v/>
      </c>
      <c r="O109" s="62" t="str">
        <f>HLOOKUP(O4,'D&amp;V'!AJ142:AS143,2,FALSE)</f>
        <v/>
      </c>
      <c r="P109" s="62" t="str">
        <f>HLOOKUP(P4,'D&amp;V'!AK142:AS143,2,FALSE)</f>
        <v/>
      </c>
      <c r="Q109" s="96"/>
      <c r="Z109" s="112"/>
      <c r="AA109" s="112"/>
      <c r="AB109" s="112"/>
      <c r="AC109" s="112"/>
    </row>
    <row r="110" spans="2:29" ht="7.5" customHeight="1" x14ac:dyDescent="0.25">
      <c r="B110" s="114"/>
      <c r="C110" s="1"/>
      <c r="Q110" s="92"/>
      <c r="Z110" s="112"/>
      <c r="AA110" s="112"/>
      <c r="AB110" s="112"/>
      <c r="AC110" s="112"/>
    </row>
    <row r="111" spans="2:29" x14ac:dyDescent="0.25">
      <c r="B111" s="114"/>
      <c r="C111" s="1" t="s">
        <v>1</v>
      </c>
      <c r="D111" s="116" t="s">
        <v>0</v>
      </c>
      <c r="E111" s="116"/>
      <c r="F111" s="116"/>
      <c r="G111" s="116" t="s">
        <v>259</v>
      </c>
      <c r="H111" s="116"/>
      <c r="I111" s="116"/>
      <c r="J111" s="116"/>
      <c r="K111" s="117" t="s">
        <v>253</v>
      </c>
      <c r="L111" s="117"/>
      <c r="M111" s="117"/>
      <c r="N111" s="124" t="str">
        <f>TEXT('D&amp;V'!AR6,"0,0")&amp;" ("&amp;TEXT('D&amp;V'!AR8,"dd-mmm")&amp;")"</f>
        <v>628 (22-Dec)</v>
      </c>
      <c r="O111" s="124"/>
      <c r="P111" s="124"/>
      <c r="Q111" s="97"/>
      <c r="Z111" s="112"/>
      <c r="AA111" s="112"/>
      <c r="AB111" s="112"/>
      <c r="AC111" s="112"/>
    </row>
    <row r="112" spans="2:29" ht="7.5" customHeight="1" x14ac:dyDescent="0.25">
      <c r="B112" s="114"/>
      <c r="Z112" s="112"/>
      <c r="AA112" s="112"/>
      <c r="AB112" s="112"/>
      <c r="AC112" s="112"/>
    </row>
    <row r="113" spans="2:29" ht="15" customHeight="1" x14ac:dyDescent="0.25">
      <c r="B113" s="114"/>
      <c r="C113" s="12" t="s">
        <v>17</v>
      </c>
      <c r="Z113" s="112"/>
      <c r="AA113" s="112"/>
      <c r="AB113" s="112"/>
      <c r="AC113" s="112"/>
    </row>
    <row r="114" spans="2:29" x14ac:dyDescent="0.25">
      <c r="B114" s="114"/>
      <c r="C114" s="1" t="s">
        <v>0</v>
      </c>
      <c r="D114" s="14">
        <v>212.71428571428572</v>
      </c>
      <c r="E114" s="14">
        <v>211.14285714285714</v>
      </c>
      <c r="F114" s="14">
        <v>214.28571428571428</v>
      </c>
      <c r="G114" s="14">
        <v>148.71428571428572</v>
      </c>
      <c r="H114" s="14">
        <v>141.42857142857142</v>
      </c>
      <c r="I114" s="14">
        <v>125.71428571428571</v>
      </c>
      <c r="J114" s="14">
        <v>117.42857142857143</v>
      </c>
      <c r="K114" s="14">
        <v>143.71428571428572</v>
      </c>
      <c r="L114" s="14">
        <v>139.42857142857142</v>
      </c>
      <c r="M114" s="14">
        <v>160</v>
      </c>
      <c r="N114" s="14">
        <v>143.42857142857142</v>
      </c>
      <c r="O114" s="14">
        <v>157.71428571428572</v>
      </c>
      <c r="P114" s="14">
        <v>112.71428571428571</v>
      </c>
      <c r="Z114" s="112"/>
      <c r="AA114" s="112"/>
      <c r="AB114" s="112"/>
      <c r="AC114" s="112"/>
    </row>
    <row r="115" spans="2:29" ht="7.5" customHeight="1" x14ac:dyDescent="0.25">
      <c r="B115" s="114"/>
      <c r="C115" s="1"/>
      <c r="Z115" s="112"/>
      <c r="AA115" s="112"/>
      <c r="AB115" s="112"/>
      <c r="AC115" s="112"/>
    </row>
    <row r="116" spans="2:29" x14ac:dyDescent="0.25">
      <c r="B116" s="114"/>
      <c r="C116" s="16" t="s">
        <v>253</v>
      </c>
      <c r="D116" s="69">
        <f>IFERROR(VLOOKUP(D$4,'D&amp;V'!$BH$5:$BO$19,2,FALSE),"")</f>
        <v>135.28571428571428</v>
      </c>
      <c r="E116" s="69">
        <f>IFERROR(VLOOKUP(E$4,'D&amp;V'!$BH$5:$BO$19,2,FALSE),"")</f>
        <v>106.85714285714286</v>
      </c>
      <c r="F116" s="69">
        <f>IFERROR(VLOOKUP(F$4,'D&amp;V'!$BH$5:$BO$19,2,FALSE),"")</f>
        <v>136</v>
      </c>
      <c r="G116" s="69">
        <f>IFERROR(VLOOKUP(G$4,'D&amp;V'!$BH$5:$BO$19,2,FALSE),"")</f>
        <v>112.71428571428571</v>
      </c>
      <c r="H116" s="69">
        <f>IFERROR(VLOOKUP(H$4,'D&amp;V'!$BH$5:$BO$19,2,FALSE),"")</f>
        <v>67.428571428571431</v>
      </c>
      <c r="I116" s="69" t="str">
        <f>IFERROR(VLOOKUP(I$4,'D&amp;V'!$BH$5:$BO$19,2,FALSE),"")</f>
        <v/>
      </c>
      <c r="J116" s="69" t="str">
        <f>IFERROR(VLOOKUP(J$4,'D&amp;V'!$BH$5:$BO$19,2,FALSE),"")</f>
        <v/>
      </c>
      <c r="K116" s="69" t="str">
        <f>IFERROR(VLOOKUP(K$4,'D&amp;V'!$BH$5:$BO$19,2,FALSE),"")</f>
        <v/>
      </c>
      <c r="L116" s="69" t="str">
        <f>IFERROR(VLOOKUP(L$4,'D&amp;V'!$BH$5:$BO$19,2,FALSE),"")</f>
        <v/>
      </c>
      <c r="M116" s="69" t="str">
        <f>IFERROR(VLOOKUP(M$4,'D&amp;V'!$BH$5:$BO$19,2,FALSE),"")</f>
        <v/>
      </c>
      <c r="N116" s="69" t="str">
        <f>IFERROR(VLOOKUP(N$4,'D&amp;V'!$BH$5:$BO$19,2,FALSE),"")</f>
        <v/>
      </c>
      <c r="O116" s="69" t="str">
        <f>IFERROR(VLOOKUP(O$4,'D&amp;V'!$BH$5:$BO$19,2,FALSE),"")</f>
        <v/>
      </c>
      <c r="P116" s="69" t="str">
        <f>IFERROR(VLOOKUP(P$4,'D&amp;V'!$BH$5:$BO$19,2,FALSE),"")</f>
        <v/>
      </c>
      <c r="Q116" s="93" t="str">
        <f>IFERROR(VLOOKUP(Q$4,'D&amp;V'!$BH$5:$BO$19,2,FALSE),"")</f>
        <v/>
      </c>
      <c r="Z116" s="112"/>
      <c r="AA116" s="112"/>
      <c r="AB116" s="112"/>
      <c r="AC116" s="112"/>
    </row>
    <row r="117" spans="2:29" x14ac:dyDescent="0.25">
      <c r="B117" s="114"/>
      <c r="C117" s="1" t="s">
        <v>2</v>
      </c>
      <c r="D117" s="68">
        <f>IFERROR(VLOOKUP(D$4,'D&amp;V'!$BH$5:$BO$19,3,FALSE),"")</f>
        <v>15.142857142857142</v>
      </c>
      <c r="E117" s="68">
        <f>IFERROR(VLOOKUP(E$4,'D&amp;V'!$BH$5:$BO$19,3,FALSE),"")</f>
        <v>17.714285714285715</v>
      </c>
      <c r="F117" s="68">
        <f>IFERROR(VLOOKUP(F$4,'D&amp;V'!$BH$5:$BO$19,3,FALSE),"")</f>
        <v>28.714285714285715</v>
      </c>
      <c r="G117" s="68">
        <f>IFERROR(VLOOKUP(G$4,'D&amp;V'!$BH$5:$BO$19,3,FALSE),"")</f>
        <v>24.857142857142858</v>
      </c>
      <c r="H117" s="68">
        <f>IFERROR(VLOOKUP(H$4,'D&amp;V'!$BH$5:$BO$19,3,FALSE),"")</f>
        <v>12</v>
      </c>
      <c r="I117" s="68" t="str">
        <f>IFERROR(VLOOKUP(I$4,'D&amp;V'!$BH$5:$BO$19,3,FALSE),"")</f>
        <v/>
      </c>
      <c r="J117" s="68" t="str">
        <f>IFERROR(VLOOKUP(J$4,'D&amp;V'!$BH$5:$BO$19,3,FALSE),"")</f>
        <v/>
      </c>
      <c r="K117" s="68" t="str">
        <f>IFERROR(VLOOKUP(K$4,'D&amp;V'!$BH$5:$BO$19,3,FALSE),"")</f>
        <v/>
      </c>
      <c r="L117" s="68" t="str">
        <f>IFERROR(VLOOKUP(L$4,'D&amp;V'!$BH$5:$BO$19,3,FALSE),"")</f>
        <v/>
      </c>
      <c r="M117" s="68" t="str">
        <f>IFERROR(VLOOKUP(M$4,'D&amp;V'!$BH$5:$BO$19,3,FALSE),"")</f>
        <v/>
      </c>
      <c r="N117" s="68" t="str">
        <f>IFERROR(VLOOKUP(N$4,'D&amp;V'!$BH$5:$BO$19,3,FALSE),"")</f>
        <v/>
      </c>
      <c r="O117" s="68" t="str">
        <f>IFERROR(VLOOKUP(O$4,'D&amp;V'!$BH$5:$BO$19,3,FALSE),"")</f>
        <v/>
      </c>
      <c r="P117" s="68" t="str">
        <f>IFERROR(VLOOKUP(P$4,'D&amp;V'!$BH$5:$BO$19,3,FALSE),"")</f>
        <v/>
      </c>
      <c r="Q117" s="98" t="str">
        <f>IFERROR(VLOOKUP(Q$4,'D&amp;V'!$BH$5:$BO$19,3,FALSE),"")</f>
        <v/>
      </c>
      <c r="Z117" s="112"/>
      <c r="AA117" s="112"/>
      <c r="AB117" s="112"/>
      <c r="AC117" s="112"/>
    </row>
    <row r="118" spans="2:29" x14ac:dyDescent="0.25">
      <c r="B118" s="114"/>
      <c r="C118" s="1" t="s">
        <v>29</v>
      </c>
      <c r="D118" s="68">
        <f>IFERROR(VLOOKUP(D$4,'D&amp;V'!$BH$5:$BO$19,4,FALSE),"")</f>
        <v>53.142857142857146</v>
      </c>
      <c r="E118" s="68">
        <f>IFERROR(VLOOKUP(E$4,'D&amp;V'!$BH$5:$BO$19,4,FALSE),"")</f>
        <v>21.428571428571427</v>
      </c>
      <c r="F118" s="68">
        <f>IFERROR(VLOOKUP(F$4,'D&amp;V'!$BH$5:$BO$19,4,FALSE),"")</f>
        <v>27.285714285714285</v>
      </c>
      <c r="G118" s="68">
        <f>IFERROR(VLOOKUP(G$4,'D&amp;V'!$BH$5:$BO$19,4,FALSE),"")</f>
        <v>28.857142857142858</v>
      </c>
      <c r="H118" s="68">
        <f>IFERROR(VLOOKUP(H$4,'D&amp;V'!$BH$5:$BO$19,4,FALSE),"")</f>
        <v>9.8571428571428577</v>
      </c>
      <c r="I118" s="68" t="str">
        <f>IFERROR(VLOOKUP(I$4,'D&amp;V'!$BH$5:$BO$19,4,FALSE),"")</f>
        <v/>
      </c>
      <c r="J118" s="68" t="str">
        <f>IFERROR(VLOOKUP(J$4,'D&amp;V'!$BH$5:$BO$19,4,FALSE),"")</f>
        <v/>
      </c>
      <c r="K118" s="68" t="str">
        <f>IFERROR(VLOOKUP(K$4,'D&amp;V'!$BH$5:$BO$19,4,FALSE),"")</f>
        <v/>
      </c>
      <c r="L118" s="68" t="str">
        <f>IFERROR(VLOOKUP(L$4,'D&amp;V'!$BH$5:$BO$19,4,FALSE),"")</f>
        <v/>
      </c>
      <c r="M118" s="68" t="str">
        <f>IFERROR(VLOOKUP(M$4,'D&amp;V'!$BH$5:$BO$19,4,FALSE),"")</f>
        <v/>
      </c>
      <c r="N118" s="68" t="str">
        <f>IFERROR(VLOOKUP(N$4,'D&amp;V'!$BH$5:$BO$19,4,FALSE),"")</f>
        <v/>
      </c>
      <c r="O118" s="68" t="str">
        <f>IFERROR(VLOOKUP(O$4,'D&amp;V'!$BH$5:$BO$19,4,FALSE),"")</f>
        <v/>
      </c>
      <c r="P118" s="68" t="str">
        <f>IFERROR(VLOOKUP(P$4,'D&amp;V'!$BH$5:$BO$19,4,FALSE),"")</f>
        <v/>
      </c>
      <c r="Q118" s="98" t="str">
        <f>IFERROR(VLOOKUP(Q$4,'D&amp;V'!$BH$5:$BO$19,4,FALSE),"")</f>
        <v/>
      </c>
      <c r="Z118" s="112"/>
      <c r="AA118" s="112"/>
      <c r="AB118" s="112"/>
      <c r="AC118" s="112"/>
    </row>
    <row r="119" spans="2:29" x14ac:dyDescent="0.25">
      <c r="B119" s="114"/>
      <c r="C119" s="1" t="s">
        <v>3</v>
      </c>
      <c r="D119" s="68">
        <f>IFERROR(VLOOKUP(D$4,'D&amp;V'!$BH$5:$BO$19,5,FALSE),"")</f>
        <v>52.857142857142854</v>
      </c>
      <c r="E119" s="68">
        <f>IFERROR(VLOOKUP(E$4,'D&amp;V'!$BH$5:$BO$19,5,FALSE),"")</f>
        <v>51.285714285714285</v>
      </c>
      <c r="F119" s="68">
        <f>IFERROR(VLOOKUP(F$4,'D&amp;V'!$BH$5:$BO$19,5,FALSE),"")</f>
        <v>69.714285714285708</v>
      </c>
      <c r="G119" s="68">
        <f>IFERROR(VLOOKUP(G$4,'D&amp;V'!$BH$5:$BO$19,5,FALSE),"")</f>
        <v>40.714285714285715</v>
      </c>
      <c r="H119" s="68">
        <f>IFERROR(VLOOKUP(H$4,'D&amp;V'!$BH$5:$BO$19,5,FALSE),"")</f>
        <v>35</v>
      </c>
      <c r="I119" s="68" t="str">
        <f>IFERROR(VLOOKUP(I$4,'D&amp;V'!$BH$5:$BO$19,5,FALSE),"")</f>
        <v/>
      </c>
      <c r="J119" s="68" t="str">
        <f>IFERROR(VLOOKUP(J$4,'D&amp;V'!$BH$5:$BO$19,5,FALSE),"")</f>
        <v/>
      </c>
      <c r="K119" s="68" t="str">
        <f>IFERROR(VLOOKUP(K$4,'D&amp;V'!$BH$5:$BO$19,5,FALSE),"")</f>
        <v/>
      </c>
      <c r="L119" s="68" t="str">
        <f>IFERROR(VLOOKUP(L$4,'D&amp;V'!$BH$5:$BO$19,5,FALSE),"")</f>
        <v/>
      </c>
      <c r="M119" s="68" t="str">
        <f>IFERROR(VLOOKUP(M$4,'D&amp;V'!$BH$5:$BO$19,5,FALSE),"")</f>
        <v/>
      </c>
      <c r="N119" s="68" t="str">
        <f>IFERROR(VLOOKUP(N$4,'D&amp;V'!$BH$5:$BO$19,5,FALSE),"")</f>
        <v/>
      </c>
      <c r="O119" s="68" t="str">
        <f>IFERROR(VLOOKUP(O$4,'D&amp;V'!$BH$5:$BO$19,5,FALSE),"")</f>
        <v/>
      </c>
      <c r="P119" s="68" t="str">
        <f>IFERROR(VLOOKUP(P$4,'D&amp;V'!$BH$5:$BO$19,5,FALSE),"")</f>
        <v/>
      </c>
      <c r="Q119" s="98" t="str">
        <f>IFERROR(VLOOKUP(Q$4,'D&amp;V'!$BH$5:$BO$19,5,FALSE),"")</f>
        <v/>
      </c>
      <c r="Z119" s="112"/>
      <c r="AA119" s="112"/>
      <c r="AB119" s="112"/>
      <c r="AC119" s="112"/>
    </row>
    <row r="120" spans="2:29" x14ac:dyDescent="0.25">
      <c r="B120" s="114"/>
      <c r="C120" s="1" t="s">
        <v>270</v>
      </c>
      <c r="D120" s="68">
        <f>IFERROR(VLOOKUP(D$4,'D&amp;V'!$BH$5:$BO$19,6,FALSE),"")</f>
        <v>10.714285714285714</v>
      </c>
      <c r="E120" s="68">
        <f>IFERROR(VLOOKUP(E$4,'D&amp;V'!$BH$5:$BO$19,6,FALSE),"")</f>
        <v>10.428571428571429</v>
      </c>
      <c r="F120" s="68">
        <f>IFERROR(VLOOKUP(F$4,'D&amp;V'!$BH$5:$BO$19,6,FALSE),"")</f>
        <v>6.8571428571428568</v>
      </c>
      <c r="G120" s="68">
        <f>IFERROR(VLOOKUP(G$4,'D&amp;V'!$BH$5:$BO$19,6,FALSE),"")</f>
        <v>0.7142857142857143</v>
      </c>
      <c r="H120" s="68">
        <f>IFERROR(VLOOKUP(H$4,'D&amp;V'!$BH$5:$BO$19,6,FALSE),"")</f>
        <v>1.1428571428571428</v>
      </c>
      <c r="I120" s="68" t="str">
        <f>IFERROR(VLOOKUP(I$4,'D&amp;V'!$BH$5:$BO$19,6,FALSE),"")</f>
        <v/>
      </c>
      <c r="J120" s="68" t="str">
        <f>IFERROR(VLOOKUP(J$4,'D&amp;V'!$BH$5:$BO$19,6,FALSE),"")</f>
        <v/>
      </c>
      <c r="K120" s="68" t="str">
        <f>IFERROR(VLOOKUP(K$4,'D&amp;V'!$BH$5:$BO$19,6,FALSE),"")</f>
        <v/>
      </c>
      <c r="L120" s="68" t="str">
        <f>IFERROR(VLOOKUP(L$4,'D&amp;V'!$BH$5:$BO$19,6,FALSE),"")</f>
        <v/>
      </c>
      <c r="M120" s="68" t="str">
        <f>IFERROR(VLOOKUP(M$4,'D&amp;V'!$BH$5:$BO$19,6,FALSE),"")</f>
        <v/>
      </c>
      <c r="N120" s="68" t="str">
        <f>IFERROR(VLOOKUP(N$4,'D&amp;V'!$BH$5:$BO$19,6,FALSE),"")</f>
        <v/>
      </c>
      <c r="O120" s="68" t="str">
        <f>IFERROR(VLOOKUP(O$4,'D&amp;V'!$BH$5:$BO$19,6,FALSE),"")</f>
        <v/>
      </c>
      <c r="P120" s="68" t="str">
        <f>IFERROR(VLOOKUP(P$4,'D&amp;V'!$BH$5:$BO$19,6,FALSE),"")</f>
        <v/>
      </c>
      <c r="Q120" s="98" t="str">
        <f>IFERROR(VLOOKUP(Q$4,'D&amp;V'!$BH$5:$BO$19,6,FALSE),"")</f>
        <v/>
      </c>
      <c r="Z120" s="112"/>
      <c r="AA120" s="112"/>
      <c r="AB120" s="112"/>
      <c r="AC120" s="112"/>
    </row>
    <row r="121" spans="2:29" x14ac:dyDescent="0.25">
      <c r="B121" s="114"/>
      <c r="C121" s="11" t="s">
        <v>278</v>
      </c>
      <c r="D121" s="68">
        <f>IFERROR(VLOOKUP(D$4,'D&amp;V'!$BH$5:$BO$19,7,FALSE),"")</f>
        <v>3.4285714285714284</v>
      </c>
      <c r="E121" s="68">
        <f>IFERROR(VLOOKUP(E$4,'D&amp;V'!$BH$5:$BO$19,7,FALSE),"")</f>
        <v>6</v>
      </c>
      <c r="F121" s="68">
        <f>IFERROR(VLOOKUP(F$4,'D&amp;V'!$BH$5:$BO$19,7,FALSE),"")</f>
        <v>3.4285714285714284</v>
      </c>
      <c r="G121" s="68">
        <f>IFERROR(VLOOKUP(G$4,'D&amp;V'!$BH$5:$BO$19,7,FALSE),"")</f>
        <v>17.571428571428573</v>
      </c>
      <c r="H121" s="68">
        <f>IFERROR(VLOOKUP(H$4,'D&amp;V'!$BH$5:$BO$19,7,FALSE),"")</f>
        <v>9.4285714285714288</v>
      </c>
      <c r="I121" s="68" t="str">
        <f>IFERROR(VLOOKUP(I$4,'D&amp;V'!$BH$5:$BO$19,7,FALSE),"")</f>
        <v/>
      </c>
      <c r="J121" s="68" t="str">
        <f>IFERROR(VLOOKUP(J$4,'D&amp;V'!$BH$5:$BO$19,7,FALSE),"")</f>
        <v/>
      </c>
      <c r="K121" s="68" t="str">
        <f>IFERROR(VLOOKUP(K$4,'D&amp;V'!$BH$5:$BO$19,7,FALSE),"")</f>
        <v/>
      </c>
      <c r="L121" s="68" t="str">
        <f>IFERROR(VLOOKUP(L$4,'D&amp;V'!$BH$5:$BO$19,7,FALSE),"")</f>
        <v/>
      </c>
      <c r="M121" s="68" t="str">
        <f>IFERROR(VLOOKUP(M$4,'D&amp;V'!$BH$5:$BO$19,7,FALSE),"")</f>
        <v/>
      </c>
      <c r="N121" s="68" t="str">
        <f>IFERROR(VLOOKUP(N$4,'D&amp;V'!$BH$5:$BO$19,7,FALSE),"")</f>
        <v/>
      </c>
      <c r="O121" s="68" t="str">
        <f>IFERROR(VLOOKUP(O$4,'D&amp;V'!$BH$5:$BO$19,7,FALSE),"")</f>
        <v/>
      </c>
      <c r="P121" s="68" t="str">
        <f>IFERROR(VLOOKUP(P$4,'D&amp;V'!$BH$5:$BO$19,7,FALSE),"")</f>
        <v/>
      </c>
      <c r="Q121" s="98" t="str">
        <f>IFERROR(VLOOKUP(Q$4,'D&amp;V'!$BH$5:$BO$19,7,FALSE),"")</f>
        <v/>
      </c>
      <c r="Z121" s="112"/>
      <c r="AA121" s="112"/>
      <c r="AB121" s="112"/>
      <c r="AC121" s="112"/>
    </row>
    <row r="122" spans="2:29" ht="7.5" customHeight="1" x14ac:dyDescent="0.25">
      <c r="B122" s="114"/>
      <c r="Z122" s="112"/>
      <c r="AA122" s="112"/>
      <c r="AB122" s="112"/>
      <c r="AC122" s="112"/>
    </row>
    <row r="123" spans="2:29" x14ac:dyDescent="0.25">
      <c r="B123" s="114"/>
      <c r="C123" s="11" t="s">
        <v>36</v>
      </c>
      <c r="D123" s="62">
        <f>IFERROR(HLOOKUP(D$4,'D&amp;V'!BR143:CE144,2,FALSE),"")</f>
        <v>39</v>
      </c>
      <c r="E123" s="62">
        <f>IFERROR(HLOOKUP(E$4,'D&amp;V'!BS143:CF144,2,FALSE),"")</f>
        <v>34</v>
      </c>
      <c r="F123" s="62">
        <f>IFERROR(HLOOKUP(F$4,'D&amp;V'!BT143:CG144,2,FALSE),"")</f>
        <v>44</v>
      </c>
      <c r="G123" s="62">
        <f>IFERROR(HLOOKUP(G$4,'D&amp;V'!BU143:CG144,2,FALSE),"")</f>
        <v>42</v>
      </c>
      <c r="H123" s="62">
        <f>IFERROR(HLOOKUP(H$4,'D&amp;V'!BV143:CG144,2,FALSE),"")</f>
        <v>41</v>
      </c>
      <c r="I123" s="62" t="str">
        <f>IFERROR(HLOOKUP(I$4,'D&amp;V'!BW143:CG144,2,FALSE),"")</f>
        <v/>
      </c>
      <c r="J123" s="62" t="str">
        <f>IFERROR(HLOOKUP(J$4,'D&amp;V'!BX143:CG144,2,FALSE),"")</f>
        <v/>
      </c>
      <c r="K123" s="62" t="str">
        <f>IFERROR(HLOOKUP(K$4,'D&amp;V'!BY143:CH144,2,FALSE),"")</f>
        <v/>
      </c>
      <c r="L123" s="62" t="str">
        <f>IFERROR(HLOOKUP(L$4,'D&amp;V'!BZ143:CI144,2,FALSE),"")</f>
        <v/>
      </c>
      <c r="M123" s="62" t="str">
        <f>IFERROR(HLOOKUP(M$4,'D&amp;V'!CA143:CJ144,2,FALSE),"")</f>
        <v/>
      </c>
      <c r="N123" s="62" t="str">
        <f>IFERROR(HLOOKUP(N$4,'D&amp;V'!CB143:CK144,2,FALSE),"")</f>
        <v/>
      </c>
      <c r="O123" s="62" t="str">
        <f>IFERROR(HLOOKUP(O$4,'D&amp;V'!CC143:CL144,2,FALSE),"")</f>
        <v/>
      </c>
      <c r="P123" s="62" t="str">
        <f>IFERROR(HLOOKUP(P$4,'D&amp;V'!CD143:CM144,2,FALSE),"")</f>
        <v/>
      </c>
      <c r="Q123" s="96" t="str">
        <f>IFERROR(HLOOKUP(Q$4,'D&amp;V'!CE143:CN144,2,FALSE),"")</f>
        <v/>
      </c>
      <c r="Z123" s="112"/>
      <c r="AA123" s="112"/>
      <c r="AB123" s="112"/>
      <c r="AC123" s="112"/>
    </row>
    <row r="124" spans="2:29" ht="7.5" customHeight="1" x14ac:dyDescent="0.25">
      <c r="B124" s="114"/>
      <c r="C124" s="1"/>
      <c r="Z124" s="112"/>
      <c r="AA124" s="112"/>
      <c r="AB124" s="112"/>
      <c r="AC124" s="112"/>
    </row>
    <row r="125" spans="2:29" x14ac:dyDescent="0.25">
      <c r="B125" s="114"/>
      <c r="C125" s="1" t="s">
        <v>1</v>
      </c>
      <c r="D125" s="116" t="s">
        <v>0</v>
      </c>
      <c r="E125" s="116"/>
      <c r="F125" s="116"/>
      <c r="G125" s="116" t="s">
        <v>260</v>
      </c>
      <c r="H125" s="116"/>
      <c r="I125" s="116"/>
      <c r="J125" s="116"/>
      <c r="K125" s="117" t="s">
        <v>253</v>
      </c>
      <c r="L125" s="117"/>
      <c r="M125" s="117"/>
      <c r="N125" s="125" t="str">
        <f>TEXT('D&amp;V'!CL6,"0,0")&amp;" ("&amp;TEXT('D&amp;V'!CL8,"dd-mmm")&amp;")"</f>
        <v>178 (21-Dec)</v>
      </c>
      <c r="O125" s="126"/>
      <c r="P125" s="127"/>
      <c r="Q125" s="97"/>
      <c r="Z125" s="112"/>
      <c r="AA125" s="112"/>
      <c r="AB125" s="112"/>
      <c r="AC125" s="112"/>
    </row>
    <row r="126" spans="2:29" ht="30" customHeight="1" x14ac:dyDescent="0.25">
      <c r="C126" s="1"/>
    </row>
    <row r="127" spans="2:29" x14ac:dyDescent="0.25">
      <c r="B127" s="114" t="s">
        <v>18</v>
      </c>
      <c r="C127" s="12" t="s">
        <v>20</v>
      </c>
      <c r="D127" s="3"/>
      <c r="E127" s="3"/>
      <c r="F127" s="3"/>
      <c r="G127" s="3"/>
      <c r="H127" s="3"/>
      <c r="I127" s="3"/>
      <c r="J127" s="3"/>
      <c r="K127" s="3"/>
      <c r="L127" s="3"/>
      <c r="M127" s="3"/>
      <c r="N127" s="3"/>
      <c r="O127" s="3"/>
      <c r="P127" s="3"/>
      <c r="Q127" s="3"/>
      <c r="R127" s="3"/>
      <c r="Z127" s="115" t="s">
        <v>37</v>
      </c>
      <c r="AA127" s="115"/>
      <c r="AB127" s="115"/>
      <c r="AC127" s="115"/>
    </row>
    <row r="128" spans="2:29" x14ac:dyDescent="0.25">
      <c r="B128" s="114"/>
      <c r="C128" s="1" t="s">
        <v>0</v>
      </c>
      <c r="D128" s="7">
        <v>0.8630408583757726</v>
      </c>
      <c r="E128" s="7">
        <v>0.85207585453410328</v>
      </c>
      <c r="F128" s="7">
        <v>0.82160617095422683</v>
      </c>
      <c r="G128" s="7">
        <v>0.81886438291881747</v>
      </c>
      <c r="H128" s="7">
        <v>0.86804004620716213</v>
      </c>
      <c r="I128" s="7">
        <v>0.86891241578440803</v>
      </c>
      <c r="J128" s="7">
        <v>0.86613281249999996</v>
      </c>
      <c r="K128" s="7">
        <v>0.85156464183605529</v>
      </c>
      <c r="L128" s="7">
        <v>0.85008205048058139</v>
      </c>
      <c r="M128" s="7">
        <v>0.8552100082356171</v>
      </c>
      <c r="N128" s="7">
        <v>0.84721788058768366</v>
      </c>
      <c r="O128" s="7">
        <v>0.8570925041121642</v>
      </c>
      <c r="P128" s="7">
        <v>0.8521715141483408</v>
      </c>
      <c r="Z128" s="115"/>
      <c r="AA128" s="115"/>
      <c r="AB128" s="115"/>
      <c r="AC128" s="115"/>
    </row>
    <row r="129" spans="2:29" ht="7.5" customHeight="1" x14ac:dyDescent="0.25">
      <c r="B129" s="114"/>
      <c r="C129" s="1"/>
      <c r="D129" s="31">
        <v>0.85</v>
      </c>
      <c r="E129" s="31">
        <v>0.85</v>
      </c>
      <c r="F129" s="31">
        <v>0.85</v>
      </c>
      <c r="G129" s="31">
        <v>0.85</v>
      </c>
      <c r="H129" s="31">
        <v>0.85</v>
      </c>
      <c r="I129" s="31">
        <v>0.85</v>
      </c>
      <c r="J129" s="31">
        <v>0.85</v>
      </c>
      <c r="K129" s="31">
        <v>0.85</v>
      </c>
      <c r="L129" s="31">
        <v>0.85</v>
      </c>
      <c r="M129" s="31">
        <v>0.85</v>
      </c>
      <c r="N129" s="31">
        <v>0.85</v>
      </c>
      <c r="O129" s="31">
        <v>0.85</v>
      </c>
      <c r="P129" s="31">
        <v>0.85</v>
      </c>
      <c r="Q129" s="31">
        <v>0.85</v>
      </c>
      <c r="Z129" s="115"/>
      <c r="AA129" s="115"/>
      <c r="AB129" s="115"/>
      <c r="AC129" s="115"/>
    </row>
    <row r="130" spans="2:29" x14ac:dyDescent="0.25">
      <c r="B130" s="114"/>
      <c r="C130" s="16" t="s">
        <v>253</v>
      </c>
      <c r="D130" s="70">
        <f>IFERROR(VLOOKUP(D$4,'Critical care'!$W$3:$AD$17,2,FALSE),"")</f>
        <v>0.8214008988067566</v>
      </c>
      <c r="E130" s="70">
        <f>IFERROR(VLOOKUP(E$4,'Critical care'!$W$3:$AD$17,2,FALSE),"")</f>
        <v>0.81303841676367872</v>
      </c>
      <c r="F130" s="70">
        <f>IFERROR(VLOOKUP(F$4,'Critical care'!$W$3:$AD$17,2,FALSE),"")</f>
        <v>0.80945519685346001</v>
      </c>
      <c r="G130" s="70">
        <f>IFERROR(VLOOKUP(G$4,'Critical care'!$W$3:$AD$17,2,FALSE),"")</f>
        <v>0.76777882205513781</v>
      </c>
      <c r="H130" s="70">
        <f>IFERROR(VLOOKUP(H$4,'Critical care'!$W$3:$AD$17,2,FALSE),"")</f>
        <v>0.832857422256992</v>
      </c>
      <c r="I130" s="70" t="str">
        <f>IFERROR(VLOOKUP(I$4,'Critical care'!$W$3:$AD$17,2,FALSE),"")</f>
        <v/>
      </c>
      <c r="J130" s="70" t="str">
        <f>IFERROR(VLOOKUP(J$4,'Critical care'!$W$3:$AD$17,2,FALSE),"")</f>
        <v/>
      </c>
      <c r="K130" s="70" t="str">
        <f>IFERROR(VLOOKUP(K$4,'Critical care'!$W$3:$AD$17,2,FALSE),"")</f>
        <v/>
      </c>
      <c r="L130" s="70" t="str">
        <f>IFERROR(VLOOKUP(L$4,'Critical care'!$W$3:$AD$17,2,FALSE),"")</f>
        <v/>
      </c>
      <c r="M130" s="70" t="str">
        <f>IFERROR(VLOOKUP(M$4,'Critical care'!$W$3:$AD$17,2,FALSE),"")</f>
        <v/>
      </c>
      <c r="N130" s="70" t="str">
        <f>IFERROR(VLOOKUP(N$4,'Critical care'!$W$3:$AD$17,2,FALSE),"")</f>
        <v/>
      </c>
      <c r="O130" s="70" t="str">
        <f>IFERROR(VLOOKUP(O$4,'Critical care'!$W$3:$AD$17,2,FALSE),"")</f>
        <v/>
      </c>
      <c r="P130" s="70" t="str">
        <f>IFERROR(VLOOKUP(P$4,'Critical care'!$W$3:$AD$17,2,FALSE),"")</f>
        <v/>
      </c>
      <c r="Q130" s="99" t="str">
        <f>IFERROR(VLOOKUP(Q$4,'Critical care'!$W$3:$AD$17,2,FALSE),"")</f>
        <v/>
      </c>
      <c r="Z130" s="115"/>
      <c r="AA130" s="115"/>
      <c r="AB130" s="115"/>
      <c r="AC130" s="115"/>
    </row>
    <row r="131" spans="2:29" ht="15" customHeight="1" x14ac:dyDescent="0.25">
      <c r="B131" s="114"/>
      <c r="C131" s="1" t="s">
        <v>2</v>
      </c>
      <c r="D131" s="67">
        <f>IFERROR(VLOOKUP(D$4,'Critical care'!$W$3:$AD$17,3,FALSE),"")</f>
        <v>0.89990783410138253</v>
      </c>
      <c r="E131" s="67">
        <f>IFERROR(VLOOKUP(E$4,'Critical care'!$W$3:$AD$17,3,FALSE),"")</f>
        <v>0.87301879837817908</v>
      </c>
      <c r="F131" s="67">
        <f>IFERROR(VLOOKUP(F$4,'Critical care'!$W$3:$AD$17,3,FALSE),"")</f>
        <v>0.87479131886477457</v>
      </c>
      <c r="G131" s="67">
        <f>IFERROR(VLOOKUP(G$4,'Critical care'!$W$3:$AD$17,3,FALSE),"")</f>
        <v>0.83286752375628847</v>
      </c>
      <c r="H131" s="67">
        <f>IFERROR(VLOOKUP(H$4,'Critical care'!$W$3:$AD$17,3,FALSE),"")</f>
        <v>0.88049962714392249</v>
      </c>
      <c r="I131" s="67" t="str">
        <f>IFERROR(VLOOKUP(I$4,'Critical care'!$W$3:$AD$17,3,FALSE),"")</f>
        <v/>
      </c>
      <c r="J131" s="67" t="str">
        <f>IFERROR(VLOOKUP(J$4,'Critical care'!$W$3:$AD$17,3,FALSE),"")</f>
        <v/>
      </c>
      <c r="K131" s="67" t="str">
        <f>IFERROR(VLOOKUP(K$4,'Critical care'!$W$3:$AD$17,3,FALSE),"")</f>
        <v/>
      </c>
      <c r="L131" s="67" t="str">
        <f>IFERROR(VLOOKUP(L$4,'Critical care'!$W$3:$AD$17,3,FALSE),"")</f>
        <v/>
      </c>
      <c r="M131" s="67" t="str">
        <f>IFERROR(VLOOKUP(M$4,'Critical care'!$W$3:$AD$17,3,FALSE),"")</f>
        <v/>
      </c>
      <c r="N131" s="67" t="str">
        <f>IFERROR(VLOOKUP(N$4,'Critical care'!$W$3:$AD$17,3,FALSE),"")</f>
        <v/>
      </c>
      <c r="O131" s="67" t="str">
        <f>IFERROR(VLOOKUP(O$4,'Critical care'!$W$3:$AD$17,3,FALSE),"")</f>
        <v/>
      </c>
      <c r="P131" s="67" t="str">
        <f>IFERROR(VLOOKUP(P$4,'Critical care'!$W$3:$AD$17,3,FALSE),"")</f>
        <v/>
      </c>
      <c r="Q131" s="100" t="str">
        <f>IFERROR(VLOOKUP(Q$4,'Critical care'!$W$3:$AD$17,3,FALSE),"")</f>
        <v/>
      </c>
      <c r="Z131" s="112" t="s">
        <v>344</v>
      </c>
      <c r="AA131" s="112"/>
      <c r="AB131" s="112"/>
      <c r="AC131" s="112"/>
    </row>
    <row r="132" spans="2:29" x14ac:dyDescent="0.25">
      <c r="B132" s="114"/>
      <c r="C132" s="1" t="s">
        <v>29</v>
      </c>
      <c r="D132" s="67">
        <f>IFERROR(VLOOKUP(D$4,'Critical care'!$W$3:$AD$17,4,FALSE),"")</f>
        <v>0.77935222672064774</v>
      </c>
      <c r="E132" s="67">
        <f>IFERROR(VLOOKUP(E$4,'Critical care'!$W$3:$AD$17,4,FALSE),"")</f>
        <v>0.79121993625036224</v>
      </c>
      <c r="F132" s="67">
        <f>IFERROR(VLOOKUP(F$4,'Critical care'!$W$3:$AD$17,4,FALSE),"")</f>
        <v>0.79644097222222221</v>
      </c>
      <c r="G132" s="67">
        <f>IFERROR(VLOOKUP(G$4,'Critical care'!$W$3:$AD$17,4,FALSE),"")</f>
        <v>0.76077114064553819</v>
      </c>
      <c r="H132" s="67">
        <f>IFERROR(VLOOKUP(H$4,'Critical care'!$W$3:$AD$17,4,FALSE),"")</f>
        <v>0.82305669199298659</v>
      </c>
      <c r="I132" s="67" t="str">
        <f>IFERROR(VLOOKUP(I$4,'Critical care'!$W$3:$AD$17,4,FALSE),"")</f>
        <v/>
      </c>
      <c r="J132" s="67" t="str">
        <f>IFERROR(VLOOKUP(J$4,'Critical care'!$W$3:$AD$17,4,FALSE),"")</f>
        <v/>
      </c>
      <c r="K132" s="67" t="str">
        <f>IFERROR(VLOOKUP(K$4,'Critical care'!$W$3:$AD$17,4,FALSE),"")</f>
        <v/>
      </c>
      <c r="L132" s="67" t="str">
        <f>IFERROR(VLOOKUP(L$4,'Critical care'!$W$3:$AD$17,4,FALSE),"")</f>
        <v/>
      </c>
      <c r="M132" s="67" t="str">
        <f>IFERROR(VLOOKUP(M$4,'Critical care'!$W$3:$AD$17,4,FALSE),"")</f>
        <v/>
      </c>
      <c r="N132" s="67" t="str">
        <f>IFERROR(VLOOKUP(N$4,'Critical care'!$W$3:$AD$17,4,FALSE),"")</f>
        <v/>
      </c>
      <c r="O132" s="67" t="str">
        <f>IFERROR(VLOOKUP(O$4,'Critical care'!$W$3:$AD$17,4,FALSE),"")</f>
        <v/>
      </c>
      <c r="P132" s="67" t="str">
        <f>IFERROR(VLOOKUP(P$4,'Critical care'!$W$3:$AD$17,4,FALSE),"")</f>
        <v/>
      </c>
      <c r="Q132" s="100" t="str">
        <f>IFERROR(VLOOKUP(Q$4,'Critical care'!$W$3:$AD$17,4,FALSE),"")</f>
        <v/>
      </c>
      <c r="Z132" s="112"/>
      <c r="AA132" s="112"/>
      <c r="AB132" s="112"/>
      <c r="AC132" s="112"/>
    </row>
    <row r="133" spans="2:29" x14ac:dyDescent="0.25">
      <c r="B133" s="114"/>
      <c r="C133" s="1" t="s">
        <v>3</v>
      </c>
      <c r="D133" s="67">
        <f>IFERROR(VLOOKUP(D$4,'Critical care'!$W$3:$AD$17,5,FALSE),"")</f>
        <v>0.80757763975155283</v>
      </c>
      <c r="E133" s="67">
        <f>IFERROR(VLOOKUP(E$4,'Critical care'!$W$3:$AD$17,5,FALSE),"")</f>
        <v>0.78733988309911707</v>
      </c>
      <c r="F133" s="67">
        <f>IFERROR(VLOOKUP(F$4,'Critical care'!$W$3:$AD$17,5,FALSE),"")</f>
        <v>0.77931636726546905</v>
      </c>
      <c r="G133" s="67">
        <f>IFERROR(VLOOKUP(G$4,'Critical care'!$W$3:$AD$17,5,FALSE),"")</f>
        <v>0.74475000000000002</v>
      </c>
      <c r="H133" s="67">
        <f>IFERROR(VLOOKUP(H$4,'Critical care'!$W$3:$AD$17,5,FALSE),"")</f>
        <v>0.81941674975074774</v>
      </c>
      <c r="I133" s="67" t="str">
        <f>IFERROR(VLOOKUP(I$4,'Critical care'!$W$3:$AD$17,5,FALSE),"")</f>
        <v/>
      </c>
      <c r="J133" s="67" t="str">
        <f>IFERROR(VLOOKUP(J$4,'Critical care'!$W$3:$AD$17,5,FALSE),"")</f>
        <v/>
      </c>
      <c r="K133" s="67" t="str">
        <f>IFERROR(VLOOKUP(K$4,'Critical care'!$W$3:$AD$17,5,FALSE),"")</f>
        <v/>
      </c>
      <c r="L133" s="67" t="str">
        <f>IFERROR(VLOOKUP(L$4,'Critical care'!$W$3:$AD$17,5,FALSE),"")</f>
        <v/>
      </c>
      <c r="M133" s="67" t="str">
        <f>IFERROR(VLOOKUP(M$4,'Critical care'!$W$3:$AD$17,5,FALSE),"")</f>
        <v/>
      </c>
      <c r="N133" s="67" t="str">
        <f>IFERROR(VLOOKUP(N$4,'Critical care'!$W$3:$AD$17,5,FALSE),"")</f>
        <v/>
      </c>
      <c r="O133" s="67" t="str">
        <f>IFERROR(VLOOKUP(O$4,'Critical care'!$W$3:$AD$17,5,FALSE),"")</f>
        <v/>
      </c>
      <c r="P133" s="67" t="str">
        <f>IFERROR(VLOOKUP(P$4,'Critical care'!$W$3:$AD$17,5,FALSE),"")</f>
        <v/>
      </c>
      <c r="Q133" s="100" t="str">
        <f>IFERROR(VLOOKUP(Q$4,'Critical care'!$W$3:$AD$17,5,FALSE),"")</f>
        <v/>
      </c>
      <c r="Z133" s="112"/>
      <c r="AA133" s="112"/>
      <c r="AB133" s="112"/>
      <c r="AC133" s="112"/>
    </row>
    <row r="134" spans="2:29" x14ac:dyDescent="0.25">
      <c r="B134" s="114"/>
      <c r="C134" s="1" t="s">
        <v>270</v>
      </c>
      <c r="D134" s="67">
        <f>IFERROR(VLOOKUP(D$4,'Critical care'!$W$3:$AD$17,6,FALSE),"")</f>
        <v>0.83380018674136325</v>
      </c>
      <c r="E134" s="67">
        <f>IFERROR(VLOOKUP(E$4,'Critical care'!$W$3:$AD$17,6,FALSE),"")</f>
        <v>0.83089380255372158</v>
      </c>
      <c r="F134" s="67">
        <f>IFERROR(VLOOKUP(F$4,'Critical care'!$W$3:$AD$17,6,FALSE),"")</f>
        <v>0.82728133880644139</v>
      </c>
      <c r="G134" s="67">
        <f>IFERROR(VLOOKUP(G$4,'Critical care'!$W$3:$AD$17,6,FALSE),"")</f>
        <v>0.78014635698377344</v>
      </c>
      <c r="H134" s="67">
        <f>IFERROR(VLOOKUP(H$4,'Critical care'!$W$3:$AD$17,6,FALSE),"")</f>
        <v>0.84551548037025215</v>
      </c>
      <c r="I134" s="67" t="str">
        <f>IFERROR(VLOOKUP(I$4,'Critical care'!$W$3:$AD$17,6,FALSE),"")</f>
        <v/>
      </c>
      <c r="J134" s="67" t="str">
        <f>IFERROR(VLOOKUP(J$4,'Critical care'!$W$3:$AD$17,6,FALSE),"")</f>
        <v/>
      </c>
      <c r="K134" s="67" t="str">
        <f>IFERROR(VLOOKUP(K$4,'Critical care'!$W$3:$AD$17,6,FALSE),"")</f>
        <v/>
      </c>
      <c r="L134" s="67" t="str">
        <f>IFERROR(VLOOKUP(L$4,'Critical care'!$W$3:$AD$17,6,FALSE),"")</f>
        <v/>
      </c>
      <c r="M134" s="67" t="str">
        <f>IFERROR(VLOOKUP(M$4,'Critical care'!$W$3:$AD$17,6,FALSE),"")</f>
        <v/>
      </c>
      <c r="N134" s="67" t="str">
        <f>IFERROR(VLOOKUP(N$4,'Critical care'!$W$3:$AD$17,6,FALSE),"")</f>
        <v/>
      </c>
      <c r="O134" s="67" t="str">
        <f>IFERROR(VLOOKUP(O$4,'Critical care'!$W$3:$AD$17,6,FALSE),"")</f>
        <v/>
      </c>
      <c r="P134" s="67" t="str">
        <f>IFERROR(VLOOKUP(P$4,'Critical care'!$W$3:$AD$17,6,FALSE),"")</f>
        <v/>
      </c>
      <c r="Q134" s="100" t="str">
        <f>IFERROR(VLOOKUP(Q$4,'Critical care'!$W$3:$AD$17,6,FALSE),"")</f>
        <v/>
      </c>
      <c r="Z134" s="112"/>
      <c r="AA134" s="112"/>
      <c r="AB134" s="112"/>
      <c r="AC134" s="112"/>
    </row>
    <row r="135" spans="2:29" x14ac:dyDescent="0.25">
      <c r="B135" s="114"/>
      <c r="C135" s="11" t="s">
        <v>278</v>
      </c>
      <c r="D135" s="67">
        <f>IFERROR(VLOOKUP(D$4,'Critical care'!$W$3:$AD$17,7,FALSE),"")</f>
        <v>0.79257246376811596</v>
      </c>
      <c r="E135" s="67">
        <f>IFERROR(VLOOKUP(E$4,'Critical care'!$W$3:$AD$17,7,FALSE),"")</f>
        <v>0.80136986301369861</v>
      </c>
      <c r="F135" s="67">
        <f>IFERROR(VLOOKUP(F$4,'Critical care'!$W$3:$AD$17,7,FALSE),"")</f>
        <v>0.77428180574555405</v>
      </c>
      <c r="G135" s="67">
        <f>IFERROR(VLOOKUP(G$4,'Critical care'!$W$3:$AD$17,7,FALSE),"")</f>
        <v>0.69619091326296467</v>
      </c>
      <c r="H135" s="67">
        <f>IFERROR(VLOOKUP(H$4,'Critical care'!$W$3:$AD$17,7,FALSE),"")</f>
        <v>0.7781818181818182</v>
      </c>
      <c r="I135" s="67" t="str">
        <f>IFERROR(VLOOKUP(I$4,'Critical care'!$W$3:$AD$17,7,FALSE),"")</f>
        <v/>
      </c>
      <c r="J135" s="67" t="str">
        <f>IFERROR(VLOOKUP(J$4,'Critical care'!$W$3:$AD$17,7,FALSE),"")</f>
        <v/>
      </c>
      <c r="K135" s="67" t="str">
        <f>IFERROR(VLOOKUP(K$4,'Critical care'!$W$3:$AD$17,7,FALSE),"")</f>
        <v/>
      </c>
      <c r="L135" s="67" t="str">
        <f>IFERROR(VLOOKUP(L$4,'Critical care'!$W$3:$AD$17,7,FALSE),"")</f>
        <v/>
      </c>
      <c r="M135" s="67" t="str">
        <f>IFERROR(VLOOKUP(M$4,'Critical care'!$W$3:$AD$17,7,FALSE),"")</f>
        <v/>
      </c>
      <c r="N135" s="67" t="str">
        <f>IFERROR(VLOOKUP(N$4,'Critical care'!$W$3:$AD$17,7,FALSE),"")</f>
        <v/>
      </c>
      <c r="O135" s="67" t="str">
        <f>IFERROR(VLOOKUP(O$4,'Critical care'!$W$3:$AD$17,7,FALSE),"")</f>
        <v/>
      </c>
      <c r="P135" s="67" t="str">
        <f>IFERROR(VLOOKUP(P$4,'Critical care'!$W$3:$AD$17,7,FALSE),"")</f>
        <v/>
      </c>
      <c r="Q135" s="100" t="str">
        <f>IFERROR(VLOOKUP(Q$4,'Critical care'!$W$3:$AD$17,7,FALSE),"")</f>
        <v/>
      </c>
      <c r="Z135" s="112"/>
      <c r="AA135" s="112"/>
      <c r="AB135" s="112"/>
      <c r="AC135" s="112"/>
    </row>
    <row r="136" spans="2:29" ht="7.5" customHeight="1" x14ac:dyDescent="0.25">
      <c r="B136" s="114"/>
      <c r="Z136" s="112"/>
      <c r="AA136" s="112"/>
      <c r="AB136" s="112"/>
      <c r="AC136" s="112"/>
    </row>
    <row r="137" spans="2:29" x14ac:dyDescent="0.25">
      <c r="B137" s="114"/>
      <c r="C137" s="12" t="s">
        <v>21</v>
      </c>
      <c r="Z137" s="112"/>
      <c r="AA137" s="112"/>
      <c r="AB137" s="112"/>
      <c r="AC137" s="112"/>
    </row>
    <row r="138" spans="2:29" x14ac:dyDescent="0.25">
      <c r="B138" s="114"/>
      <c r="C138" s="1" t="s">
        <v>0</v>
      </c>
      <c r="D138" s="14">
        <v>503.28571428571428</v>
      </c>
      <c r="E138" s="14">
        <v>541.57142857142856</v>
      </c>
      <c r="F138" s="14">
        <v>650.85714285714289</v>
      </c>
      <c r="G138" s="14">
        <v>661.71428571428567</v>
      </c>
      <c r="H138" s="14">
        <v>489.57142857142856</v>
      </c>
      <c r="I138" s="14">
        <v>486.42857142857144</v>
      </c>
      <c r="J138" s="14">
        <v>489.57142857142856</v>
      </c>
      <c r="K138" s="14">
        <v>541.42857142857144</v>
      </c>
      <c r="L138" s="14">
        <v>548.14285714285711</v>
      </c>
      <c r="M138" s="14">
        <v>527.42857142857144</v>
      </c>
      <c r="N138" s="14">
        <v>558.57142857142856</v>
      </c>
      <c r="O138" s="14">
        <v>521.28571428571433</v>
      </c>
      <c r="P138" s="14">
        <v>535.85714285714289</v>
      </c>
      <c r="Z138" s="112"/>
      <c r="AA138" s="112"/>
      <c r="AB138" s="112"/>
      <c r="AC138" s="112"/>
    </row>
    <row r="139" spans="2:29" ht="7.5" customHeight="1" x14ac:dyDescent="0.25">
      <c r="B139" s="114"/>
      <c r="C139" s="1"/>
      <c r="Z139" s="112"/>
      <c r="AA139" s="112"/>
      <c r="AB139" s="112"/>
      <c r="AC139" s="112"/>
    </row>
    <row r="140" spans="2:29" x14ac:dyDescent="0.25">
      <c r="B140" s="114"/>
      <c r="C140" s="16" t="s">
        <v>253</v>
      </c>
      <c r="D140" s="102">
        <f>IFERROR(VLOOKUP(D$4,'Critical care'!$AZ$5:$BG$19,2,FALSE),"")</f>
        <v>658.57142857142856</v>
      </c>
      <c r="E140" s="102">
        <f>IFERROR(VLOOKUP(E$4,'Critical care'!$AZ$5:$BG$19,2,FALSE),"")</f>
        <v>688.28571428571433</v>
      </c>
      <c r="F140" s="102">
        <f>IFERROR(VLOOKUP(F$4,'Critical care'!$AZ$5:$BG$19,2,FALSE),"")</f>
        <v>699</v>
      </c>
      <c r="G140" s="102">
        <f>IFERROR(VLOOKUP(G$4,'Critical care'!$AZ$5:$BG$19,2,FALSE),"")</f>
        <v>847.14285714285711</v>
      </c>
      <c r="H140" s="102">
        <f>IFERROR(VLOOKUP(H$4,'Critical care'!$AZ$5:$BG$19,2,FALSE),"")</f>
        <v>610.42857142857144</v>
      </c>
      <c r="I140" s="102" t="str">
        <f>IFERROR(VLOOKUP(I$4,'Critical care'!$AZ$5:$BG$19,2,FALSE),"")</f>
        <v/>
      </c>
      <c r="J140" s="102" t="str">
        <f>IFERROR(VLOOKUP(J$4,'Critical care'!$AZ$5:$BG$19,2,FALSE),"")</f>
        <v/>
      </c>
      <c r="K140" s="102" t="str">
        <f>IFERROR(VLOOKUP(K$4,'Critical care'!$AZ$5:$BG$19,2,FALSE),"")</f>
        <v/>
      </c>
      <c r="L140" s="102" t="str">
        <f>IFERROR(VLOOKUP(L$4,'Critical care'!$AZ$5:$BG$19,2,FALSE),"")</f>
        <v/>
      </c>
      <c r="M140" s="102" t="str">
        <f>IFERROR(VLOOKUP(M$4,'Critical care'!$AZ$5:$BG$19,2,FALSE),"")</f>
        <v/>
      </c>
      <c r="N140" s="102" t="str">
        <f>IFERROR(VLOOKUP(N$4,'Critical care'!$AZ$5:$BG$19,2,FALSE),"")</f>
        <v/>
      </c>
      <c r="O140" s="102" t="str">
        <f>IFERROR(VLOOKUP(O$4,'Critical care'!$AZ$5:$BG$19,2,FALSE),"")</f>
        <v/>
      </c>
      <c r="P140" s="102" t="str">
        <f>IFERROR(VLOOKUP(P$4,'Critical care'!$AZ$5:$BG$19,2,FALSE),"")</f>
        <v/>
      </c>
      <c r="Q140" s="101" t="str">
        <f>IFERROR(VLOOKUP(Q$4,'Critical care'!$AZ$5:$BG$19,2,FALSE),"")</f>
        <v/>
      </c>
      <c r="Z140" s="112"/>
      <c r="AA140" s="112"/>
      <c r="AB140" s="112"/>
      <c r="AC140" s="112"/>
    </row>
    <row r="141" spans="2:29" x14ac:dyDescent="0.25">
      <c r="B141" s="114"/>
      <c r="C141" s="1" t="s">
        <v>2</v>
      </c>
      <c r="D141" s="68">
        <f>IFERROR(VLOOKUP(D$4,'Critical care'!$AZ$5:$BG$19,3,FALSE),"")</f>
        <v>77.571428571428569</v>
      </c>
      <c r="E141" s="68">
        <f>IFERROR(VLOOKUP(E$4,'Critical care'!$AZ$5:$BG$19,3,FALSE),"")</f>
        <v>98.428571428571431</v>
      </c>
      <c r="F141" s="68">
        <f>IFERROR(VLOOKUP(F$4,'Critical care'!$AZ$5:$BG$19,3,FALSE),"")</f>
        <v>96.428571428571431</v>
      </c>
      <c r="G141" s="68">
        <f>IFERROR(VLOOKUP(G$4,'Critical care'!$AZ$5:$BG$19,3,FALSE),"")</f>
        <v>128.14285714285714</v>
      </c>
      <c r="H141" s="68">
        <f>IFERROR(VLOOKUP(H$4,'Critical care'!$AZ$5:$BG$19,3,FALSE),"")</f>
        <v>91.571428571428569</v>
      </c>
      <c r="I141" s="68" t="str">
        <f>IFERROR(VLOOKUP(I$4,'Critical care'!$AZ$5:$BG$19,3,FALSE),"")</f>
        <v/>
      </c>
      <c r="J141" s="68" t="str">
        <f>IFERROR(VLOOKUP(J$4,'Critical care'!$AZ$5:$BG$19,3,FALSE),"")</f>
        <v/>
      </c>
      <c r="K141" s="68" t="str">
        <f>IFERROR(VLOOKUP(K$4,'Critical care'!$AZ$5:$BG$19,3,FALSE),"")</f>
        <v/>
      </c>
      <c r="L141" s="68" t="str">
        <f>IFERROR(VLOOKUP(L$4,'Critical care'!$AZ$5:$BG$19,3,FALSE),"")</f>
        <v/>
      </c>
      <c r="M141" s="68" t="str">
        <f>IFERROR(VLOOKUP(M$4,'Critical care'!$AZ$5:$BG$19,3,FALSE),"")</f>
        <v/>
      </c>
      <c r="N141" s="68" t="str">
        <f>IFERROR(VLOOKUP(N$4,'Critical care'!$AZ$5:$BG$19,3,FALSE),"")</f>
        <v/>
      </c>
      <c r="O141" s="68" t="str">
        <f>IFERROR(VLOOKUP(O$4,'Critical care'!$AZ$5:$BG$19,3,FALSE),"")</f>
        <v/>
      </c>
      <c r="P141" s="68" t="str">
        <f>IFERROR(VLOOKUP(P$4,'Critical care'!$AZ$5:$BG$19,3,FALSE),"")</f>
        <v/>
      </c>
      <c r="Q141" s="98" t="str">
        <f>IFERROR(VLOOKUP(Q$4,'Critical care'!$AZ$5:$BG$19,3,FALSE),"")</f>
        <v/>
      </c>
      <c r="Z141" s="112"/>
      <c r="AA141" s="112"/>
      <c r="AB141" s="112"/>
      <c r="AC141" s="112"/>
    </row>
    <row r="142" spans="2:29" x14ac:dyDescent="0.25">
      <c r="B142" s="114"/>
      <c r="C142" s="1" t="s">
        <v>29</v>
      </c>
      <c r="D142" s="68">
        <f>IFERROR(VLOOKUP(D$4,'Critical care'!$AZ$5:$BG$19,4,FALSE),"")</f>
        <v>218</v>
      </c>
      <c r="E142" s="68">
        <f>IFERROR(VLOOKUP(E$4,'Critical care'!$AZ$5:$BG$19,4,FALSE),"")</f>
        <v>205.85714285714286</v>
      </c>
      <c r="F142" s="68">
        <f>IFERROR(VLOOKUP(F$4,'Critical care'!$AZ$5:$BG$19,4,FALSE),"")</f>
        <v>201</v>
      </c>
      <c r="G142" s="68">
        <f>IFERROR(VLOOKUP(G$4,'Critical care'!$AZ$5:$BG$19,4,FALSE),"")</f>
        <v>234</v>
      </c>
      <c r="H142" s="68">
        <f>IFERROR(VLOOKUP(H$4,'Critical care'!$AZ$5:$BG$19,4,FALSE),"")</f>
        <v>173</v>
      </c>
      <c r="I142" s="68" t="str">
        <f>IFERROR(VLOOKUP(I$4,'Critical care'!$AZ$5:$BG$19,4,FALSE),"")</f>
        <v/>
      </c>
      <c r="J142" s="68" t="str">
        <f>IFERROR(VLOOKUP(J$4,'Critical care'!$AZ$5:$BG$19,4,FALSE),"")</f>
        <v/>
      </c>
      <c r="K142" s="68" t="str">
        <f>IFERROR(VLOOKUP(K$4,'Critical care'!$AZ$5:$BG$19,4,FALSE),"")</f>
        <v/>
      </c>
      <c r="L142" s="68" t="str">
        <f>IFERROR(VLOOKUP(L$4,'Critical care'!$AZ$5:$BG$19,4,FALSE),"")</f>
        <v/>
      </c>
      <c r="M142" s="68" t="str">
        <f>IFERROR(VLOOKUP(M$4,'Critical care'!$AZ$5:$BG$19,4,FALSE),"")</f>
        <v/>
      </c>
      <c r="N142" s="68" t="str">
        <f>IFERROR(VLOOKUP(N$4,'Critical care'!$AZ$5:$BG$19,4,FALSE),"")</f>
        <v/>
      </c>
      <c r="O142" s="68" t="str">
        <f>IFERROR(VLOOKUP(O$4,'Critical care'!$AZ$5:$BG$19,4,FALSE),"")</f>
        <v/>
      </c>
      <c r="P142" s="68" t="str">
        <f>IFERROR(VLOOKUP(P$4,'Critical care'!$AZ$5:$BG$19,4,FALSE),"")</f>
        <v/>
      </c>
      <c r="Q142" s="98" t="str">
        <f>IFERROR(VLOOKUP(Q$4,'Critical care'!$AZ$5:$BG$19,4,FALSE),"")</f>
        <v/>
      </c>
      <c r="Z142" s="112"/>
      <c r="AA142" s="112"/>
      <c r="AB142" s="112"/>
      <c r="AC142" s="112"/>
    </row>
    <row r="143" spans="2:29" x14ac:dyDescent="0.25">
      <c r="B143" s="114"/>
      <c r="C143" s="1" t="s">
        <v>3</v>
      </c>
      <c r="D143" s="68">
        <f>IFERROR(VLOOKUP(D$4,'Critical care'!$AZ$5:$BG$19,5,FALSE),"")</f>
        <v>221.28571428571428</v>
      </c>
      <c r="E143" s="68">
        <f>IFERROR(VLOOKUP(E$4,'Critical care'!$AZ$5:$BG$19,5,FALSE),"")</f>
        <v>244.28571428571428</v>
      </c>
      <c r="F143" s="68">
        <f>IFERROR(VLOOKUP(F$4,'Critical care'!$AZ$5:$BG$19,5,FALSE),"")</f>
        <v>252.71428571428572</v>
      </c>
      <c r="G143" s="68">
        <f>IFERROR(VLOOKUP(G$4,'Critical care'!$AZ$5:$BG$19,5,FALSE),"")</f>
        <v>291.71428571428572</v>
      </c>
      <c r="H143" s="68">
        <f>IFERROR(VLOOKUP(H$4,'Critical care'!$AZ$5:$BG$19,5,FALSE),"")</f>
        <v>207</v>
      </c>
      <c r="I143" s="68" t="str">
        <f>IFERROR(VLOOKUP(I$4,'Critical care'!$AZ$5:$BG$19,5,FALSE),"")</f>
        <v/>
      </c>
      <c r="J143" s="68" t="str">
        <f>IFERROR(VLOOKUP(J$4,'Critical care'!$AZ$5:$BG$19,5,FALSE),"")</f>
        <v/>
      </c>
      <c r="K143" s="68" t="str">
        <f>IFERROR(VLOOKUP(K$4,'Critical care'!$AZ$5:$BG$19,5,FALSE),"")</f>
        <v/>
      </c>
      <c r="L143" s="68" t="str">
        <f>IFERROR(VLOOKUP(L$4,'Critical care'!$AZ$5:$BG$19,5,FALSE),"")</f>
        <v/>
      </c>
      <c r="M143" s="68" t="str">
        <f>IFERROR(VLOOKUP(M$4,'Critical care'!$AZ$5:$BG$19,5,FALSE),"")</f>
        <v/>
      </c>
      <c r="N143" s="68" t="str">
        <f>IFERROR(VLOOKUP(N$4,'Critical care'!$AZ$5:$BG$19,5,FALSE),"")</f>
        <v/>
      </c>
      <c r="O143" s="68" t="str">
        <f>IFERROR(VLOOKUP(O$4,'Critical care'!$AZ$5:$BG$19,5,FALSE),"")</f>
        <v/>
      </c>
      <c r="P143" s="68" t="str">
        <f>IFERROR(VLOOKUP(P$4,'Critical care'!$AZ$5:$BG$19,5,FALSE),"")</f>
        <v/>
      </c>
      <c r="Q143" s="98" t="str">
        <f>IFERROR(VLOOKUP(Q$4,'Critical care'!$AZ$5:$BG$19,5,FALSE),"")</f>
        <v/>
      </c>
      <c r="Z143" s="112"/>
      <c r="AA143" s="112"/>
      <c r="AB143" s="112"/>
      <c r="AC143" s="112"/>
    </row>
    <row r="144" spans="2:29" x14ac:dyDescent="0.25">
      <c r="B144" s="52"/>
      <c r="C144" s="1" t="s">
        <v>270</v>
      </c>
      <c r="D144" s="68">
        <f>IFERROR(VLOOKUP(D$4,'Critical care'!$AZ$5:$BG$19,6,FALSE),"")</f>
        <v>76.285714285714292</v>
      </c>
      <c r="E144" s="68">
        <f>IFERROR(VLOOKUP(E$4,'Critical care'!$AZ$5:$BG$19,6,FALSE),"")</f>
        <v>77.571428571428569</v>
      </c>
      <c r="F144" s="68">
        <f>IFERROR(VLOOKUP(F$4,'Critical care'!$AZ$5:$BG$19,6,FALSE),"")</f>
        <v>78.142857142857139</v>
      </c>
      <c r="G144" s="68">
        <f>IFERROR(VLOOKUP(G$4,'Critical care'!$AZ$5:$BG$19,6,FALSE),"")</f>
        <v>98.714285714285708</v>
      </c>
      <c r="H144" s="68">
        <f>IFERROR(VLOOKUP(H$4,'Critical care'!$AZ$5:$BG$19,6,FALSE),"")</f>
        <v>69.142857142857139</v>
      </c>
      <c r="I144" s="68" t="str">
        <f>IFERROR(VLOOKUP(I$4,'Critical care'!$AZ$5:$BG$19,6,FALSE),"")</f>
        <v/>
      </c>
      <c r="J144" s="68" t="str">
        <f>IFERROR(VLOOKUP(J$4,'Critical care'!$AZ$5:$BG$19,6,FALSE),"")</f>
        <v/>
      </c>
      <c r="K144" s="68" t="str">
        <f>IFERROR(VLOOKUP(K$4,'Critical care'!$AZ$5:$BG$19,6,FALSE),"")</f>
        <v/>
      </c>
      <c r="L144" s="68" t="str">
        <f>IFERROR(VLOOKUP(L$4,'Critical care'!$AZ$5:$BG$19,6,FALSE),"")</f>
        <v/>
      </c>
      <c r="M144" s="68" t="str">
        <f>IFERROR(VLOOKUP(M$4,'Critical care'!$AZ$5:$BG$19,6,FALSE),"")</f>
        <v/>
      </c>
      <c r="N144" s="68" t="str">
        <f>IFERROR(VLOOKUP(N$4,'Critical care'!$AZ$5:$BG$19,6,FALSE),"")</f>
        <v/>
      </c>
      <c r="O144" s="68" t="str">
        <f>IFERROR(VLOOKUP(O$4,'Critical care'!$AZ$5:$BG$19,6,FALSE),"")</f>
        <v/>
      </c>
      <c r="P144" s="68" t="str">
        <f>IFERROR(VLOOKUP(P$4,'Critical care'!$AZ$5:$BG$19,6,FALSE),"")</f>
        <v/>
      </c>
      <c r="Q144" s="98" t="str">
        <f>IFERROR(VLOOKUP(Q$4,'Critical care'!$AZ$5:$BG$19,6,FALSE),"")</f>
        <v/>
      </c>
      <c r="Z144" s="51"/>
      <c r="AA144" s="51"/>
      <c r="AB144" s="51"/>
      <c r="AC144" s="51"/>
    </row>
    <row r="145" spans="2:29" x14ac:dyDescent="0.25">
      <c r="B145" s="52"/>
      <c r="C145" s="11" t="s">
        <v>278</v>
      </c>
      <c r="D145" s="68">
        <f>IFERROR(VLOOKUP(D$4,'Critical care'!$AZ$5:$BG$19,7,FALSE),"")</f>
        <v>65.428571428571431</v>
      </c>
      <c r="E145" s="68">
        <f>IFERROR(VLOOKUP(E$4,'Critical care'!$AZ$5:$BG$19,7,FALSE),"")</f>
        <v>62.142857142857146</v>
      </c>
      <c r="F145" s="68">
        <f>IFERROR(VLOOKUP(F$4,'Critical care'!$AZ$5:$BG$19,7,FALSE),"")</f>
        <v>70.714285714285708</v>
      </c>
      <c r="G145" s="68">
        <f>IFERROR(VLOOKUP(G$4,'Critical care'!$AZ$5:$BG$19,7,FALSE),"")</f>
        <v>94.571428571428569</v>
      </c>
      <c r="H145" s="68">
        <f>IFERROR(VLOOKUP(H$4,'Critical care'!$AZ$5:$BG$19,7,FALSE),"")</f>
        <v>69.714285714285708</v>
      </c>
      <c r="I145" s="68" t="str">
        <f>IFERROR(VLOOKUP(I$4,'Critical care'!$AZ$5:$BG$19,7,FALSE),"")</f>
        <v/>
      </c>
      <c r="J145" s="68" t="str">
        <f>IFERROR(VLOOKUP(J$4,'Critical care'!$AZ$5:$BG$19,7,FALSE),"")</f>
        <v/>
      </c>
      <c r="K145" s="68" t="str">
        <f>IFERROR(VLOOKUP(K$4,'Critical care'!$AZ$5:$BG$19,7,FALSE),"")</f>
        <v/>
      </c>
      <c r="L145" s="68" t="str">
        <f>IFERROR(VLOOKUP(L$4,'Critical care'!$AZ$5:$BG$19,7,FALSE),"")</f>
        <v/>
      </c>
      <c r="M145" s="68" t="str">
        <f>IFERROR(VLOOKUP(M$4,'Critical care'!$AZ$5:$BG$19,7,FALSE),"")</f>
        <v/>
      </c>
      <c r="N145" s="68" t="str">
        <f>IFERROR(VLOOKUP(N$4,'Critical care'!$AZ$5:$BG$19,7,FALSE),"")</f>
        <v/>
      </c>
      <c r="O145" s="68" t="str">
        <f>IFERROR(VLOOKUP(O$4,'Critical care'!$AZ$5:$BG$19,7,FALSE),"")</f>
        <v/>
      </c>
      <c r="P145" s="68" t="str">
        <f>IFERROR(VLOOKUP(P$4,'Critical care'!$AZ$5:$BG$19,7,FALSE),"")</f>
        <v/>
      </c>
      <c r="Q145" s="98" t="str">
        <f>IFERROR(VLOOKUP(Q$4,'Critical care'!$AZ$5:$BG$19,7,FALSE),"")</f>
        <v/>
      </c>
      <c r="Z145" s="51"/>
      <c r="AA145" s="51"/>
      <c r="AB145" s="51"/>
      <c r="AC145" s="51"/>
    </row>
    <row r="146" spans="2:29" ht="30" customHeight="1" x14ac:dyDescent="0.25">
      <c r="C146" s="1"/>
    </row>
    <row r="147" spans="2:29" x14ac:dyDescent="0.25">
      <c r="B147" s="114" t="s">
        <v>19</v>
      </c>
      <c r="C147" s="12" t="s">
        <v>20</v>
      </c>
      <c r="D147" s="3"/>
      <c r="E147" s="3"/>
      <c r="F147" s="3"/>
      <c r="G147" s="3"/>
      <c r="H147" s="3"/>
      <c r="I147" s="3"/>
      <c r="J147" s="3"/>
      <c r="K147" s="3"/>
      <c r="L147" s="3"/>
      <c r="M147" s="3"/>
      <c r="N147" s="3"/>
      <c r="O147" s="3"/>
      <c r="P147" s="3"/>
      <c r="Q147" s="3"/>
      <c r="R147" s="3"/>
      <c r="Z147" s="115" t="s">
        <v>38</v>
      </c>
      <c r="AA147" s="115"/>
      <c r="AB147" s="115"/>
      <c r="AC147" s="115"/>
    </row>
    <row r="148" spans="2:29" x14ac:dyDescent="0.25">
      <c r="B148" s="114"/>
      <c r="C148" s="1" t="s">
        <v>0</v>
      </c>
      <c r="D148" s="7">
        <v>0.82548262548262552</v>
      </c>
      <c r="E148" s="7">
        <v>0.8361970217640321</v>
      </c>
      <c r="F148" s="7">
        <v>0.79832572298325721</v>
      </c>
      <c r="G148" s="7">
        <v>0.77777777777777779</v>
      </c>
      <c r="H148" s="7">
        <v>0.77381404174573054</v>
      </c>
      <c r="I148" s="7">
        <v>0.74512800917080624</v>
      </c>
      <c r="J148" s="7">
        <v>0.7752417794970986</v>
      </c>
      <c r="K148" s="7">
        <v>0.77072037180480246</v>
      </c>
      <c r="L148" s="7">
        <v>0.78565861262665626</v>
      </c>
      <c r="M148" s="7">
        <v>0.76376415462709879</v>
      </c>
      <c r="N148" s="7">
        <v>0.77830188679245282</v>
      </c>
      <c r="O148" s="7">
        <v>0.75872769588828548</v>
      </c>
      <c r="P148" s="7">
        <v>0.73317775184753009</v>
      </c>
      <c r="Z148" s="115"/>
      <c r="AA148" s="115"/>
      <c r="AB148" s="115"/>
      <c r="AC148" s="115"/>
    </row>
    <row r="149" spans="2:29" ht="7.5" customHeight="1" x14ac:dyDescent="0.25">
      <c r="B149" s="114"/>
      <c r="D149" s="31">
        <v>0.85</v>
      </c>
      <c r="E149" s="31">
        <v>0.85</v>
      </c>
      <c r="F149" s="31">
        <v>0.85</v>
      </c>
      <c r="G149" s="31">
        <v>0.85</v>
      </c>
      <c r="H149" s="31">
        <v>0.85</v>
      </c>
      <c r="I149" s="31">
        <v>0.85</v>
      </c>
      <c r="J149" s="31">
        <v>0.85</v>
      </c>
      <c r="K149" s="31">
        <v>0.85</v>
      </c>
      <c r="L149" s="31">
        <v>0.85</v>
      </c>
      <c r="M149" s="31">
        <v>0.85</v>
      </c>
      <c r="N149" s="31">
        <v>0.85</v>
      </c>
      <c r="O149" s="31">
        <v>0.85</v>
      </c>
      <c r="P149" s="31">
        <v>0.85</v>
      </c>
      <c r="Q149" s="31">
        <v>0.85</v>
      </c>
      <c r="Z149" s="115"/>
      <c r="AA149" s="115"/>
      <c r="AB149" s="115"/>
      <c r="AC149" s="115"/>
    </row>
    <row r="150" spans="2:29" x14ac:dyDescent="0.25">
      <c r="B150" s="114"/>
      <c r="C150" s="16" t="s">
        <v>253</v>
      </c>
      <c r="D150" s="70">
        <f>IFERROR(VLOOKUP(D$4,PICU!$AR$5:$AY$19,2,FALSE),"")</f>
        <v>0.8470066518847007</v>
      </c>
      <c r="E150" s="70">
        <f>IFERROR(VLOOKUP(E$4,PICU!$AR$5:$AY$19,2,FALSE),"")</f>
        <v>0.79902329075882794</v>
      </c>
      <c r="F150" s="70">
        <f>IFERROR(VLOOKUP(F$4,PICU!$AR$5:$AY$19,2,FALSE),"")</f>
        <v>0.80173482032218091</v>
      </c>
      <c r="G150" s="70">
        <f>IFERROR(VLOOKUP(G$4,PICU!$AR$5:$AY$19,2,FALSE),"")</f>
        <v>0.75762784701332186</v>
      </c>
      <c r="H150" s="70">
        <f>IFERROR(VLOOKUP(H$4,PICU!$AR$5:$AY$19,2,FALSE),"")</f>
        <v>0.73459119496855341</v>
      </c>
      <c r="I150" s="70" t="str">
        <f>IFERROR(VLOOKUP(I$4,PICU!$AR$5:$AY$19,2,FALSE),"")</f>
        <v/>
      </c>
      <c r="J150" s="70" t="str">
        <f>IFERROR(VLOOKUP(J$4,PICU!$AR$5:$AY$19,2,FALSE),"")</f>
        <v/>
      </c>
      <c r="K150" s="70" t="str">
        <f>IFERROR(VLOOKUP(K$4,PICU!$AR$5:$AY$19,2,FALSE),"")</f>
        <v/>
      </c>
      <c r="L150" s="70" t="str">
        <f>IFERROR(VLOOKUP(L$4,PICU!$AR$5:$AY$19,2,FALSE),"")</f>
        <v/>
      </c>
      <c r="M150" s="70" t="str">
        <f>IFERROR(VLOOKUP(M$4,PICU!$AR$5:$AY$19,2,FALSE),"")</f>
        <v/>
      </c>
      <c r="N150" s="70" t="str">
        <f>IFERROR(VLOOKUP(N$4,PICU!$AR$5:$AY$19,2,FALSE),"")</f>
        <v/>
      </c>
      <c r="O150" s="70" t="str">
        <f>IFERROR(VLOOKUP(O$4,PICU!$AR$5:$AY$19,2,FALSE),"")</f>
        <v/>
      </c>
      <c r="P150" s="70" t="str">
        <f>IFERROR(VLOOKUP(P$4,PICU!$AR$5:$AY$19,2,FALSE),"")</f>
        <v/>
      </c>
      <c r="Q150" s="103" t="str">
        <f>IFERROR(VLOOKUP(Q$4,PICU!$AR$5:$AY$19,2,FALSE),"")</f>
        <v/>
      </c>
      <c r="Z150" s="115"/>
      <c r="AA150" s="115"/>
      <c r="AB150" s="115"/>
      <c r="AC150" s="115"/>
    </row>
    <row r="151" spans="2:29" x14ac:dyDescent="0.25">
      <c r="B151" s="114"/>
      <c r="C151" s="1" t="s">
        <v>2</v>
      </c>
      <c r="D151" s="67">
        <f>IFERROR(VLOOKUP(D$4,PICU!$AR$5:$AY$19,3,FALSE),"")</f>
        <v>0.9625292740046838</v>
      </c>
      <c r="E151" s="67">
        <f>IFERROR(VLOOKUP(E$4,PICU!$AR$5:$AY$19,3,FALSE),"")</f>
        <v>0.94379391100702581</v>
      </c>
      <c r="F151" s="67">
        <f>IFERROR(VLOOKUP(F$4,PICU!$AR$5:$AY$19,3,FALSE),"")</f>
        <v>0.96</v>
      </c>
      <c r="G151" s="67">
        <f>IFERROR(VLOOKUP(G$4,PICU!$AR$5:$AY$19,3,FALSE),"")</f>
        <v>0.88361045130641325</v>
      </c>
      <c r="H151" s="67">
        <f>IFERROR(VLOOKUP(H$4,PICU!$AR$5:$AY$19,3,FALSE),"")</f>
        <v>0.79809976247030878</v>
      </c>
      <c r="I151" s="67" t="str">
        <f>IFERROR(VLOOKUP(I$4,PICU!$AR$5:$AY$19,3,FALSE),"")</f>
        <v/>
      </c>
      <c r="J151" s="67" t="str">
        <f>IFERROR(VLOOKUP(J$4,PICU!$AR$5:$AY$19,3,FALSE),"")</f>
        <v/>
      </c>
      <c r="K151" s="67" t="str">
        <f>IFERROR(VLOOKUP(K$4,PICU!$AR$5:$AY$19,3,FALSE),"")</f>
        <v/>
      </c>
      <c r="L151" s="67" t="str">
        <f>IFERROR(VLOOKUP(L$4,PICU!$AR$5:$AY$19,3,FALSE),"")</f>
        <v/>
      </c>
      <c r="M151" s="67" t="str">
        <f>IFERROR(VLOOKUP(M$4,PICU!$AR$5:$AY$19,3,FALSE),"")</f>
        <v/>
      </c>
      <c r="N151" s="67" t="str">
        <f>IFERROR(VLOOKUP(N$4,PICU!$AR$5:$AY$19,3,FALSE),"")</f>
        <v/>
      </c>
      <c r="O151" s="67" t="str">
        <f>IFERROR(VLOOKUP(O$4,PICU!$AR$5:$AY$19,3,FALSE),"")</f>
        <v/>
      </c>
      <c r="P151" s="67" t="str">
        <f>IFERROR(VLOOKUP(P$4,PICU!$AR$5:$AY$19,3,FALSE),"")</f>
        <v/>
      </c>
      <c r="Q151" s="78" t="str">
        <f>IFERROR(VLOOKUP(Q$4,PICU!$AR$5:$AY$19,3,FALSE),"")</f>
        <v/>
      </c>
      <c r="Z151" s="112" t="s">
        <v>345</v>
      </c>
      <c r="AA151" s="112"/>
      <c r="AB151" s="112"/>
      <c r="AC151" s="112"/>
    </row>
    <row r="152" spans="2:29" x14ac:dyDescent="0.25">
      <c r="B152" s="114"/>
      <c r="C152" s="1" t="s">
        <v>29</v>
      </c>
      <c r="D152" s="67">
        <f>IFERROR(VLOOKUP(D$4,PICU!$AR$5:$AY$19,4,FALSE),"")</f>
        <v>0.87356321839080464</v>
      </c>
      <c r="E152" s="67">
        <f>IFERROR(VLOOKUP(E$4,PICU!$AR$5:$AY$19,4,FALSE),"")</f>
        <v>0.78307692307692311</v>
      </c>
      <c r="F152" s="67">
        <f>IFERROR(VLOOKUP(F$4,PICU!$AR$5:$AY$19,4,FALSE),"")</f>
        <v>0.78361669242658427</v>
      </c>
      <c r="G152" s="67">
        <f>IFERROR(VLOOKUP(G$4,PICU!$AR$5:$AY$19,4,FALSE),"")</f>
        <v>0.79212598425196845</v>
      </c>
      <c r="H152" s="67">
        <f>IFERROR(VLOOKUP(H$4,PICU!$AR$5:$AY$19,4,FALSE),"")</f>
        <v>0.7360248447204969</v>
      </c>
      <c r="I152" s="67" t="str">
        <f>IFERROR(VLOOKUP(I$4,PICU!$AR$5:$AY$19,4,FALSE),"")</f>
        <v/>
      </c>
      <c r="J152" s="67" t="str">
        <f>IFERROR(VLOOKUP(J$4,PICU!$AR$5:$AY$19,4,FALSE),"")</f>
        <v/>
      </c>
      <c r="K152" s="67" t="str">
        <f>IFERROR(VLOOKUP(K$4,PICU!$AR$5:$AY$19,4,FALSE),"")</f>
        <v/>
      </c>
      <c r="L152" s="67" t="str">
        <f>IFERROR(VLOOKUP(L$4,PICU!$AR$5:$AY$19,4,FALSE),"")</f>
        <v/>
      </c>
      <c r="M152" s="67" t="str">
        <f>IFERROR(VLOOKUP(M$4,PICU!$AR$5:$AY$19,4,FALSE),"")</f>
        <v/>
      </c>
      <c r="N152" s="67" t="str">
        <f>IFERROR(VLOOKUP(N$4,PICU!$AR$5:$AY$19,4,FALSE),"")</f>
        <v/>
      </c>
      <c r="O152" s="67" t="str">
        <f>IFERROR(VLOOKUP(O$4,PICU!$AR$5:$AY$19,4,FALSE),"")</f>
        <v/>
      </c>
      <c r="P152" s="67" t="str">
        <f>IFERROR(VLOOKUP(P$4,PICU!$AR$5:$AY$19,4,FALSE),"")</f>
        <v/>
      </c>
      <c r="Q152" s="78" t="str">
        <f>IFERROR(VLOOKUP(Q$4,PICU!$AR$5:$AY$19,4,FALSE),"")</f>
        <v/>
      </c>
      <c r="Z152" s="112"/>
      <c r="AA152" s="112"/>
      <c r="AB152" s="112"/>
      <c r="AC152" s="112"/>
    </row>
    <row r="153" spans="2:29" x14ac:dyDescent="0.25">
      <c r="B153" s="114"/>
      <c r="C153" s="1" t="s">
        <v>3</v>
      </c>
      <c r="D153" s="67">
        <f>IFERROR(VLOOKUP(D$4,PICU!$AR$5:$AY$19,5,FALSE),"")</f>
        <v>0.85616438356164382</v>
      </c>
      <c r="E153" s="67">
        <f>IFERROR(VLOOKUP(E$4,PICU!$AR$5:$AY$19,5,FALSE),"")</f>
        <v>0.8122866894197952</v>
      </c>
      <c r="F153" s="67">
        <f>IFERROR(VLOOKUP(F$4,PICU!$AR$5:$AY$19,5,FALSE),"")</f>
        <v>0.79974489795918369</v>
      </c>
      <c r="G153" s="67">
        <f>IFERROR(VLOOKUP(G$4,PICU!$AR$5:$AY$19,5,FALSE),"")</f>
        <v>0.75221238938053092</v>
      </c>
      <c r="H153" s="67">
        <f>IFERROR(VLOOKUP(H$4,PICU!$AR$5:$AY$19,5,FALSE),"")</f>
        <v>0.78661616161616166</v>
      </c>
      <c r="I153" s="67" t="str">
        <f>IFERROR(VLOOKUP(I$4,PICU!$AR$5:$AY$19,5,FALSE),"")</f>
        <v/>
      </c>
      <c r="J153" s="67" t="str">
        <f>IFERROR(VLOOKUP(J$4,PICU!$AR$5:$AY$19,5,FALSE),"")</f>
        <v/>
      </c>
      <c r="K153" s="67" t="str">
        <f>IFERROR(VLOOKUP(K$4,PICU!$AR$5:$AY$19,5,FALSE),"")</f>
        <v/>
      </c>
      <c r="L153" s="67" t="str">
        <f>IFERROR(VLOOKUP(L$4,PICU!$AR$5:$AY$19,5,FALSE),"")</f>
        <v/>
      </c>
      <c r="M153" s="67" t="str">
        <f>IFERROR(VLOOKUP(M$4,PICU!$AR$5:$AY$19,5,FALSE),"")</f>
        <v/>
      </c>
      <c r="N153" s="67" t="str">
        <f>IFERROR(VLOOKUP(N$4,PICU!$AR$5:$AY$19,5,FALSE),"")</f>
        <v/>
      </c>
      <c r="O153" s="67" t="str">
        <f>IFERROR(VLOOKUP(O$4,PICU!$AR$5:$AY$19,5,FALSE),"")</f>
        <v/>
      </c>
      <c r="P153" s="67" t="str">
        <f>IFERROR(VLOOKUP(P$4,PICU!$AR$5:$AY$19,5,FALSE),"")</f>
        <v/>
      </c>
      <c r="Q153" s="78" t="str">
        <f>IFERROR(VLOOKUP(Q$4,PICU!$AR$5:$AY$19,5,FALSE),"")</f>
        <v/>
      </c>
      <c r="Z153" s="112"/>
      <c r="AA153" s="112"/>
      <c r="AB153" s="112"/>
      <c r="AC153" s="112"/>
    </row>
    <row r="154" spans="2:29" ht="16.5" customHeight="1" x14ac:dyDescent="0.25">
      <c r="B154" s="114"/>
      <c r="C154" s="1" t="s">
        <v>270</v>
      </c>
      <c r="D154" s="67">
        <f>IFERROR(VLOOKUP(D$4,PICU!$AR$5:$AY$19,6,FALSE),"")</f>
        <v>0.78947368421052633</v>
      </c>
      <c r="E154" s="67">
        <f>IFERROR(VLOOKUP(E$4,PICU!$AR$5:$AY$19,6,FALSE),"")</f>
        <v>0.810126582278481</v>
      </c>
      <c r="F154" s="67">
        <f>IFERROR(VLOOKUP(F$4,PICU!$AR$5:$AY$19,6,FALSE),"")</f>
        <v>0.81208053691275173</v>
      </c>
      <c r="G154" s="67">
        <f>IFERROR(VLOOKUP(G$4,PICU!$AR$5:$AY$19,6,FALSE),"")</f>
        <v>0.85355648535564854</v>
      </c>
      <c r="H154" s="67">
        <f>IFERROR(VLOOKUP(H$4,PICU!$AR$5:$AY$19,6,FALSE),"")</f>
        <v>0.7830508474576271</v>
      </c>
      <c r="I154" s="67" t="str">
        <f>IFERROR(VLOOKUP(I$4,PICU!$AR$5:$AY$19,6,FALSE),"")</f>
        <v/>
      </c>
      <c r="J154" s="67" t="str">
        <f>IFERROR(VLOOKUP(J$4,PICU!$AR$5:$AY$19,6,FALSE),"")</f>
        <v/>
      </c>
      <c r="K154" s="67" t="str">
        <f>IFERROR(VLOOKUP(K$4,PICU!$AR$5:$AY$19,6,FALSE),"")</f>
        <v/>
      </c>
      <c r="L154" s="67" t="str">
        <f>IFERROR(VLOOKUP(L$4,PICU!$AR$5:$AY$19,6,FALSE),"")</f>
        <v/>
      </c>
      <c r="M154" s="67" t="str">
        <f>IFERROR(VLOOKUP(M$4,PICU!$AR$5:$AY$19,6,FALSE),"")</f>
        <v/>
      </c>
      <c r="N154" s="67" t="str">
        <f>IFERROR(VLOOKUP(N$4,PICU!$AR$5:$AY$19,6,FALSE),"")</f>
        <v/>
      </c>
      <c r="O154" s="67" t="str">
        <f>IFERROR(VLOOKUP(O$4,PICU!$AR$5:$AY$19,6,FALSE),"")</f>
        <v/>
      </c>
      <c r="P154" s="67" t="str">
        <f>IFERROR(VLOOKUP(P$4,PICU!$AR$5:$AY$19,6,FALSE),"")</f>
        <v/>
      </c>
      <c r="Q154" s="78" t="str">
        <f>IFERROR(VLOOKUP(Q$4,PICU!$AR$5:$AY$19,6,FALSE),"")</f>
        <v/>
      </c>
      <c r="Z154" s="112"/>
      <c r="AA154" s="112"/>
      <c r="AB154" s="112"/>
      <c r="AC154" s="112"/>
    </row>
    <row r="155" spans="2:29" ht="16.5" customHeight="1" x14ac:dyDescent="0.25">
      <c r="B155" s="114"/>
      <c r="C155" s="11" t="s">
        <v>278</v>
      </c>
      <c r="D155" s="67">
        <f>IFERROR(VLOOKUP(D$4,PICU!$AR$5:$AY$19,7,FALSE),"")</f>
        <v>0.69791666666666663</v>
      </c>
      <c r="E155" s="67">
        <f>IFERROR(VLOOKUP(E$4,PICU!$AR$5:$AY$19,7,FALSE),"")</f>
        <v>0.62820512820512819</v>
      </c>
      <c r="F155" s="67">
        <f>IFERROR(VLOOKUP(F$4,PICU!$AR$5:$AY$19,7,FALSE),"")</f>
        <v>0.58801498127340823</v>
      </c>
      <c r="G155" s="67">
        <f>IFERROR(VLOOKUP(G$4,PICU!$AR$5:$AY$19,7,FALSE),"")</f>
        <v>0.36929460580912865</v>
      </c>
      <c r="H155" s="67">
        <f>IFERROR(VLOOKUP(H$4,PICU!$AR$5:$AY$19,7,FALSE),"")</f>
        <v>0.37768240343347642</v>
      </c>
      <c r="I155" s="67" t="str">
        <f>IFERROR(VLOOKUP(I$4,PICU!$AR$5:$AY$19,7,FALSE),"")</f>
        <v/>
      </c>
      <c r="J155" s="67" t="str">
        <f>IFERROR(VLOOKUP(J$4,PICU!$AR$5:$AY$19,7,FALSE),"")</f>
        <v/>
      </c>
      <c r="K155" s="67" t="str">
        <f>IFERROR(VLOOKUP(K$4,PICU!$AR$5:$AY$19,7,FALSE),"")</f>
        <v/>
      </c>
      <c r="L155" s="67" t="str">
        <f>IFERROR(VLOOKUP(L$4,PICU!$AR$5:$AY$19,7,FALSE),"")</f>
        <v/>
      </c>
      <c r="M155" s="67" t="str">
        <f>IFERROR(VLOOKUP(M$4,PICU!$AR$5:$AY$19,7,FALSE),"")</f>
        <v/>
      </c>
      <c r="N155" s="67" t="str">
        <f>IFERROR(VLOOKUP(N$4,PICU!$AR$5:$AY$19,7,FALSE),"")</f>
        <v/>
      </c>
      <c r="O155" s="67" t="str">
        <f>IFERROR(VLOOKUP(O$4,PICU!$AR$5:$AY$19,7,FALSE),"")</f>
        <v/>
      </c>
      <c r="P155" s="67" t="str">
        <f>IFERROR(VLOOKUP(P$4,PICU!$AR$5:$AY$19,7,FALSE),"")</f>
        <v/>
      </c>
      <c r="Q155" s="78" t="str">
        <f>IFERROR(VLOOKUP(Q$4,PICU!$AR$5:$AY$19,7,FALSE),"")</f>
        <v/>
      </c>
      <c r="Z155" s="112"/>
      <c r="AA155" s="112"/>
      <c r="AB155" s="112"/>
      <c r="AC155" s="112"/>
    </row>
    <row r="156" spans="2:29" x14ac:dyDescent="0.25">
      <c r="B156" s="114"/>
      <c r="C156" s="11"/>
      <c r="D156" s="71"/>
      <c r="E156" s="71"/>
      <c r="F156" s="71"/>
      <c r="G156" s="71"/>
      <c r="H156" s="71"/>
      <c r="I156" s="71"/>
      <c r="J156" s="71"/>
      <c r="K156" s="71"/>
      <c r="L156" s="71"/>
      <c r="M156" s="71"/>
      <c r="N156" s="71"/>
      <c r="O156" s="71"/>
      <c r="P156" s="71"/>
      <c r="Q156" s="71"/>
      <c r="Z156" s="112"/>
      <c r="AA156" s="112"/>
      <c r="AB156" s="112"/>
      <c r="AC156" s="112"/>
    </row>
    <row r="157" spans="2:29" x14ac:dyDescent="0.25">
      <c r="B157" s="114"/>
      <c r="C157" s="12" t="s">
        <v>21</v>
      </c>
      <c r="Z157" s="112"/>
      <c r="AA157" s="112"/>
      <c r="AB157" s="112"/>
      <c r="AC157" s="112"/>
    </row>
    <row r="158" spans="2:29" x14ac:dyDescent="0.25">
      <c r="B158" s="114"/>
      <c r="C158" s="11" t="s">
        <v>0</v>
      </c>
      <c r="D158" s="30">
        <v>64.571428571428569</v>
      </c>
      <c r="E158" s="30">
        <v>61.285714285714285</v>
      </c>
      <c r="F158" s="30">
        <v>75.714285714285708</v>
      </c>
      <c r="G158" s="30">
        <v>84.571428571428569</v>
      </c>
      <c r="H158" s="30">
        <v>85.142857142857139</v>
      </c>
      <c r="I158" s="30">
        <v>95.285714285714292</v>
      </c>
      <c r="J158" s="30">
        <v>83</v>
      </c>
      <c r="K158" s="30">
        <v>84.571428571428569</v>
      </c>
      <c r="L158" s="30">
        <v>78.571428571428569</v>
      </c>
      <c r="M158" s="30">
        <v>86.428571428571431</v>
      </c>
      <c r="N158" s="30">
        <v>80.571428571428569</v>
      </c>
      <c r="O158" s="30">
        <v>88.857142857142861</v>
      </c>
      <c r="P158" s="30">
        <v>98</v>
      </c>
      <c r="Z158" s="112"/>
      <c r="AA158" s="112"/>
      <c r="AB158" s="112"/>
      <c r="AC158" s="112"/>
    </row>
    <row r="159" spans="2:29" ht="7.5" customHeight="1" x14ac:dyDescent="0.25">
      <c r="B159" s="114"/>
      <c r="Z159" s="112"/>
      <c r="AA159" s="112"/>
      <c r="AB159" s="112"/>
      <c r="AC159" s="112"/>
    </row>
    <row r="160" spans="2:29" x14ac:dyDescent="0.25">
      <c r="B160" s="114"/>
      <c r="C160" s="16" t="s">
        <v>253</v>
      </c>
      <c r="D160" s="69">
        <f>IFERROR(VLOOKUP(D$4,PICU!$CS$5:'PICU'!$CZ$19,2,FALSE),"")</f>
        <v>59.142857142857146</v>
      </c>
      <c r="E160" s="69">
        <f>IFERROR(VLOOKUP(E$4,PICU!$CS$5:'PICU'!$CZ$19,2,FALSE),"")</f>
        <v>76.428571428571431</v>
      </c>
      <c r="F160" s="69">
        <f>IFERROR(VLOOKUP(F$4,PICU!$CS$5:'PICU'!$CZ$19,2,FALSE),"")</f>
        <v>68.571428571428569</v>
      </c>
      <c r="G160" s="69">
        <f>IFERROR(VLOOKUP(G$4,PICU!$CS$5:'PICU'!$CZ$19,2,FALSE),"")</f>
        <v>80.571428571428569</v>
      </c>
      <c r="H160" s="69">
        <f>IFERROR(VLOOKUP(H$4,PICU!$CS$5:'PICU'!$CZ$19,2,FALSE),"")</f>
        <v>90.428571428571431</v>
      </c>
      <c r="I160" s="69" t="str">
        <f>IFERROR(VLOOKUP(I$4,PICU!$CS$5:'PICU'!$CZ$19,2,FALSE),"")</f>
        <v/>
      </c>
      <c r="J160" s="69" t="str">
        <f>IFERROR(VLOOKUP(J$4,PICU!$CS$5:'PICU'!$CZ$19,2,FALSE),"")</f>
        <v/>
      </c>
      <c r="K160" s="69" t="str">
        <f>IFERROR(VLOOKUP(K$4,PICU!$CS$5:'PICU'!$CZ$19,2,FALSE),"")</f>
        <v/>
      </c>
      <c r="L160" s="69" t="str">
        <f>IFERROR(VLOOKUP(L$4,PICU!$CS$5:'PICU'!$CZ$19,2,FALSE),"")</f>
        <v/>
      </c>
      <c r="M160" s="69" t="str">
        <f>IFERROR(VLOOKUP(M$4,PICU!$CS$5:'PICU'!$CZ$19,2,FALSE),"")</f>
        <v/>
      </c>
      <c r="N160" s="69" t="str">
        <f>IFERROR(VLOOKUP(N$4,PICU!$CS$5:'PICU'!$CZ$19,2,FALSE),"")</f>
        <v/>
      </c>
      <c r="O160" s="69" t="str">
        <f>IFERROR(VLOOKUP(O$4,PICU!$CS$5:'PICU'!$CZ$19,2,FALSE),"")</f>
        <v/>
      </c>
      <c r="P160" s="69" t="str">
        <f>IFERROR(VLOOKUP(P$4,PICU!$CS$5:'PICU'!$CZ$19,2,FALSE),"")</f>
        <v/>
      </c>
      <c r="Q160" s="104" t="str">
        <f>IFERROR(VLOOKUP(Q$4,PICU!$CS$5:'PICU'!$CZ$19,2,FALSE),"")</f>
        <v/>
      </c>
      <c r="Z160" s="112"/>
      <c r="AA160" s="112"/>
      <c r="AB160" s="112"/>
      <c r="AC160" s="112"/>
    </row>
    <row r="161" spans="2:29" x14ac:dyDescent="0.25">
      <c r="B161" s="114"/>
      <c r="C161" s="1" t="s">
        <v>2</v>
      </c>
      <c r="D161" s="68">
        <f>IFERROR(VLOOKUP(D$4,PICU!$CS$5:'PICU'!$CZ$19,3,FALSE),"")</f>
        <v>2.2857142857142856</v>
      </c>
      <c r="E161" s="68">
        <f>IFERROR(VLOOKUP(E$4,PICU!$CS$5:'PICU'!$CZ$19,3,FALSE),"")</f>
        <v>3.4285714285714284</v>
      </c>
      <c r="F161" s="68">
        <f>IFERROR(VLOOKUP(F$4,PICU!$CS$5:'PICU'!$CZ$19,3,FALSE),"")</f>
        <v>2.4285714285714284</v>
      </c>
      <c r="G161" s="68">
        <f>IFERROR(VLOOKUP(G$4,PICU!$CS$5:'PICU'!$CZ$19,3,FALSE),"")</f>
        <v>7</v>
      </c>
      <c r="H161" s="68">
        <f>IFERROR(VLOOKUP(H$4,PICU!$CS$5:'PICU'!$CZ$19,3,FALSE),"")</f>
        <v>12.142857142857142</v>
      </c>
      <c r="I161" s="68" t="str">
        <f>IFERROR(VLOOKUP(I$4,PICU!$CS$5:'PICU'!$CZ$19,3,FALSE),"")</f>
        <v/>
      </c>
      <c r="J161" s="68" t="str">
        <f>IFERROR(VLOOKUP(J$4,PICU!$CS$5:'PICU'!$CZ$19,3,FALSE),"")</f>
        <v/>
      </c>
      <c r="K161" s="68" t="str">
        <f>IFERROR(VLOOKUP(K$4,PICU!$CS$5:'PICU'!$CZ$19,3,FALSE),"")</f>
        <v/>
      </c>
      <c r="L161" s="68" t="str">
        <f>IFERROR(VLOOKUP(L$4,PICU!$CS$5:'PICU'!$CZ$19,3,FALSE),"")</f>
        <v/>
      </c>
      <c r="M161" s="68" t="str">
        <f>IFERROR(VLOOKUP(M$4,PICU!$CS$5:'PICU'!$CZ$19,3,FALSE),"")</f>
        <v/>
      </c>
      <c r="N161" s="68" t="str">
        <f>IFERROR(VLOOKUP(N$4,PICU!$CS$5:'PICU'!$CZ$19,3,FALSE),"")</f>
        <v/>
      </c>
      <c r="O161" s="68" t="str">
        <f>IFERROR(VLOOKUP(O$4,PICU!$CS$5:'PICU'!$CZ$19,3,FALSE),"")</f>
        <v/>
      </c>
      <c r="P161" s="68" t="str">
        <f>IFERROR(VLOOKUP(P$4,PICU!$CS$5:'PICU'!$CZ$19,3,FALSE),"")</f>
        <v/>
      </c>
      <c r="Q161" s="105" t="str">
        <f>IFERROR(VLOOKUP(Q$4,PICU!$CS$5:'PICU'!$CZ$19,3,FALSE),"")</f>
        <v/>
      </c>
      <c r="Z161" s="112"/>
      <c r="AA161" s="112"/>
      <c r="AB161" s="112"/>
      <c r="AC161" s="112"/>
    </row>
    <row r="162" spans="2:29" x14ac:dyDescent="0.25">
      <c r="B162" s="114"/>
      <c r="C162" s="1" t="s">
        <v>29</v>
      </c>
      <c r="D162" s="68">
        <f>IFERROR(VLOOKUP(D$4,PICU!$CS$5:'PICU'!$CZ$19,4,FALSE),"")</f>
        <v>12.571428571428571</v>
      </c>
      <c r="E162" s="68">
        <f>IFERROR(VLOOKUP(E$4,PICU!$CS$5:'PICU'!$CZ$19,4,FALSE),"")</f>
        <v>20.142857142857142</v>
      </c>
      <c r="F162" s="68">
        <f>IFERROR(VLOOKUP(F$4,PICU!$CS$5:'PICU'!$CZ$19,4,FALSE),"")</f>
        <v>20</v>
      </c>
      <c r="G162" s="68">
        <f>IFERROR(VLOOKUP(G$4,PICU!$CS$5:'PICU'!$CZ$19,4,FALSE),"")</f>
        <v>18.857142857142858</v>
      </c>
      <c r="H162" s="68">
        <f>IFERROR(VLOOKUP(H$4,PICU!$CS$5:'PICU'!$CZ$19,4,FALSE),"")</f>
        <v>24.285714285714285</v>
      </c>
      <c r="I162" s="68" t="str">
        <f>IFERROR(VLOOKUP(I$4,PICU!$CS$5:'PICU'!$CZ$19,4,FALSE),"")</f>
        <v/>
      </c>
      <c r="J162" s="68" t="str">
        <f>IFERROR(VLOOKUP(J$4,PICU!$CS$5:'PICU'!$CZ$19,4,FALSE),"")</f>
        <v/>
      </c>
      <c r="K162" s="68" t="str">
        <f>IFERROR(VLOOKUP(K$4,PICU!$CS$5:'PICU'!$CZ$19,4,FALSE),"")</f>
        <v/>
      </c>
      <c r="L162" s="68" t="str">
        <f>IFERROR(VLOOKUP(L$4,PICU!$CS$5:'PICU'!$CZ$19,4,FALSE),"")</f>
        <v/>
      </c>
      <c r="M162" s="68" t="str">
        <f>IFERROR(VLOOKUP(M$4,PICU!$CS$5:'PICU'!$CZ$19,4,FALSE),"")</f>
        <v/>
      </c>
      <c r="N162" s="68" t="str">
        <f>IFERROR(VLOOKUP(N$4,PICU!$CS$5:'PICU'!$CZ$19,4,FALSE),"")</f>
        <v/>
      </c>
      <c r="O162" s="68" t="str">
        <f>IFERROR(VLOOKUP(O$4,PICU!$CS$5:'PICU'!$CZ$19,4,FALSE),"")</f>
        <v/>
      </c>
      <c r="P162" s="68" t="str">
        <f>IFERROR(VLOOKUP(P$4,PICU!$CS$5:'PICU'!$CZ$19,4,FALSE),"")</f>
        <v/>
      </c>
      <c r="Q162" s="105" t="str">
        <f>IFERROR(VLOOKUP(Q$4,PICU!$CS$5:'PICU'!$CZ$19,4,FALSE),"")</f>
        <v/>
      </c>
      <c r="Z162" s="112"/>
      <c r="AA162" s="112"/>
      <c r="AB162" s="112"/>
      <c r="AC162" s="112"/>
    </row>
    <row r="163" spans="2:29" x14ac:dyDescent="0.25">
      <c r="B163" s="114"/>
      <c r="C163" s="1" t="s">
        <v>3</v>
      </c>
      <c r="D163" s="68">
        <f>IFERROR(VLOOKUP(D$4,PICU!$CS$5:'PICU'!$CZ$19,5,FALSE),"")</f>
        <v>18</v>
      </c>
      <c r="E163" s="68">
        <f>IFERROR(VLOOKUP(E$4,PICU!$CS$5:'PICU'!$CZ$19,5,FALSE),"")</f>
        <v>23.571428571428573</v>
      </c>
      <c r="F163" s="68">
        <f>IFERROR(VLOOKUP(F$4,PICU!$CS$5:'PICU'!$CZ$19,5,FALSE),"")</f>
        <v>22.428571428571427</v>
      </c>
      <c r="G163" s="68">
        <f>IFERROR(VLOOKUP(G$4,PICU!$CS$5:'PICU'!$CZ$19,5,FALSE),"")</f>
        <v>28</v>
      </c>
      <c r="H163" s="68">
        <f>IFERROR(VLOOKUP(H$4,PICU!$CS$5:'PICU'!$CZ$19,5,FALSE),"")</f>
        <v>24.142857142857142</v>
      </c>
      <c r="I163" s="68" t="str">
        <f>IFERROR(VLOOKUP(I$4,PICU!$CS$5:'PICU'!$CZ$19,5,FALSE),"")</f>
        <v/>
      </c>
      <c r="J163" s="68" t="str">
        <f>IFERROR(VLOOKUP(J$4,PICU!$CS$5:'PICU'!$CZ$19,5,FALSE),"")</f>
        <v/>
      </c>
      <c r="K163" s="68" t="str">
        <f>IFERROR(VLOOKUP(K$4,PICU!$CS$5:'PICU'!$CZ$19,5,FALSE),"")</f>
        <v/>
      </c>
      <c r="L163" s="68" t="str">
        <f>IFERROR(VLOOKUP(L$4,PICU!$CS$5:'PICU'!$CZ$19,5,FALSE),"")</f>
        <v/>
      </c>
      <c r="M163" s="68" t="str">
        <f>IFERROR(VLOOKUP(M$4,PICU!$CS$5:'PICU'!$CZ$19,5,FALSE),"")</f>
        <v/>
      </c>
      <c r="N163" s="68" t="str">
        <f>IFERROR(VLOOKUP(N$4,PICU!$CS$5:'PICU'!$CZ$19,5,FALSE),"")</f>
        <v/>
      </c>
      <c r="O163" s="68" t="str">
        <f>IFERROR(VLOOKUP(O$4,PICU!$CS$5:'PICU'!$CZ$19,5,FALSE),"")</f>
        <v/>
      </c>
      <c r="P163" s="68" t="str">
        <f>IFERROR(VLOOKUP(P$4,PICU!$CS$5:'PICU'!$CZ$19,5,FALSE),"")</f>
        <v/>
      </c>
      <c r="Q163" s="105" t="str">
        <f>IFERROR(VLOOKUP(Q$4,PICU!$CS$5:'PICU'!$CZ$19,5,FALSE),"")</f>
        <v/>
      </c>
      <c r="Z163" s="112"/>
      <c r="AA163" s="112"/>
      <c r="AB163" s="112"/>
      <c r="AC163" s="112"/>
    </row>
    <row r="164" spans="2:29" x14ac:dyDescent="0.25">
      <c r="B164" s="52"/>
      <c r="C164" s="1" t="s">
        <v>270</v>
      </c>
      <c r="D164" s="68">
        <f>IFERROR(VLOOKUP(D$4,PICU!$CS$5:'PICU'!$CZ$19,6,FALSE),"")</f>
        <v>9.7142857142857135</v>
      </c>
      <c r="E164" s="68">
        <f>IFERROR(VLOOKUP(E$4,PICU!$CS$5:'PICU'!$CZ$19,6,FALSE),"")</f>
        <v>8.5714285714285712</v>
      </c>
      <c r="F164" s="68">
        <f>IFERROR(VLOOKUP(F$4,PICU!$CS$5:'PICU'!$CZ$19,6,FALSE),"")</f>
        <v>8</v>
      </c>
      <c r="G164" s="68">
        <f>IFERROR(VLOOKUP(G$4,PICU!$CS$5:'PICU'!$CZ$19,6,FALSE),"")</f>
        <v>5</v>
      </c>
      <c r="H164" s="68">
        <f>IFERROR(VLOOKUP(H$4,PICU!$CS$5:'PICU'!$CZ$19,6,FALSE),"")</f>
        <v>9.1428571428571423</v>
      </c>
      <c r="I164" s="68" t="str">
        <f>IFERROR(VLOOKUP(I$4,PICU!$CS$5:'PICU'!$CZ$19,6,FALSE),"")</f>
        <v/>
      </c>
      <c r="J164" s="68" t="str">
        <f>IFERROR(VLOOKUP(J$4,PICU!$CS$5:'PICU'!$CZ$19,6,FALSE),"")</f>
        <v/>
      </c>
      <c r="K164" s="68" t="str">
        <f>IFERROR(VLOOKUP(K$4,PICU!$CS$5:'PICU'!$CZ$19,6,FALSE),"")</f>
        <v/>
      </c>
      <c r="L164" s="68" t="str">
        <f>IFERROR(VLOOKUP(L$4,PICU!$CS$5:'PICU'!$CZ$19,6,FALSE),"")</f>
        <v/>
      </c>
      <c r="M164" s="68" t="str">
        <f>IFERROR(VLOOKUP(M$4,PICU!$CS$5:'PICU'!$CZ$19,6,FALSE),"")</f>
        <v/>
      </c>
      <c r="N164" s="68" t="str">
        <f>IFERROR(VLOOKUP(N$4,PICU!$CS$5:'PICU'!$CZ$19,6,FALSE),"")</f>
        <v/>
      </c>
      <c r="O164" s="68" t="str">
        <f>IFERROR(VLOOKUP(O$4,PICU!$CS$5:'PICU'!$CZ$19,6,FALSE),"")</f>
        <v/>
      </c>
      <c r="P164" s="68" t="str">
        <f>IFERROR(VLOOKUP(P$4,PICU!$CS$5:'PICU'!$CZ$19,6,FALSE),"")</f>
        <v/>
      </c>
      <c r="Q164" s="105" t="str">
        <f>IFERROR(VLOOKUP(Q$4,PICU!$CS$5:'PICU'!$CZ$19,6,FALSE),"")</f>
        <v/>
      </c>
      <c r="Z164" s="51"/>
      <c r="AA164" s="51"/>
      <c r="AB164" s="51"/>
      <c r="AC164" s="51"/>
    </row>
    <row r="165" spans="2:29" x14ac:dyDescent="0.25">
      <c r="B165" s="52"/>
      <c r="C165" s="11" t="s">
        <v>278</v>
      </c>
      <c r="D165" s="68">
        <f>IFERROR(VLOOKUP(D$4,PICU!$CS$5:'PICU'!$CZ$19,7,FALSE),"")</f>
        <v>16.571428571428573</v>
      </c>
      <c r="E165" s="68">
        <f>IFERROR(VLOOKUP(E$4,PICU!$CS$5:'PICU'!$CZ$19,7,FALSE),"")</f>
        <v>20.714285714285715</v>
      </c>
      <c r="F165" s="68">
        <f>IFERROR(VLOOKUP(F$4,PICU!$CS$5:'PICU'!$CZ$19,7,FALSE),"")</f>
        <v>15.714285714285714</v>
      </c>
      <c r="G165" s="68">
        <f>IFERROR(VLOOKUP(G$4,PICU!$CS$5:'PICU'!$CZ$19,7,FALSE),"")</f>
        <v>21.714285714285715</v>
      </c>
      <c r="H165" s="68">
        <f>IFERROR(VLOOKUP(H$4,PICU!$CS$5:'PICU'!$CZ$19,7,FALSE),"")</f>
        <v>20.714285714285715</v>
      </c>
      <c r="I165" s="68" t="str">
        <f>IFERROR(VLOOKUP(I$4,PICU!$CS$5:'PICU'!$CZ$19,7,FALSE),"")</f>
        <v/>
      </c>
      <c r="J165" s="68" t="str">
        <f>IFERROR(VLOOKUP(J$4,PICU!$CS$5:'PICU'!$CZ$19,7,FALSE),"")</f>
        <v/>
      </c>
      <c r="K165" s="68" t="str">
        <f>IFERROR(VLOOKUP(K$4,PICU!$CS$5:'PICU'!$CZ$19,7,FALSE),"")</f>
        <v/>
      </c>
      <c r="L165" s="68" t="str">
        <f>IFERROR(VLOOKUP(L$4,PICU!$CS$5:'PICU'!$CZ$19,7,FALSE),"")</f>
        <v/>
      </c>
      <c r="M165" s="68" t="str">
        <f>IFERROR(VLOOKUP(M$4,PICU!$CS$5:'PICU'!$CZ$19,7,FALSE),"")</f>
        <v/>
      </c>
      <c r="N165" s="68" t="str">
        <f>IFERROR(VLOOKUP(N$4,PICU!$CS$5:'PICU'!$CZ$19,7,FALSE),"")</f>
        <v/>
      </c>
      <c r="O165" s="68" t="str">
        <f>IFERROR(VLOOKUP(O$4,PICU!$CS$5:'PICU'!$CZ$19,7,FALSE),"")</f>
        <v/>
      </c>
      <c r="P165" s="68" t="str">
        <f>IFERROR(VLOOKUP(P$4,PICU!$CS$5:'PICU'!$CZ$19,7,FALSE),"")</f>
        <v/>
      </c>
      <c r="Q165" s="105" t="str">
        <f>IFERROR(VLOOKUP(Q$4,PICU!$CS$5:'PICU'!$CZ$19,7,FALSE),"")</f>
        <v/>
      </c>
      <c r="Z165" s="51"/>
      <c r="AA165" s="51"/>
      <c r="AB165" s="51"/>
      <c r="AC165" s="51"/>
    </row>
    <row r="166" spans="2:29" ht="30" customHeight="1" x14ac:dyDescent="0.25">
      <c r="C166" s="1"/>
    </row>
    <row r="167" spans="2:29" x14ac:dyDescent="0.25">
      <c r="B167" s="114" t="s">
        <v>22</v>
      </c>
      <c r="C167" s="5" t="s">
        <v>330</v>
      </c>
      <c r="Z167" s="115" t="s">
        <v>39</v>
      </c>
      <c r="AA167" s="115"/>
      <c r="AB167" s="115"/>
      <c r="AC167" s="115"/>
    </row>
    <row r="168" spans="2:29" x14ac:dyDescent="0.25">
      <c r="B168" s="114"/>
      <c r="C168" s="77" t="s">
        <v>0</v>
      </c>
      <c r="D168" s="7">
        <v>0.73465326833150935</v>
      </c>
      <c r="E168" s="7">
        <v>0.72341918027858498</v>
      </c>
      <c r="F168" s="7">
        <v>0.73064209155564463</v>
      </c>
      <c r="G168" s="7">
        <v>0.7099442008768434</v>
      </c>
      <c r="H168" s="7">
        <v>0.71733966745843225</v>
      </c>
      <c r="I168" s="7">
        <v>0.69255791030064073</v>
      </c>
      <c r="J168" s="7">
        <v>0.71183923975450403</v>
      </c>
      <c r="K168" s="7">
        <v>0.69433336584414318</v>
      </c>
      <c r="L168" s="7">
        <v>0.70073349633251836</v>
      </c>
      <c r="M168" s="7">
        <v>0.68913410875832593</v>
      </c>
      <c r="N168" s="7">
        <v>0.68751232984809629</v>
      </c>
      <c r="O168" s="7">
        <v>0.68064579641661749</v>
      </c>
      <c r="P168" s="7">
        <v>0.68395621733556844</v>
      </c>
      <c r="Z168" s="115"/>
      <c r="AA168" s="115"/>
      <c r="AB168" s="115"/>
      <c r="AC168" s="115"/>
    </row>
    <row r="169" spans="2:29" ht="9" customHeight="1" x14ac:dyDescent="0.25">
      <c r="B169" s="114"/>
      <c r="D169" s="31">
        <v>0.85</v>
      </c>
      <c r="E169" s="31">
        <v>0.85</v>
      </c>
      <c r="F169" s="31">
        <v>0.85</v>
      </c>
      <c r="G169" s="31">
        <v>0.85</v>
      </c>
      <c r="H169" s="31">
        <v>0.85</v>
      </c>
      <c r="I169" s="31">
        <v>0.85</v>
      </c>
      <c r="J169" s="31">
        <v>0.85</v>
      </c>
      <c r="K169" s="31">
        <v>0.85</v>
      </c>
      <c r="L169" s="31">
        <v>0.85</v>
      </c>
      <c r="M169" s="31">
        <v>0.85</v>
      </c>
      <c r="N169" s="31">
        <v>0.85</v>
      </c>
      <c r="O169" s="31">
        <v>0.85</v>
      </c>
      <c r="P169" s="31">
        <v>0.85</v>
      </c>
      <c r="Q169" s="31">
        <v>0.85</v>
      </c>
      <c r="Z169" s="115"/>
      <c r="AA169" s="115"/>
      <c r="AB169" s="115"/>
      <c r="AC169" s="115"/>
    </row>
    <row r="170" spans="2:29" x14ac:dyDescent="0.25">
      <c r="B170" s="114"/>
      <c r="C170" s="16" t="s">
        <v>253</v>
      </c>
      <c r="D170" s="70">
        <f>IFERROR(VLOOKUP(D$4,NICU!$V$5:$AC$19,2,FALSE),"")</f>
        <v>0.69096181730304496</v>
      </c>
      <c r="E170" s="70">
        <f>IFERROR(VLOOKUP(E$4,NICU!$V$5:$AC$19,2,FALSE),"")</f>
        <v>0.68640308582449372</v>
      </c>
      <c r="F170" s="70">
        <f>IFERROR(VLOOKUP(F$4,NICU!$V$5:$AC$19,2,FALSE),"")</f>
        <v>0.70125482625482627</v>
      </c>
      <c r="G170" s="70">
        <f>IFERROR(VLOOKUP(G$4,NICU!$V$5:$AC$19,2,FALSE),"")</f>
        <v>0.67523772559673978</v>
      </c>
      <c r="H170" s="70">
        <f>IFERROR(VLOOKUP(H$4,NICU!$V$5:$AC$19,2,FALSE),"")</f>
        <v>0.67860967773342418</v>
      </c>
      <c r="I170" s="70" t="str">
        <f>IFERROR(VLOOKUP(I$4,NICU!$V$5:$AC$19,2,FALSE),"")</f>
        <v/>
      </c>
      <c r="J170" s="70" t="str">
        <f>IFERROR(VLOOKUP(J$4,NICU!$V$5:$AC$19,2,FALSE),"")</f>
        <v/>
      </c>
      <c r="K170" s="70" t="str">
        <f>IFERROR(VLOOKUP(K$4,NICU!$V$5:$AC$19,2,FALSE),"")</f>
        <v/>
      </c>
      <c r="L170" s="70" t="str">
        <f>IFERROR(VLOOKUP(L$4,NICU!$V$5:$AC$19,2,FALSE),"")</f>
        <v/>
      </c>
      <c r="M170" s="70" t="str">
        <f>IFERROR(VLOOKUP(M$4,NICU!$V$5:$AC$19,2,FALSE),"")</f>
        <v/>
      </c>
      <c r="N170" s="70" t="str">
        <f>IFERROR(VLOOKUP(N$4,NICU!$V$5:$AC$19,2,FALSE),"")</f>
        <v/>
      </c>
      <c r="O170" s="70" t="str">
        <f>IFERROR(VLOOKUP(O$4,NICU!$V$5:$AC$19,2,FALSE),"")</f>
        <v/>
      </c>
      <c r="P170" s="70" t="str">
        <f>IFERROR(VLOOKUP(P$4,NICU!$V$5:$AC$19,2,FALSE),"")</f>
        <v/>
      </c>
      <c r="Q170" s="103" t="str">
        <f>IFERROR(VLOOKUP(Q$4,NICU!$V$5:$AC$19,2,FALSE),"")</f>
        <v/>
      </c>
      <c r="Z170" s="115"/>
      <c r="AA170" s="115"/>
      <c r="AB170" s="115"/>
      <c r="AC170" s="115"/>
    </row>
    <row r="171" spans="2:29" x14ac:dyDescent="0.25">
      <c r="B171" s="114"/>
      <c r="C171" s="1" t="s">
        <v>2</v>
      </c>
      <c r="D171" s="67">
        <f>IFERROR(VLOOKUP(D$4,NICU!$V$5:$AC$19,3,FALSE),"")</f>
        <v>0.7955988150655946</v>
      </c>
      <c r="E171" s="67">
        <f>IFERROR(VLOOKUP(E$4,NICU!$V$5:$AC$19,3,FALSE),"")</f>
        <v>0.76789495976281241</v>
      </c>
      <c r="F171" s="67">
        <f>IFERROR(VLOOKUP(F$4,NICU!$V$5:$AC$19,3,FALSE),"")</f>
        <v>0.79073684210526318</v>
      </c>
      <c r="G171" s="67">
        <f>IFERROR(VLOOKUP(G$4,NICU!$V$5:$AC$19,3,FALSE),"")</f>
        <v>0.75369666244190958</v>
      </c>
      <c r="H171" s="67">
        <f>IFERROR(VLOOKUP(H$4,NICU!$V$5:$AC$19,3,FALSE),"")</f>
        <v>0.7832345469940728</v>
      </c>
      <c r="I171" s="67" t="str">
        <f>IFERROR(VLOOKUP(I$4,NICU!$V$5:$AC$19,3,FALSE),"")</f>
        <v/>
      </c>
      <c r="J171" s="67" t="str">
        <f>IFERROR(VLOOKUP(J$4,NICU!$V$5:$AC$19,3,FALSE),"")</f>
        <v/>
      </c>
      <c r="K171" s="67" t="str">
        <f>IFERROR(VLOOKUP(K$4,NICU!$V$5:$AC$19,3,FALSE),"")</f>
        <v/>
      </c>
      <c r="L171" s="67" t="str">
        <f>IFERROR(VLOOKUP(L$4,NICU!$V$5:$AC$19,3,FALSE),"")</f>
        <v/>
      </c>
      <c r="M171" s="67" t="str">
        <f>IFERROR(VLOOKUP(M$4,NICU!$V$5:$AC$19,3,FALSE),"")</f>
        <v/>
      </c>
      <c r="N171" s="67" t="str">
        <f>IFERROR(VLOOKUP(N$4,NICU!$V$5:$AC$19,3,FALSE),"")</f>
        <v/>
      </c>
      <c r="O171" s="67" t="str">
        <f>IFERROR(VLOOKUP(O$4,NICU!$V$5:$AC$19,3,FALSE),"")</f>
        <v/>
      </c>
      <c r="P171" s="67" t="str">
        <f>IFERROR(VLOOKUP(P$4,NICU!$V$5:$AC$19,3,FALSE),"")</f>
        <v/>
      </c>
      <c r="Q171" s="78" t="str">
        <f>IFERROR(VLOOKUP(Q$4,NICU!$V$5:$AC$19,3,FALSE),"")</f>
        <v/>
      </c>
      <c r="Z171" s="112" t="s">
        <v>346</v>
      </c>
      <c r="AA171" s="112"/>
      <c r="AB171" s="112"/>
      <c r="AC171" s="112"/>
    </row>
    <row r="172" spans="2:29" x14ac:dyDescent="0.25">
      <c r="B172" s="114"/>
      <c r="C172" s="1" t="s">
        <v>29</v>
      </c>
      <c r="D172" s="67">
        <f>IFERROR(VLOOKUP(D$4,NICU!$V$5:$AC$19,4,FALSE),"")</f>
        <v>0.66062085803976278</v>
      </c>
      <c r="E172" s="67">
        <f>IFERROR(VLOOKUP(E$4,NICU!$V$5:$AC$19,4,FALSE),"")</f>
        <v>0.68086592178770955</v>
      </c>
      <c r="F172" s="67">
        <f>IFERROR(VLOOKUP(F$4,NICU!$V$5:$AC$19,4,FALSE),"")</f>
        <v>0.68297797972736807</v>
      </c>
      <c r="G172" s="67">
        <f>IFERROR(VLOOKUP(G$4,NICU!$V$5:$AC$19,4,FALSE),"")</f>
        <v>0.63343826512766699</v>
      </c>
      <c r="H172" s="67">
        <f>IFERROR(VLOOKUP(H$4,NICU!$V$5:$AC$19,4,FALSE),"")</f>
        <v>0.63549075391180654</v>
      </c>
      <c r="I172" s="67" t="str">
        <f>IFERROR(VLOOKUP(I$4,NICU!$V$5:$AC$19,4,FALSE),"")</f>
        <v/>
      </c>
      <c r="J172" s="67" t="str">
        <f>IFERROR(VLOOKUP(J$4,NICU!$V$5:$AC$19,4,FALSE),"")</f>
        <v/>
      </c>
      <c r="K172" s="67" t="str">
        <f>IFERROR(VLOOKUP(K$4,NICU!$V$5:$AC$19,4,FALSE),"")</f>
        <v/>
      </c>
      <c r="L172" s="67" t="str">
        <f>IFERROR(VLOOKUP(L$4,NICU!$V$5:$AC$19,4,FALSE),"")</f>
        <v/>
      </c>
      <c r="M172" s="67" t="str">
        <f>IFERROR(VLOOKUP(M$4,NICU!$V$5:$AC$19,4,FALSE),"")</f>
        <v/>
      </c>
      <c r="N172" s="67" t="str">
        <f>IFERROR(VLOOKUP(N$4,NICU!$V$5:$AC$19,4,FALSE),"")</f>
        <v/>
      </c>
      <c r="O172" s="67" t="str">
        <f>IFERROR(VLOOKUP(O$4,NICU!$V$5:$AC$19,4,FALSE),"")</f>
        <v/>
      </c>
      <c r="P172" s="67" t="str">
        <f>IFERROR(VLOOKUP(P$4,NICU!$V$5:$AC$19,4,FALSE),"")</f>
        <v/>
      </c>
      <c r="Q172" s="78" t="str">
        <f>IFERROR(VLOOKUP(Q$4,NICU!$V$5:$AC$19,4,FALSE),"")</f>
        <v/>
      </c>
      <c r="Z172" s="112"/>
      <c r="AA172" s="112"/>
      <c r="AB172" s="112"/>
      <c r="AC172" s="112"/>
    </row>
    <row r="173" spans="2:29" x14ac:dyDescent="0.25">
      <c r="B173" s="114"/>
      <c r="C173" s="1" t="s">
        <v>3</v>
      </c>
      <c r="D173" s="67">
        <f>IFERROR(VLOOKUP(D$4,NICU!$V$5:$AC$19,5,FALSE),"")</f>
        <v>0.68340807174887896</v>
      </c>
      <c r="E173" s="67">
        <f>IFERROR(VLOOKUP(E$4,NICU!$V$5:$AC$19,5,FALSE),"")</f>
        <v>0.69048682447521215</v>
      </c>
      <c r="F173" s="67">
        <f>IFERROR(VLOOKUP(F$4,NICU!$V$5:$AC$19,5,FALSE),"")</f>
        <v>0.64114182147711829</v>
      </c>
      <c r="G173" s="67">
        <f>IFERROR(VLOOKUP(G$4,NICU!$V$5:$AC$19,5,FALSE),"")</f>
        <v>0.61685649202733484</v>
      </c>
      <c r="H173" s="67">
        <f>IFERROR(VLOOKUP(H$4,NICU!$V$5:$AC$19,5,FALSE),"")</f>
        <v>0.60072595281306718</v>
      </c>
      <c r="I173" s="67" t="str">
        <f>IFERROR(VLOOKUP(I$4,NICU!$V$5:$AC$19,5,FALSE),"")</f>
        <v/>
      </c>
      <c r="J173" s="67" t="str">
        <f>IFERROR(VLOOKUP(J$4,NICU!$V$5:$AC$19,5,FALSE),"")</f>
        <v/>
      </c>
      <c r="K173" s="67" t="str">
        <f>IFERROR(VLOOKUP(K$4,NICU!$V$5:$AC$19,5,FALSE),"")</f>
        <v/>
      </c>
      <c r="L173" s="67" t="str">
        <f>IFERROR(VLOOKUP(L$4,NICU!$V$5:$AC$19,5,FALSE),"")</f>
        <v/>
      </c>
      <c r="M173" s="67" t="str">
        <f>IFERROR(VLOOKUP(M$4,NICU!$V$5:$AC$19,5,FALSE),"")</f>
        <v/>
      </c>
      <c r="N173" s="67" t="str">
        <f>IFERROR(VLOOKUP(N$4,NICU!$V$5:$AC$19,5,FALSE),"")</f>
        <v/>
      </c>
      <c r="O173" s="67" t="str">
        <f>IFERROR(VLOOKUP(O$4,NICU!$V$5:$AC$19,5,FALSE),"")</f>
        <v/>
      </c>
      <c r="P173" s="67" t="str">
        <f>IFERROR(VLOOKUP(P$4,NICU!$V$5:$AC$19,5,FALSE),"")</f>
        <v/>
      </c>
      <c r="Q173" s="78" t="str">
        <f>IFERROR(VLOOKUP(Q$4,NICU!$V$5:$AC$19,5,FALSE),"")</f>
        <v/>
      </c>
      <c r="Z173" s="112"/>
      <c r="AA173" s="112"/>
      <c r="AB173" s="112"/>
      <c r="AC173" s="112"/>
    </row>
    <row r="174" spans="2:29" ht="18" customHeight="1" x14ac:dyDescent="0.25">
      <c r="B174" s="114"/>
      <c r="C174" s="1" t="s">
        <v>270</v>
      </c>
      <c r="D174" s="67">
        <f>IFERROR(VLOOKUP(D$4,NICU!$V$5:$AC$19,6,FALSE),"")</f>
        <v>0.63077759651984777</v>
      </c>
      <c r="E174" s="67">
        <f>IFERROR(VLOOKUP(E$4,NICU!$V$5:$AC$19,6,FALSE),"")</f>
        <v>0.63646288209606983</v>
      </c>
      <c r="F174" s="67">
        <f>IFERROR(VLOOKUP(F$4,NICU!$V$5:$AC$19,6,FALSE),"")</f>
        <v>0.68392664509169365</v>
      </c>
      <c r="G174" s="67">
        <f>IFERROR(VLOOKUP(G$4,NICU!$V$5:$AC$19,6,FALSE),"")</f>
        <v>0.6753812636165577</v>
      </c>
      <c r="H174" s="67">
        <f>IFERROR(VLOOKUP(H$4,NICU!$V$5:$AC$19,6,FALSE),"")</f>
        <v>0.69050218340611358</v>
      </c>
      <c r="I174" s="67" t="str">
        <f>IFERROR(VLOOKUP(I$4,NICU!$V$5:$AC$19,6,FALSE),"")</f>
        <v/>
      </c>
      <c r="J174" s="67" t="str">
        <f>IFERROR(VLOOKUP(J$4,NICU!$V$5:$AC$19,6,FALSE),"")</f>
        <v/>
      </c>
      <c r="K174" s="67" t="str">
        <f>IFERROR(VLOOKUP(K$4,NICU!$V$5:$AC$19,6,FALSE),"")</f>
        <v/>
      </c>
      <c r="L174" s="67" t="str">
        <f>IFERROR(VLOOKUP(L$4,NICU!$V$5:$AC$19,6,FALSE),"")</f>
        <v/>
      </c>
      <c r="M174" s="67" t="str">
        <f>IFERROR(VLOOKUP(M$4,NICU!$V$5:$AC$19,6,FALSE),"")</f>
        <v/>
      </c>
      <c r="N174" s="67" t="str">
        <f>IFERROR(VLOOKUP(N$4,NICU!$V$5:$AC$19,6,FALSE),"")</f>
        <v/>
      </c>
      <c r="O174" s="67" t="str">
        <f>IFERROR(VLOOKUP(O$4,NICU!$V$5:$AC$19,6,FALSE),"")</f>
        <v/>
      </c>
      <c r="P174" s="67" t="str">
        <f>IFERROR(VLOOKUP(P$4,NICU!$V$5:$AC$19,6,FALSE),"")</f>
        <v/>
      </c>
      <c r="Q174" s="78" t="str">
        <f>IFERROR(VLOOKUP(Q$4,NICU!$V$5:$AC$19,6,FALSE),"")</f>
        <v/>
      </c>
      <c r="Z174" s="112"/>
      <c r="AA174" s="112"/>
      <c r="AB174" s="112"/>
      <c r="AC174" s="112"/>
    </row>
    <row r="175" spans="2:29" ht="15" customHeight="1" x14ac:dyDescent="0.25">
      <c r="B175" s="114"/>
      <c r="C175" s="11" t="s">
        <v>305</v>
      </c>
      <c r="D175" s="67">
        <f>IFERROR(VLOOKUP(D$4,NICU!$V$5:$AC$19,7,FALSE),"")</f>
        <v>0.65965583173996178</v>
      </c>
      <c r="E175" s="67">
        <f>IFERROR(VLOOKUP(E$4,NICU!$V$5:$AC$19,7,FALSE),"")</f>
        <v>0.5986964618249534</v>
      </c>
      <c r="F175" s="67">
        <f>IFERROR(VLOOKUP(F$4,NICU!$V$5:$AC$19,7,FALSE),"")</f>
        <v>0.70555032925682037</v>
      </c>
      <c r="G175" s="67">
        <f>IFERROR(VLOOKUP(G$4,NICU!$V$5:$AC$19,7,FALSE),"")</f>
        <v>0.73403241182078172</v>
      </c>
      <c r="H175" s="67">
        <f>IFERROR(VLOOKUP(H$4,NICU!$V$5:$AC$19,7,FALSE),"")</f>
        <v>0.70122525918944389</v>
      </c>
      <c r="I175" s="67" t="str">
        <f>IFERROR(VLOOKUP(I$4,NICU!$V$5:$AC$19,7,FALSE),"")</f>
        <v/>
      </c>
      <c r="J175" s="67" t="str">
        <f>IFERROR(VLOOKUP(J$4,NICU!$V$5:$AC$19,7,FALSE),"")</f>
        <v/>
      </c>
      <c r="K175" s="67" t="str">
        <f>IFERROR(VLOOKUP(K$4,NICU!$V$5:$AC$19,7,FALSE),"")</f>
        <v/>
      </c>
      <c r="L175" s="67" t="str">
        <f>IFERROR(VLOOKUP(L$4,NICU!$V$5:$AC$19,7,FALSE),"")</f>
        <v/>
      </c>
      <c r="M175" s="67" t="str">
        <f>IFERROR(VLOOKUP(M$4,NICU!$V$5:$AC$19,7,FALSE),"")</f>
        <v/>
      </c>
      <c r="N175" s="67" t="str">
        <f>IFERROR(VLOOKUP(N$4,NICU!$V$5:$AC$19,7,FALSE),"")</f>
        <v/>
      </c>
      <c r="O175" s="67" t="str">
        <f>IFERROR(VLOOKUP(O$4,NICU!$V$5:$AC$19,7,FALSE),"")</f>
        <v/>
      </c>
      <c r="P175" s="67" t="str">
        <f>IFERROR(VLOOKUP(P$4,NICU!$V$5:$AC$19,7,FALSE),"")</f>
        <v/>
      </c>
      <c r="Q175" s="78" t="str">
        <f>IFERROR(VLOOKUP(Q$4,NICU!$V$5:$AC$19,7,FALSE),"")</f>
        <v/>
      </c>
      <c r="Z175" s="112"/>
      <c r="AA175" s="112"/>
      <c r="AB175" s="112"/>
      <c r="AC175" s="112"/>
    </row>
    <row r="176" spans="2:29" ht="7.5" customHeight="1" x14ac:dyDescent="0.25">
      <c r="B176" s="114"/>
      <c r="C176" s="11"/>
      <c r="D176" s="78"/>
      <c r="E176" s="78"/>
      <c r="F176" s="78"/>
      <c r="G176" s="78"/>
      <c r="H176" s="78"/>
      <c r="I176" s="78"/>
      <c r="J176" s="78"/>
      <c r="K176" s="78"/>
      <c r="L176" s="78"/>
      <c r="M176" s="78"/>
      <c r="N176" s="78"/>
      <c r="O176" s="78"/>
      <c r="P176" s="78"/>
      <c r="Q176" s="78"/>
      <c r="Z176" s="112"/>
      <c r="AA176" s="112"/>
      <c r="AB176" s="112"/>
      <c r="AC176" s="112"/>
    </row>
    <row r="177" spans="2:29" x14ac:dyDescent="0.25">
      <c r="B177" s="114"/>
      <c r="C177" s="12" t="s">
        <v>21</v>
      </c>
      <c r="Z177" s="112"/>
      <c r="AA177" s="112"/>
      <c r="AB177" s="112"/>
      <c r="AC177" s="112"/>
    </row>
    <row r="178" spans="2:29" x14ac:dyDescent="0.25">
      <c r="B178" s="114"/>
      <c r="C178" s="11" t="s">
        <v>0</v>
      </c>
      <c r="D178" s="30">
        <v>381</v>
      </c>
      <c r="E178" s="30">
        <v>394.28571428571428</v>
      </c>
      <c r="F178" s="30">
        <v>384.14285714285717</v>
      </c>
      <c r="G178" s="30">
        <v>415.85714285714283</v>
      </c>
      <c r="H178" s="30">
        <v>408</v>
      </c>
      <c r="I178" s="30">
        <v>445.57142857142856</v>
      </c>
      <c r="J178" s="30">
        <v>415.85714285714283</v>
      </c>
      <c r="K178" s="30">
        <v>447.71428571428572</v>
      </c>
      <c r="L178" s="30">
        <v>437.14285714285717</v>
      </c>
      <c r="M178" s="30">
        <v>446.71428571428572</v>
      </c>
      <c r="N178" s="30">
        <v>452.57142857142856</v>
      </c>
      <c r="O178" s="30">
        <v>463.42857142857144</v>
      </c>
      <c r="P178" s="30">
        <v>457.85714285714283</v>
      </c>
      <c r="Z178" s="112"/>
      <c r="AA178" s="112"/>
      <c r="AB178" s="112"/>
      <c r="AC178" s="112"/>
    </row>
    <row r="179" spans="2:29" ht="7.5" customHeight="1" x14ac:dyDescent="0.25">
      <c r="B179" s="114"/>
      <c r="C179" s="1"/>
      <c r="Z179" s="112"/>
      <c r="AA179" s="112"/>
      <c r="AB179" s="112"/>
      <c r="AC179" s="112"/>
    </row>
    <row r="180" spans="2:29" x14ac:dyDescent="0.25">
      <c r="B180" s="114"/>
      <c r="C180" s="16" t="s">
        <v>253</v>
      </c>
      <c r="D180" s="69">
        <f>IFERROR(VLOOKUP(D$4,NICU!$AZ$5:$BG$19,2,FALSE),"")</f>
        <v>456.71428571428572</v>
      </c>
      <c r="E180" s="69">
        <f>IFERROR(VLOOKUP(E$4,NICU!$AZ$5:$BG$19,2,FALSE),"")</f>
        <v>464.57142857142856</v>
      </c>
      <c r="F180" s="69">
        <f>IFERROR(VLOOKUP(F$4,NICU!$AZ$5:$BG$19,2,FALSE),"")</f>
        <v>442.14285714285717</v>
      </c>
      <c r="G180" s="69">
        <f>IFERROR(VLOOKUP(G$4,NICU!$AZ$5:$BG$19,2,FALSE),"")</f>
        <v>478.14285714285717</v>
      </c>
      <c r="H180" s="69">
        <f>IFERROR(VLOOKUP(H$4,NICU!$AZ$5:$BG$19,2,FALSE),"")</f>
        <v>471.57142857142856</v>
      </c>
      <c r="I180" s="69" t="str">
        <f>IFERROR(VLOOKUP(I$4,NICU!$AZ$5:$BG$19,2,FALSE),"")</f>
        <v/>
      </c>
      <c r="J180" s="69" t="str">
        <f>IFERROR(VLOOKUP(J$4,NICU!$AZ$5:$BG$19,2,FALSE),"")</f>
        <v/>
      </c>
      <c r="K180" s="69" t="str">
        <f>IFERROR(VLOOKUP(K$4,NICU!$AZ$5:$BG$19,2,FALSE),"")</f>
        <v/>
      </c>
      <c r="L180" s="69" t="str">
        <f>IFERROR(VLOOKUP(L$4,NICU!$AZ$5:$BG$19,2,FALSE),"")</f>
        <v/>
      </c>
      <c r="M180" s="69" t="str">
        <f>IFERROR(VLOOKUP(M$4,NICU!$AZ$5:$BG$19,2,FALSE),"")</f>
        <v/>
      </c>
      <c r="N180" s="69" t="str">
        <f>IFERROR(VLOOKUP(N$4,NICU!$AZ$5:$BG$19,2,FALSE),"")</f>
        <v/>
      </c>
      <c r="O180" s="69" t="str">
        <f>IFERROR(VLOOKUP(O$4,NICU!$AZ$5:$BG$19,2,FALSE),"")</f>
        <v/>
      </c>
      <c r="P180" s="69" t="str">
        <f>IFERROR(VLOOKUP(P$4,NICU!$AZ$5:$BG$19,2,FALSE),"")</f>
        <v/>
      </c>
      <c r="Q180" s="104" t="str">
        <f>IFERROR(VLOOKUP(Q$4,NICU!$AZ$5:$BG$19,2,FALSE),"")</f>
        <v/>
      </c>
      <c r="Z180" s="112"/>
      <c r="AA180" s="112"/>
      <c r="AB180" s="112"/>
      <c r="AC180" s="112"/>
    </row>
    <row r="181" spans="2:29" x14ac:dyDescent="0.25">
      <c r="B181" s="114"/>
      <c r="C181" s="1" t="s">
        <v>2</v>
      </c>
      <c r="D181" s="68">
        <f>IFERROR(VLOOKUP(D$4,NICU!$AZ$5:$BG$19,3,FALSE),"")</f>
        <v>69</v>
      </c>
      <c r="E181" s="68">
        <f>IFERROR(VLOOKUP(E$4,NICU!$AZ$5:$BG$19,3,FALSE),"")</f>
        <v>78.285714285714292</v>
      </c>
      <c r="F181" s="68">
        <f>IFERROR(VLOOKUP(F$4,NICU!$AZ$5:$BG$19,3,FALSE),"")</f>
        <v>71</v>
      </c>
      <c r="G181" s="68">
        <f>IFERROR(VLOOKUP(G$4,NICU!$AZ$5:$BG$19,3,FALSE),"")</f>
        <v>83.285714285714292</v>
      </c>
      <c r="H181" s="68">
        <f>IFERROR(VLOOKUP(H$4,NICU!$AZ$5:$BG$19,3,FALSE),"")</f>
        <v>73.142857142857139</v>
      </c>
      <c r="I181" s="68" t="str">
        <f>IFERROR(VLOOKUP(I$4,NICU!$AZ$5:$BG$19,3,FALSE),"")</f>
        <v/>
      </c>
      <c r="J181" s="68" t="str">
        <f>IFERROR(VLOOKUP(J$4,NICU!$AZ$5:$BG$19,3,FALSE),"")</f>
        <v/>
      </c>
      <c r="K181" s="68" t="str">
        <f>IFERROR(VLOOKUP(K$4,NICU!$AZ$5:$BG$19,3,FALSE),"")</f>
        <v/>
      </c>
      <c r="L181" s="68" t="str">
        <f>IFERROR(VLOOKUP(L$4,NICU!$AZ$5:$BG$19,3,FALSE),"")</f>
        <v/>
      </c>
      <c r="M181" s="68" t="str">
        <f>IFERROR(VLOOKUP(M$4,NICU!$AZ$5:$BG$19,3,FALSE),"")</f>
        <v/>
      </c>
      <c r="N181" s="68" t="str">
        <f>IFERROR(VLOOKUP(N$4,NICU!$AZ$5:$BG$19,3,FALSE),"")</f>
        <v/>
      </c>
      <c r="O181" s="68" t="str">
        <f>IFERROR(VLOOKUP(O$4,NICU!$AZ$5:$BG$19,3,FALSE),"")</f>
        <v/>
      </c>
      <c r="P181" s="68" t="str">
        <f>IFERROR(VLOOKUP(P$4,NICU!$AZ$5:$BG$19,3,FALSE),"")</f>
        <v/>
      </c>
      <c r="Q181" s="105" t="str">
        <f>IFERROR(VLOOKUP(Q$4,NICU!$AZ$5:$BG$19,3,FALSE),"")</f>
        <v/>
      </c>
      <c r="Z181" s="112"/>
      <c r="AA181" s="112"/>
      <c r="AB181" s="112"/>
      <c r="AC181" s="112"/>
    </row>
    <row r="182" spans="2:29" x14ac:dyDescent="0.25">
      <c r="B182" s="114"/>
      <c r="C182" s="1" t="s">
        <v>29</v>
      </c>
      <c r="D182" s="68">
        <f>IFERROR(VLOOKUP(D$4,NICU!$AZ$5:$BG$19,4,FALSE),"")</f>
        <v>139</v>
      </c>
      <c r="E182" s="68">
        <f>IFERROR(VLOOKUP(E$4,NICU!$AZ$5:$BG$19,4,FALSE),"")</f>
        <v>130.57142857142858</v>
      </c>
      <c r="F182" s="68">
        <f>IFERROR(VLOOKUP(F$4,NICU!$AZ$5:$BG$19,4,FALSE),"")</f>
        <v>129.57142857142858</v>
      </c>
      <c r="G182" s="68">
        <f>IFERROR(VLOOKUP(G$4,NICU!$AZ$5:$BG$19,4,FALSE),"")</f>
        <v>149.71428571428572</v>
      </c>
      <c r="H182" s="68">
        <f>IFERROR(VLOOKUP(H$4,NICU!$AZ$5:$BG$19,4,FALSE),"")</f>
        <v>146.42857142857142</v>
      </c>
      <c r="I182" s="68" t="str">
        <f>IFERROR(VLOOKUP(I$4,NICU!$AZ$5:$BG$19,4,FALSE),"")</f>
        <v/>
      </c>
      <c r="J182" s="68" t="str">
        <f>IFERROR(VLOOKUP(J$4,NICU!$AZ$5:$BG$19,4,FALSE),"")</f>
        <v/>
      </c>
      <c r="K182" s="68" t="str">
        <f>IFERROR(VLOOKUP(K$4,NICU!$AZ$5:$BG$19,4,FALSE),"")</f>
        <v/>
      </c>
      <c r="L182" s="68" t="str">
        <f>IFERROR(VLOOKUP(L$4,NICU!$AZ$5:$BG$19,4,FALSE),"")</f>
        <v/>
      </c>
      <c r="M182" s="68" t="str">
        <f>IFERROR(VLOOKUP(M$4,NICU!$AZ$5:$BG$19,4,FALSE),"")</f>
        <v/>
      </c>
      <c r="N182" s="68" t="str">
        <f>IFERROR(VLOOKUP(N$4,NICU!$AZ$5:$BG$19,4,FALSE),"")</f>
        <v/>
      </c>
      <c r="O182" s="68" t="str">
        <f>IFERROR(VLOOKUP(O$4,NICU!$AZ$5:$BG$19,4,FALSE),"")</f>
        <v/>
      </c>
      <c r="P182" s="68" t="str">
        <f>IFERROR(VLOOKUP(P$4,NICU!$AZ$5:$BG$19,4,FALSE),"")</f>
        <v/>
      </c>
      <c r="Q182" s="105" t="str">
        <f>IFERROR(VLOOKUP(Q$4,NICU!$AZ$5:$BG$19,4,FALSE),"")</f>
        <v/>
      </c>
      <c r="Z182" s="112"/>
      <c r="AA182" s="112"/>
      <c r="AB182" s="112"/>
      <c r="AC182" s="112"/>
    </row>
    <row r="183" spans="2:29" x14ac:dyDescent="0.25">
      <c r="B183" s="114"/>
      <c r="C183" s="1" t="s">
        <v>3</v>
      </c>
      <c r="D183" s="68">
        <f>IFERROR(VLOOKUP(D$4,NICU!$AZ$5:$BG$19,5,FALSE),"")</f>
        <v>100.85714285714286</v>
      </c>
      <c r="E183" s="68">
        <f>IFERROR(VLOOKUP(E$4,NICU!$AZ$5:$BG$19,5,FALSE),"")</f>
        <v>99</v>
      </c>
      <c r="F183" s="68">
        <f>IFERROR(VLOOKUP(F$4,NICU!$AZ$5:$BG$19,5,FALSE),"")</f>
        <v>113.14285714285714</v>
      </c>
      <c r="G183" s="68">
        <f>IFERROR(VLOOKUP(G$4,NICU!$AZ$5:$BG$19,5,FALSE),"")</f>
        <v>120.14285714285714</v>
      </c>
      <c r="H183" s="68">
        <f>IFERROR(VLOOKUP(H$4,NICU!$AZ$5:$BG$19,5,FALSE),"")</f>
        <v>125.71428571428571</v>
      </c>
      <c r="I183" s="68" t="str">
        <f>IFERROR(VLOOKUP(I$4,NICU!$AZ$5:$BG$19,5,FALSE),"")</f>
        <v/>
      </c>
      <c r="J183" s="68" t="str">
        <f>IFERROR(VLOOKUP(J$4,NICU!$AZ$5:$BG$19,5,FALSE),"")</f>
        <v/>
      </c>
      <c r="K183" s="68" t="str">
        <f>IFERROR(VLOOKUP(K$4,NICU!$AZ$5:$BG$19,5,FALSE),"")</f>
        <v/>
      </c>
      <c r="L183" s="68" t="str">
        <f>IFERROR(VLOOKUP(L$4,NICU!$AZ$5:$BG$19,5,FALSE),"")</f>
        <v/>
      </c>
      <c r="M183" s="68" t="str">
        <f>IFERROR(VLOOKUP(M$4,NICU!$AZ$5:$BG$19,5,FALSE),"")</f>
        <v/>
      </c>
      <c r="N183" s="68" t="str">
        <f>IFERROR(VLOOKUP(N$4,NICU!$AZ$5:$BG$19,5,FALSE),"")</f>
        <v/>
      </c>
      <c r="O183" s="68" t="str">
        <f>IFERROR(VLOOKUP(O$4,NICU!$AZ$5:$BG$19,5,FALSE),"")</f>
        <v/>
      </c>
      <c r="P183" s="68" t="str">
        <f>IFERROR(VLOOKUP(P$4,NICU!$AZ$5:$BG$19,5,FALSE),"")</f>
        <v/>
      </c>
      <c r="Q183" s="105" t="str">
        <f>IFERROR(VLOOKUP(Q$4,NICU!$AZ$5:$BG$19,5,FALSE),"")</f>
        <v/>
      </c>
      <c r="Z183" s="112"/>
      <c r="AA183" s="112"/>
      <c r="AB183" s="112"/>
      <c r="AC183" s="112"/>
    </row>
    <row r="184" spans="2:29" x14ac:dyDescent="0.25">
      <c r="B184" s="52"/>
      <c r="C184" s="1" t="s">
        <v>270</v>
      </c>
      <c r="D184" s="68">
        <f>IFERROR(VLOOKUP(D$4,NICU!$AZ$5:$BG$19,6,FALSE),"")</f>
        <v>97</v>
      </c>
      <c r="E184" s="68">
        <f>IFERROR(VLOOKUP(E$4,NICU!$AZ$5:$BG$19,6,FALSE),"")</f>
        <v>95.142857142857139</v>
      </c>
      <c r="F184" s="68">
        <f>IFERROR(VLOOKUP(F$4,NICU!$AZ$5:$BG$19,6,FALSE),"")</f>
        <v>83.714285714285708</v>
      </c>
      <c r="G184" s="68">
        <f>IFERROR(VLOOKUP(G$4,NICU!$AZ$5:$BG$19,6,FALSE),"")</f>
        <v>85.142857142857139</v>
      </c>
      <c r="H184" s="68">
        <f>IFERROR(VLOOKUP(H$4,NICU!$AZ$5:$BG$19,6,FALSE),"")</f>
        <v>81</v>
      </c>
      <c r="I184" s="68" t="str">
        <f>IFERROR(VLOOKUP(I$4,NICU!$AZ$5:$BG$19,6,FALSE),"")</f>
        <v/>
      </c>
      <c r="J184" s="68" t="str">
        <f>IFERROR(VLOOKUP(J$4,NICU!$AZ$5:$BG$19,6,FALSE),"")</f>
        <v/>
      </c>
      <c r="K184" s="68" t="str">
        <f>IFERROR(VLOOKUP(K$4,NICU!$AZ$5:$BG$19,6,FALSE),"")</f>
        <v/>
      </c>
      <c r="L184" s="68" t="str">
        <f>IFERROR(VLOOKUP(L$4,NICU!$AZ$5:$BG$19,6,FALSE),"")</f>
        <v/>
      </c>
      <c r="M184" s="68" t="str">
        <f>IFERROR(VLOOKUP(M$4,NICU!$AZ$5:$BG$19,6,FALSE),"")</f>
        <v/>
      </c>
      <c r="N184" s="68" t="str">
        <f>IFERROR(VLOOKUP(N$4,NICU!$AZ$5:$BG$19,6,FALSE),"")</f>
        <v/>
      </c>
      <c r="O184" s="68" t="str">
        <f>IFERROR(VLOOKUP(O$4,NICU!$AZ$5:$BG$19,6,FALSE),"")</f>
        <v/>
      </c>
      <c r="P184" s="68" t="str">
        <f>IFERROR(VLOOKUP(P$4,NICU!$AZ$5:$BG$19,6,FALSE),"")</f>
        <v/>
      </c>
      <c r="Q184" s="105" t="str">
        <f>IFERROR(VLOOKUP(Q$4,NICU!$AZ$5:$BG$19,6,FALSE),"")</f>
        <v/>
      </c>
      <c r="Z184" s="51"/>
      <c r="AA184" s="51"/>
      <c r="AB184" s="51"/>
      <c r="AC184" s="51"/>
    </row>
    <row r="185" spans="2:29" x14ac:dyDescent="0.25">
      <c r="B185" s="52"/>
      <c r="C185" s="11" t="s">
        <v>305</v>
      </c>
      <c r="D185" s="68">
        <f>IFERROR(VLOOKUP(D$4,NICU!$AZ$5:$BG$19,7,FALSE),"")</f>
        <v>50.857142857142854</v>
      </c>
      <c r="E185" s="68">
        <f>IFERROR(VLOOKUP(E$4,NICU!$AZ$5:$BG$19,7,FALSE),"")</f>
        <v>61.571428571428569</v>
      </c>
      <c r="F185" s="68">
        <f>IFERROR(VLOOKUP(F$4,NICU!$AZ$5:$BG$19,7,FALSE),"")</f>
        <v>44.714285714285715</v>
      </c>
      <c r="G185" s="68">
        <f>IFERROR(VLOOKUP(G$4,NICU!$AZ$5:$BG$19,7,FALSE),"")</f>
        <v>39.857142857142854</v>
      </c>
      <c r="H185" s="68">
        <f>IFERROR(VLOOKUP(H$4,NICU!$AZ$5:$BG$19,7,FALSE),"")</f>
        <v>45.285714285714285</v>
      </c>
      <c r="I185" s="68" t="str">
        <f>IFERROR(VLOOKUP(I$4,NICU!$AZ$5:$BG$19,7,FALSE),"")</f>
        <v/>
      </c>
      <c r="J185" s="68" t="str">
        <f>IFERROR(VLOOKUP(J$4,NICU!$AZ$5:$BG$19,7,FALSE),"")</f>
        <v/>
      </c>
      <c r="K185" s="68" t="str">
        <f>IFERROR(VLOOKUP(K$4,NICU!$AZ$5:$BG$19,7,FALSE),"")</f>
        <v/>
      </c>
      <c r="L185" s="68" t="str">
        <f>IFERROR(VLOOKUP(L$4,NICU!$AZ$5:$BG$19,7,FALSE),"")</f>
        <v/>
      </c>
      <c r="M185" s="68" t="str">
        <f>IFERROR(VLOOKUP(M$4,NICU!$AZ$5:$BG$19,7,FALSE),"")</f>
        <v/>
      </c>
      <c r="N185" s="68" t="str">
        <f>IFERROR(VLOOKUP(N$4,NICU!$AZ$5:$BG$19,7,FALSE),"")</f>
        <v/>
      </c>
      <c r="O185" s="68" t="str">
        <f>IFERROR(VLOOKUP(O$4,NICU!$AZ$5:$BG$19,7,FALSE),"")</f>
        <v/>
      </c>
      <c r="P185" s="68" t="str">
        <f>IFERROR(VLOOKUP(P$4,NICU!$AZ$5:$BG$19,7,FALSE),"")</f>
        <v/>
      </c>
      <c r="Q185" s="105" t="str">
        <f>IFERROR(VLOOKUP(Q$4,NICU!$AZ$5:$BG$19,7,FALSE),"")</f>
        <v/>
      </c>
      <c r="Z185" s="51"/>
      <c r="AA185" s="51"/>
      <c r="AB185" s="51"/>
      <c r="AC185" s="51"/>
    </row>
    <row r="186" spans="2:29" ht="30" customHeight="1" x14ac:dyDescent="0.25">
      <c r="C186" s="1"/>
    </row>
    <row r="187" spans="2:29" ht="15" customHeight="1" x14ac:dyDescent="0.25">
      <c r="B187" s="114" t="s">
        <v>27</v>
      </c>
      <c r="C187" s="40" t="s">
        <v>23</v>
      </c>
      <c r="Z187" s="115" t="s">
        <v>40</v>
      </c>
      <c r="AA187" s="115"/>
      <c r="AB187" s="115"/>
      <c r="AC187" s="115"/>
    </row>
    <row r="188" spans="2:29" ht="15" customHeight="1" x14ac:dyDescent="0.25">
      <c r="B188" s="114"/>
      <c r="C188" s="1" t="s">
        <v>0</v>
      </c>
      <c r="D188" s="14">
        <v>94584</v>
      </c>
      <c r="E188" s="14">
        <v>95392</v>
      </c>
      <c r="F188" s="14">
        <v>95546</v>
      </c>
      <c r="G188" s="14">
        <v>97706</v>
      </c>
      <c r="H188" s="14">
        <v>97072</v>
      </c>
      <c r="I188" s="14">
        <v>93351</v>
      </c>
      <c r="J188" s="14">
        <v>91968</v>
      </c>
      <c r="K188" s="14">
        <v>93301</v>
      </c>
      <c r="L188" s="14">
        <v>93460</v>
      </c>
      <c r="M188" s="14">
        <v>92915</v>
      </c>
      <c r="N188" s="14">
        <v>93201</v>
      </c>
      <c r="O188" s="14">
        <v>93456</v>
      </c>
      <c r="P188" s="14">
        <v>90799</v>
      </c>
      <c r="Z188" s="115"/>
      <c r="AA188" s="115"/>
      <c r="AB188" s="115"/>
      <c r="AC188" s="115"/>
    </row>
    <row r="189" spans="2:29" ht="7.5" customHeight="1" x14ac:dyDescent="0.25">
      <c r="B189" s="114"/>
      <c r="Z189" s="115"/>
      <c r="AA189" s="115"/>
      <c r="AB189" s="115"/>
      <c r="AC189" s="115"/>
    </row>
    <row r="190" spans="2:29" x14ac:dyDescent="0.25">
      <c r="B190" s="114"/>
      <c r="C190" s="16" t="s">
        <v>253</v>
      </c>
      <c r="D190" s="72">
        <f>IFERROR(VLOOKUP(D$4, Ambulance!$J$3:$Q$17,2,FALSE),"")</f>
        <v>97472</v>
      </c>
      <c r="E190" s="72">
        <f>IFERROR(VLOOKUP(E$4, Ambulance!$J$3:$Q$17,2,FALSE),"")</f>
        <v>96284</v>
      </c>
      <c r="F190" s="72">
        <f>IFERROR(VLOOKUP(F$4, Ambulance!$J$3:$Q$17,2,FALSE),"")</f>
        <v>99091</v>
      </c>
      <c r="G190" s="72">
        <f>IFERROR(VLOOKUP(G$4, Ambulance!$J$3:$Q$17,2,FALSE),"")</f>
        <v>99156</v>
      </c>
      <c r="H190" s="72">
        <f>IFERROR(VLOOKUP(H$4, Ambulance!$J$3:$Q$17,2,FALSE),"")</f>
        <v>101949</v>
      </c>
      <c r="I190" s="72" t="str">
        <f>IFERROR(VLOOKUP(I$4, Ambulance!$J$3:$Q$17,2,FALSE),"")</f>
        <v/>
      </c>
      <c r="J190" s="72" t="str">
        <f>IFERROR(VLOOKUP(J$4, Ambulance!$J$3:$Q$17,2,FALSE),"")</f>
        <v/>
      </c>
      <c r="K190" s="72" t="str">
        <f>IFERROR(VLOOKUP(K$4, Ambulance!$J$3:$Q$17,2,FALSE),"")</f>
        <v/>
      </c>
      <c r="L190" s="72" t="str">
        <f>IFERROR(VLOOKUP(L$4, Ambulance!$J$3:$Q$17,2,FALSE),"")</f>
        <v/>
      </c>
      <c r="M190" s="72" t="str">
        <f>IFERROR(VLOOKUP(M$4, Ambulance!$J$3:$Q$17,2,FALSE),"")</f>
        <v/>
      </c>
      <c r="N190" s="72" t="str">
        <f>IFERROR(VLOOKUP(N$4, Ambulance!$J$3:$Q$17,2,FALSE),"")</f>
        <v/>
      </c>
      <c r="O190" s="72" t="str">
        <f>IFERROR(VLOOKUP(O$4, Ambulance!$J$3:$Q$17,2,FALSE),"")</f>
        <v/>
      </c>
      <c r="P190" s="72" t="str">
        <f>IFERROR(VLOOKUP(P$4, Ambulance!$J$3:$Q$17,2,FALSE),"")</f>
        <v/>
      </c>
      <c r="Q190" s="106"/>
      <c r="Z190" s="115"/>
      <c r="AA190" s="115"/>
      <c r="AB190" s="115"/>
      <c r="AC190" s="115"/>
    </row>
    <row r="191" spans="2:29" x14ac:dyDescent="0.25">
      <c r="B191" s="114"/>
      <c r="C191" s="1" t="s">
        <v>2</v>
      </c>
      <c r="D191" s="75">
        <f>IFERROR(VLOOKUP(D$4, Ambulance!$J$3:$Q$17,3,FALSE),"")</f>
        <v>15992</v>
      </c>
      <c r="E191" s="75">
        <f>IFERROR(VLOOKUP(E$4, Ambulance!$J$3:$Q$17,3,FALSE),"")</f>
        <v>16088</v>
      </c>
      <c r="F191" s="75">
        <f>IFERROR(VLOOKUP(F$4, Ambulance!$J$3:$Q$17,3,FALSE),"")</f>
        <v>16283</v>
      </c>
      <c r="G191" s="75">
        <f>IFERROR(VLOOKUP(G$4, Ambulance!$J$3:$Q$17,3,FALSE),"")</f>
        <v>16023</v>
      </c>
      <c r="H191" s="75">
        <f>IFERROR(VLOOKUP(H$4, Ambulance!$J$3:$Q$17,3,FALSE),"")</f>
        <v>16644</v>
      </c>
      <c r="I191" s="75" t="str">
        <f>IFERROR(VLOOKUP(I$4, Ambulance!$J$3:$Q$17,3,FALSE),"")</f>
        <v/>
      </c>
      <c r="J191" s="75" t="str">
        <f>IFERROR(VLOOKUP(J$4, Ambulance!$J$3:$Q$17,3,FALSE),"")</f>
        <v/>
      </c>
      <c r="K191" s="75" t="str">
        <f>IFERROR(VLOOKUP(K$4, Ambulance!$J$3:$Q$17,3,FALSE),"")</f>
        <v/>
      </c>
      <c r="L191" s="75" t="str">
        <f>IFERROR(VLOOKUP(L$4, Ambulance!$J$3:$Q$17,3,FALSE),"")</f>
        <v/>
      </c>
      <c r="M191" s="75" t="str">
        <f>IFERROR(VLOOKUP(M$4, Ambulance!$J$3:$Q$17,3,FALSE),"")</f>
        <v/>
      </c>
      <c r="N191" s="75" t="str">
        <f>IFERROR(VLOOKUP(N$4, Ambulance!$J$3:$Q$17,3,FALSE),"")</f>
        <v/>
      </c>
      <c r="O191" s="75" t="str">
        <f>IFERROR(VLOOKUP(O$4, Ambulance!$J$3:$Q$17,3,FALSE),"")</f>
        <v/>
      </c>
      <c r="P191" s="75" t="str">
        <f>IFERROR(VLOOKUP(P$4, Ambulance!$J$3:$Q$17,3,FALSE),"")</f>
        <v/>
      </c>
      <c r="Q191" s="79" t="str">
        <f>IFERROR(VLOOKUP(Q$4, Ambulance!$J$3:$Q$17,3,FALSE),"")</f>
        <v/>
      </c>
      <c r="Z191" s="115"/>
      <c r="AA191" s="115"/>
      <c r="AB191" s="115"/>
      <c r="AC191" s="115"/>
    </row>
    <row r="192" spans="2:29" x14ac:dyDescent="0.25">
      <c r="B192" s="114"/>
      <c r="C192" s="1" t="s">
        <v>29</v>
      </c>
      <c r="D192" s="75">
        <f>IFERROR(VLOOKUP(D$4, Ambulance!$J$3:$Q$17,4,FALSE),"")</f>
        <v>29958</v>
      </c>
      <c r="E192" s="75">
        <f>IFERROR(VLOOKUP(E$4, Ambulance!$J$3:$Q$17,4,FALSE),"")</f>
        <v>29724</v>
      </c>
      <c r="F192" s="75">
        <f>IFERROR(VLOOKUP(F$4, Ambulance!$J$3:$Q$17,4,FALSE),"")</f>
        <v>30385</v>
      </c>
      <c r="G192" s="75">
        <f>IFERROR(VLOOKUP(G$4, Ambulance!$J$3:$Q$17,4,FALSE),"")</f>
        <v>30421</v>
      </c>
      <c r="H192" s="75">
        <f>IFERROR(VLOOKUP(H$4, Ambulance!$J$3:$Q$17,4,FALSE),"")</f>
        <v>31136</v>
      </c>
      <c r="I192" s="75" t="str">
        <f>IFERROR(VLOOKUP(I$4, Ambulance!$J$3:$Q$17,4,FALSE),"")</f>
        <v/>
      </c>
      <c r="J192" s="75" t="str">
        <f>IFERROR(VLOOKUP(J$4, Ambulance!$J$3:$Q$17,4,FALSE),"")</f>
        <v/>
      </c>
      <c r="K192" s="75" t="str">
        <f>IFERROR(VLOOKUP(K$4, Ambulance!$J$3:$Q$17,4,FALSE),"")</f>
        <v/>
      </c>
      <c r="L192" s="75" t="str">
        <f>IFERROR(VLOOKUP(L$4, Ambulance!$J$3:$Q$17,4,FALSE),"")</f>
        <v/>
      </c>
      <c r="M192" s="75" t="str">
        <f>IFERROR(VLOOKUP(M$4, Ambulance!$J$3:$Q$17,4,FALSE),"")</f>
        <v/>
      </c>
      <c r="N192" s="75" t="str">
        <f>IFERROR(VLOOKUP(N$4, Ambulance!$J$3:$Q$17,4,FALSE),"")</f>
        <v/>
      </c>
      <c r="O192" s="75" t="str">
        <f>IFERROR(VLOOKUP(O$4, Ambulance!$J$3:$Q$17,4,FALSE),"")</f>
        <v/>
      </c>
      <c r="P192" s="75" t="str">
        <f>IFERROR(VLOOKUP(P$4, Ambulance!$J$3:$Q$17,4,FALSE),"")</f>
        <v/>
      </c>
      <c r="Q192" s="79" t="str">
        <f>IFERROR(VLOOKUP(Q$4, Ambulance!$J$3:$Q$17,4,FALSE),"")</f>
        <v/>
      </c>
      <c r="Z192" s="115"/>
      <c r="AA192" s="115"/>
      <c r="AB192" s="115"/>
      <c r="AC192" s="115"/>
    </row>
    <row r="193" spans="2:29" x14ac:dyDescent="0.25">
      <c r="B193" s="114"/>
      <c r="C193" s="1" t="s">
        <v>3</v>
      </c>
      <c r="D193" s="75">
        <f>IFERROR(VLOOKUP(D$4, Ambulance!$J$3:$Q$17,5,FALSE),"")</f>
        <v>28771</v>
      </c>
      <c r="E193" s="75">
        <f>IFERROR(VLOOKUP(E$4, Ambulance!$J$3:$Q$17,5,FALSE),"")</f>
        <v>27850</v>
      </c>
      <c r="F193" s="75">
        <f>IFERROR(VLOOKUP(F$4, Ambulance!$J$3:$Q$17,5,FALSE),"")</f>
        <v>29404</v>
      </c>
      <c r="G193" s="75">
        <f>IFERROR(VLOOKUP(G$4, Ambulance!$J$3:$Q$17,5,FALSE),"")</f>
        <v>29809</v>
      </c>
      <c r="H193" s="75">
        <f>IFERROR(VLOOKUP(H$4, Ambulance!$J$3:$Q$17,5,FALSE),"")</f>
        <v>30210</v>
      </c>
      <c r="I193" s="75" t="str">
        <f>IFERROR(VLOOKUP(I$4, Ambulance!$J$3:$Q$17,5,FALSE),"")</f>
        <v/>
      </c>
      <c r="J193" s="75" t="str">
        <f>IFERROR(VLOOKUP(J$4, Ambulance!$J$3:$Q$17,5,FALSE),"")</f>
        <v/>
      </c>
      <c r="K193" s="75" t="str">
        <f>IFERROR(VLOOKUP(K$4, Ambulance!$J$3:$Q$17,5,FALSE),"")</f>
        <v/>
      </c>
      <c r="L193" s="75" t="str">
        <f>IFERROR(VLOOKUP(L$4, Ambulance!$J$3:$Q$17,5,FALSE),"")</f>
        <v/>
      </c>
      <c r="M193" s="75" t="str">
        <f>IFERROR(VLOOKUP(M$4, Ambulance!$J$3:$Q$17,5,FALSE),"")</f>
        <v/>
      </c>
      <c r="N193" s="75" t="str">
        <f>IFERROR(VLOOKUP(N$4, Ambulance!$J$3:$Q$17,5,FALSE),"")</f>
        <v/>
      </c>
      <c r="O193" s="75" t="str">
        <f>IFERROR(VLOOKUP(O$4, Ambulance!$J$3:$Q$17,5,FALSE),"")</f>
        <v/>
      </c>
      <c r="P193" s="75" t="str">
        <f>IFERROR(VLOOKUP(P$4, Ambulance!$J$3:$Q$17,5,FALSE),"")</f>
        <v/>
      </c>
      <c r="Q193" s="79" t="str">
        <f>IFERROR(VLOOKUP(Q$4, Ambulance!$J$3:$Q$17,5,FALSE),"")</f>
        <v/>
      </c>
      <c r="Z193" s="112" t="s">
        <v>372</v>
      </c>
      <c r="AA193" s="112"/>
      <c r="AB193" s="112"/>
      <c r="AC193" s="112"/>
    </row>
    <row r="194" spans="2:29" ht="17.25" customHeight="1" x14ac:dyDescent="0.25">
      <c r="B194" s="114"/>
      <c r="C194" s="1" t="s">
        <v>270</v>
      </c>
      <c r="D194" s="75">
        <f>IFERROR(VLOOKUP(D$4, Ambulance!$J$3:$Q$17,6,FALSE),"")</f>
        <v>13531</v>
      </c>
      <c r="E194" s="75">
        <f>IFERROR(VLOOKUP(E$4, Ambulance!$J$3:$Q$17,6,FALSE),"")</f>
        <v>13523</v>
      </c>
      <c r="F194" s="75">
        <f>IFERROR(VLOOKUP(F$4, Ambulance!$J$3:$Q$17,6,FALSE),"")</f>
        <v>13609</v>
      </c>
      <c r="G194" s="75">
        <f>IFERROR(VLOOKUP(G$4, Ambulance!$J$3:$Q$17,6,FALSE),"")</f>
        <v>13559</v>
      </c>
      <c r="H194" s="75">
        <f>IFERROR(VLOOKUP(H$4, Ambulance!$J$3:$Q$17,6,FALSE),"")</f>
        <v>14293</v>
      </c>
      <c r="I194" s="75" t="str">
        <f>IFERROR(VLOOKUP(I$4, Ambulance!$J$3:$Q$17,6,FALSE),"")</f>
        <v/>
      </c>
      <c r="J194" s="75" t="str">
        <f>IFERROR(VLOOKUP(J$4, Ambulance!$J$3:$Q$17,6,FALSE),"")</f>
        <v/>
      </c>
      <c r="K194" s="75" t="str">
        <f>IFERROR(VLOOKUP(K$4, Ambulance!$J$3:$Q$17,6,FALSE),"")</f>
        <v/>
      </c>
      <c r="L194" s="75" t="str">
        <f>IFERROR(VLOOKUP(L$4, Ambulance!$J$3:$Q$17,6,FALSE),"")</f>
        <v/>
      </c>
      <c r="M194" s="75" t="str">
        <f>IFERROR(VLOOKUP(M$4, Ambulance!$J$3:$Q$17,6,FALSE),"")</f>
        <v/>
      </c>
      <c r="N194" s="75" t="str">
        <f>IFERROR(VLOOKUP(N$4, Ambulance!$J$3:$Q$17,6,FALSE),"")</f>
        <v/>
      </c>
      <c r="O194" s="75" t="str">
        <f>IFERROR(VLOOKUP(O$4, Ambulance!$J$3:$Q$17,6,FALSE),"")</f>
        <v/>
      </c>
      <c r="P194" s="75" t="str">
        <f>IFERROR(VLOOKUP(P$4, Ambulance!$J$3:$Q$17,6,FALSE),"")</f>
        <v/>
      </c>
      <c r="Q194" s="79" t="str">
        <f>IFERROR(VLOOKUP(Q$4, Ambulance!$J$3:$Q$17,6,FALSE),"")</f>
        <v/>
      </c>
      <c r="Z194" s="112"/>
      <c r="AA194" s="112"/>
      <c r="AB194" s="112"/>
      <c r="AC194" s="112"/>
    </row>
    <row r="195" spans="2:29" ht="17.25" customHeight="1" x14ac:dyDescent="0.25">
      <c r="B195" s="114"/>
      <c r="C195" s="11" t="s">
        <v>305</v>
      </c>
      <c r="D195" s="75">
        <f>IFERROR(VLOOKUP(D$4, Ambulance!$J$3:$Q$17,7,FALSE),"")</f>
        <v>9220</v>
      </c>
      <c r="E195" s="75">
        <f>IFERROR(VLOOKUP(E$4, Ambulance!$J$3:$Q$17,7,FALSE),"")</f>
        <v>9099</v>
      </c>
      <c r="F195" s="75">
        <f>IFERROR(VLOOKUP(F$4, Ambulance!$J$3:$Q$17,7,FALSE),"")</f>
        <v>9410</v>
      </c>
      <c r="G195" s="75">
        <f>IFERROR(VLOOKUP(G$4, Ambulance!$J$3:$Q$17,7,FALSE),"")</f>
        <v>9344</v>
      </c>
      <c r="H195" s="75">
        <f>IFERROR(VLOOKUP(H$4, Ambulance!$J$3:$Q$17,7,FALSE),"")</f>
        <v>9666</v>
      </c>
      <c r="I195" s="75" t="str">
        <f>IFERROR(VLOOKUP(I$4, Ambulance!$J$3:$Q$17,7,FALSE),"")</f>
        <v/>
      </c>
      <c r="J195" s="75" t="str">
        <f>IFERROR(VLOOKUP(J$4, Ambulance!$J$3:$Q$17,7,FALSE),"")</f>
        <v/>
      </c>
      <c r="K195" s="75" t="str">
        <f>IFERROR(VLOOKUP(K$4, Ambulance!$J$3:$Q$17,7,FALSE),"")</f>
        <v/>
      </c>
      <c r="L195" s="75" t="str">
        <f>IFERROR(VLOOKUP(L$4, Ambulance!$J$3:$Q$17,7,FALSE),"")</f>
        <v/>
      </c>
      <c r="M195" s="75" t="str">
        <f>IFERROR(VLOOKUP(M$4, Ambulance!$J$3:$Q$17,7,FALSE),"")</f>
        <v/>
      </c>
      <c r="N195" s="75" t="str">
        <f>IFERROR(VLOOKUP(N$4, Ambulance!$J$3:$Q$17,7,FALSE),"")</f>
        <v/>
      </c>
      <c r="O195" s="75" t="str">
        <f>IFERROR(VLOOKUP(O$4, Ambulance!$J$3:$Q$17,7,FALSE),"")</f>
        <v/>
      </c>
      <c r="P195" s="75" t="str">
        <f>IFERROR(VLOOKUP(P$4, Ambulance!$J$3:$Q$17,7,FALSE),"")</f>
        <v/>
      </c>
      <c r="Q195" s="79" t="str">
        <f>IFERROR(VLOOKUP(Q$4, Ambulance!$J$3:$Q$17,7,FALSE),"")</f>
        <v/>
      </c>
      <c r="Z195" s="112"/>
      <c r="AA195" s="112"/>
      <c r="AB195" s="112"/>
      <c r="AC195" s="112"/>
    </row>
    <row r="196" spans="2:29" s="44" customFormat="1" ht="9" customHeight="1" x14ac:dyDescent="0.25">
      <c r="B196" s="114"/>
      <c r="C196" s="11"/>
      <c r="D196" s="79"/>
      <c r="E196" s="79"/>
      <c r="F196" s="79"/>
      <c r="G196" s="79"/>
      <c r="H196" s="79"/>
      <c r="I196" s="79"/>
      <c r="J196" s="79"/>
      <c r="K196" s="79"/>
      <c r="L196" s="79"/>
      <c r="M196" s="79"/>
      <c r="N196" s="79"/>
      <c r="O196" s="79"/>
      <c r="P196" s="79"/>
      <c r="Q196" s="79"/>
      <c r="Z196" s="112"/>
      <c r="AA196" s="112"/>
      <c r="AB196" s="112"/>
      <c r="AC196" s="112"/>
    </row>
    <row r="197" spans="2:29" x14ac:dyDescent="0.25">
      <c r="B197" s="114"/>
      <c r="C197" s="40" t="s">
        <v>24</v>
      </c>
      <c r="Z197" s="112"/>
      <c r="AA197" s="112"/>
      <c r="AB197" s="112"/>
      <c r="AC197" s="112"/>
    </row>
    <row r="198" spans="2:29" x14ac:dyDescent="0.25">
      <c r="B198" s="114"/>
      <c r="C198" s="1" t="s">
        <v>0</v>
      </c>
      <c r="D198" s="7">
        <v>0.12530660576841748</v>
      </c>
      <c r="E198" s="7">
        <v>0.15014885944313988</v>
      </c>
      <c r="F198" s="7">
        <v>0.12404496263579846</v>
      </c>
      <c r="G198" s="7">
        <v>0.17289623973962703</v>
      </c>
      <c r="H198" s="7">
        <v>0.17193423438272623</v>
      </c>
      <c r="I198" s="7">
        <v>0.13453524868507033</v>
      </c>
      <c r="J198" s="7">
        <v>0.1198134133611691</v>
      </c>
      <c r="K198" s="7">
        <v>0.11855178401088949</v>
      </c>
      <c r="L198" s="7">
        <v>0.1219345174406163</v>
      </c>
      <c r="M198" s="7">
        <v>0.11570790507453048</v>
      </c>
      <c r="N198" s="7">
        <v>0.14272379051726913</v>
      </c>
      <c r="O198" s="7">
        <v>0.13200000000000001</v>
      </c>
      <c r="P198" s="7">
        <v>0.12664236390268616</v>
      </c>
      <c r="Z198" s="112"/>
      <c r="AA198" s="112"/>
      <c r="AB198" s="112"/>
      <c r="AC198" s="112"/>
    </row>
    <row r="199" spans="2:29" ht="7.5" customHeight="1" x14ac:dyDescent="0.25">
      <c r="B199" s="114"/>
      <c r="Z199" s="112"/>
      <c r="AA199" s="112"/>
      <c r="AB199" s="112"/>
      <c r="AC199" s="112"/>
    </row>
    <row r="200" spans="2:29" x14ac:dyDescent="0.25">
      <c r="B200" s="114"/>
      <c r="C200" s="16" t="s">
        <v>253</v>
      </c>
      <c r="D200" s="76">
        <f>IFERROR(VLOOKUP(D$4,Ambulance!$AN$5:$AU$19,2,FALSE),"")</f>
        <v>0.10951863099146422</v>
      </c>
      <c r="E200" s="76">
        <f>IFERROR(VLOOKUP(E$4,Ambulance!$AN$5:$AU$19,2,FALSE),"")</f>
        <v>9.7181255452619339E-2</v>
      </c>
      <c r="F200" s="76">
        <f>IFERROR(VLOOKUP(F$4,Ambulance!$AN$5:$AU$19,2,FALSE),"")</f>
        <v>9.7657708570909565E-2</v>
      </c>
      <c r="G200" s="76">
        <f>IFERROR(VLOOKUP(G$4,Ambulance!$AN$5:$AU$19,2,FALSE),"")</f>
        <v>9.7997095485901006E-2</v>
      </c>
      <c r="H200" s="76">
        <f>IFERROR(VLOOKUP(H$4,Ambulance!$AN$5:$AU$19,2,FALSE),"")</f>
        <v>0.12050142718418033</v>
      </c>
      <c r="I200" s="76" t="str">
        <f>IFERROR(VLOOKUP(I$4,Ambulance!$AN$5:$AU$19,2,FALSE),"")</f>
        <v/>
      </c>
      <c r="J200" s="76" t="str">
        <f>IFERROR(VLOOKUP(J$4,Ambulance!$AN$5:$AU$19,2,FALSE),"")</f>
        <v/>
      </c>
      <c r="K200" s="76" t="str">
        <f>IFERROR(VLOOKUP(K$4,Ambulance!$AN$5:$AU$19,2,FALSE),"")</f>
        <v/>
      </c>
      <c r="L200" s="76" t="str">
        <f>IFERROR(VLOOKUP(L$4,Ambulance!$AN$5:$AU$19,2,FALSE),"")</f>
        <v/>
      </c>
      <c r="M200" s="76" t="str">
        <f>IFERROR(VLOOKUP(M$4,Ambulance!$AN$5:$AU$19,2,FALSE),"")</f>
        <v/>
      </c>
      <c r="N200" s="76" t="str">
        <f>IFERROR(VLOOKUP(N$4,Ambulance!$AN$5:$AU$19,2,FALSE),"")</f>
        <v/>
      </c>
      <c r="O200" s="76" t="str">
        <f>IFERROR(VLOOKUP(O$4,Ambulance!$AN$5:$AU$19,2,FALSE),"")</f>
        <v/>
      </c>
      <c r="P200" s="76" t="str">
        <f>IFERROR(VLOOKUP(P$4,Ambulance!$AN$5:$AU$19,2,FALSE),"")</f>
        <v/>
      </c>
      <c r="Q200" s="103" t="str">
        <f>IFERROR(VLOOKUP(Q$4,Ambulance!$AN$5:$AU$19,2,FALSE),"")</f>
        <v/>
      </c>
      <c r="Z200" s="112"/>
      <c r="AA200" s="112"/>
      <c r="AB200" s="112"/>
      <c r="AC200" s="112"/>
    </row>
    <row r="201" spans="2:29" x14ac:dyDescent="0.25">
      <c r="B201" s="114"/>
      <c r="C201" s="1" t="s">
        <v>2</v>
      </c>
      <c r="D201" s="67">
        <f>IFERROR(VLOOKUP(D$4,Ambulance!$AN$5:$AU$19,3,FALSE),"")</f>
        <v>0.10492746373186593</v>
      </c>
      <c r="E201" s="67">
        <f>IFERROR(VLOOKUP(E$4,Ambulance!$AN$5:$AU$19,3,FALSE),"")</f>
        <v>8.8699651914470407E-2</v>
      </c>
      <c r="F201" s="67">
        <f>IFERROR(VLOOKUP(F$4,Ambulance!$AN$5:$AU$19,3,FALSE),"")</f>
        <v>3.4575938094945649E-2</v>
      </c>
      <c r="G201" s="67">
        <f>IFERROR(VLOOKUP(G$4,Ambulance!$AN$5:$AU$19,3,FALSE),"")</f>
        <v>2.1157086687886163E-2</v>
      </c>
      <c r="H201" s="67">
        <f>IFERROR(VLOOKUP(H$4,Ambulance!$AN$5:$AU$19,3,FALSE),"")</f>
        <v>3.2624369142033163E-2</v>
      </c>
      <c r="I201" s="67" t="str">
        <f>IFERROR(VLOOKUP(I$4,Ambulance!$AN$5:$AU$19,3,FALSE),"")</f>
        <v/>
      </c>
      <c r="J201" s="67" t="str">
        <f>IFERROR(VLOOKUP(J$4,Ambulance!$AN$5:$AU$19,3,FALSE),"")</f>
        <v/>
      </c>
      <c r="K201" s="67" t="str">
        <f>IFERROR(VLOOKUP(K$4,Ambulance!$AN$5:$AU$19,3,FALSE),"")</f>
        <v/>
      </c>
      <c r="L201" s="67" t="str">
        <f>IFERROR(VLOOKUP(L$4,Ambulance!$AN$5:$AU$19,3,FALSE),"")</f>
        <v/>
      </c>
      <c r="M201" s="67" t="str">
        <f>IFERROR(VLOOKUP(M$4,Ambulance!$AN$5:$AU$19,3,FALSE),"")</f>
        <v/>
      </c>
      <c r="N201" s="67" t="str">
        <f>IFERROR(VLOOKUP(N$4,Ambulance!$AN$5:$AU$19,3,FALSE),"")</f>
        <v/>
      </c>
      <c r="O201" s="67" t="str">
        <f>IFERROR(VLOOKUP(O$4,Ambulance!$AN$5:$AU$19,3,FALSE),"")</f>
        <v/>
      </c>
      <c r="P201" s="67" t="str">
        <f>IFERROR(VLOOKUP(P$4,Ambulance!$AN$5:$AU$19,3,FALSE),"")</f>
        <v/>
      </c>
      <c r="Q201" s="78" t="str">
        <f>IFERROR(VLOOKUP(Q$4,Ambulance!$AN$5:$AU$19,3,FALSE),"")</f>
        <v/>
      </c>
      <c r="Z201" s="112"/>
      <c r="AA201" s="112"/>
      <c r="AB201" s="112"/>
      <c r="AC201" s="112"/>
    </row>
    <row r="202" spans="2:29" x14ac:dyDescent="0.25">
      <c r="B202" s="114"/>
      <c r="C202" s="1" t="s">
        <v>29</v>
      </c>
      <c r="D202" s="67">
        <f>IFERROR(VLOOKUP(D$4,Ambulance!$AN$5:$AU$19,4,FALSE),"")</f>
        <v>0.14567060551438682</v>
      </c>
      <c r="E202" s="67">
        <f>IFERROR(VLOOKUP(E$4,Ambulance!$AN$5:$AU$19,4,FALSE),"")</f>
        <v>0.13480689005517427</v>
      </c>
      <c r="F202" s="67">
        <f>IFERROR(VLOOKUP(F$4,Ambulance!$AN$5:$AU$19,4,FALSE),"")</f>
        <v>0.1513904887279908</v>
      </c>
      <c r="G202" s="67">
        <f>IFERROR(VLOOKUP(G$4,Ambulance!$AN$5:$AU$19,4,FALSE),"")</f>
        <v>0.14858157194043589</v>
      </c>
      <c r="H202" s="67">
        <f>IFERROR(VLOOKUP(H$4,Ambulance!$AN$5:$AU$19,4,FALSE),"")</f>
        <v>0.19234969167523125</v>
      </c>
      <c r="I202" s="67" t="str">
        <f>IFERROR(VLOOKUP(I$4,Ambulance!$AN$5:$AU$19,4,FALSE),"")</f>
        <v/>
      </c>
      <c r="J202" s="67" t="str">
        <f>IFERROR(VLOOKUP(J$4,Ambulance!$AN$5:$AU$19,4,FALSE),"")</f>
        <v/>
      </c>
      <c r="K202" s="67" t="str">
        <f>IFERROR(VLOOKUP(K$4,Ambulance!$AN$5:$AU$19,4,FALSE),"")</f>
        <v/>
      </c>
      <c r="L202" s="67" t="str">
        <f>IFERROR(VLOOKUP(L$4,Ambulance!$AN$5:$AU$19,4,FALSE),"")</f>
        <v/>
      </c>
      <c r="M202" s="67" t="str">
        <f>IFERROR(VLOOKUP(M$4,Ambulance!$AN$5:$AU$19,4,FALSE),"")</f>
        <v/>
      </c>
      <c r="N202" s="67" t="str">
        <f>IFERROR(VLOOKUP(N$4,Ambulance!$AN$5:$AU$19,4,FALSE),"")</f>
        <v/>
      </c>
      <c r="O202" s="67" t="str">
        <f>IFERROR(VLOOKUP(O$4,Ambulance!$AN$5:$AU$19,4,FALSE),"")</f>
        <v/>
      </c>
      <c r="P202" s="67" t="str">
        <f>IFERROR(VLOOKUP(P$4,Ambulance!$AN$5:$AU$19,4,FALSE),"")</f>
        <v/>
      </c>
      <c r="Q202" s="78" t="str">
        <f>IFERROR(VLOOKUP(Q$4,Ambulance!$AN$5:$AU$19,4,FALSE),"")</f>
        <v/>
      </c>
      <c r="Z202" s="112"/>
      <c r="AA202" s="112"/>
      <c r="AB202" s="112"/>
      <c r="AC202" s="112"/>
    </row>
    <row r="203" spans="2:29" x14ac:dyDescent="0.25">
      <c r="B203" s="114"/>
      <c r="C203" s="1" t="s">
        <v>3</v>
      </c>
      <c r="D203" s="67">
        <f>IFERROR(VLOOKUP(D$4,Ambulance!$AN$5:$AU$19,5,FALSE),"")</f>
        <v>0.11622814639741406</v>
      </c>
      <c r="E203" s="67">
        <f>IFERROR(VLOOKUP(E$4,Ambulance!$AN$5:$AU$19,5,FALSE),"")</f>
        <v>9.4973070017953326E-2</v>
      </c>
      <c r="F203" s="67">
        <f>IFERROR(VLOOKUP(F$4,Ambulance!$AN$5:$AU$19,5,FALSE),"")</f>
        <v>0.10498571622908448</v>
      </c>
      <c r="G203" s="67">
        <f>IFERROR(VLOOKUP(G$4,Ambulance!$AN$5:$AU$19,5,FALSE),"")</f>
        <v>0.12130564594585527</v>
      </c>
      <c r="H203" s="67">
        <f>IFERROR(VLOOKUP(H$4,Ambulance!$AN$5:$AU$19,5,FALSE),"")</f>
        <v>0.1305196954650778</v>
      </c>
      <c r="I203" s="67" t="str">
        <f>IFERROR(VLOOKUP(I$4,Ambulance!$AN$5:$AU$19,5,FALSE),"")</f>
        <v/>
      </c>
      <c r="J203" s="67" t="str">
        <f>IFERROR(VLOOKUP(J$4,Ambulance!$AN$5:$AU$19,5,FALSE),"")</f>
        <v/>
      </c>
      <c r="K203" s="67" t="str">
        <f>IFERROR(VLOOKUP(K$4,Ambulance!$AN$5:$AU$19,5,FALSE),"")</f>
        <v/>
      </c>
      <c r="L203" s="67" t="str">
        <f>IFERROR(VLOOKUP(L$4,Ambulance!$AN$5:$AU$19,5,FALSE),"")</f>
        <v/>
      </c>
      <c r="M203" s="67" t="str">
        <f>IFERROR(VLOOKUP(M$4,Ambulance!$AN$5:$AU$19,5,FALSE),"")</f>
        <v/>
      </c>
      <c r="N203" s="67" t="str">
        <f>IFERROR(VLOOKUP(N$4,Ambulance!$AN$5:$AU$19,5,FALSE),"")</f>
        <v/>
      </c>
      <c r="O203" s="67" t="str">
        <f>IFERROR(VLOOKUP(O$4,Ambulance!$AN$5:$AU$19,5,FALSE),"")</f>
        <v/>
      </c>
      <c r="P203" s="67" t="str">
        <f>IFERROR(VLOOKUP(P$4,Ambulance!$AN$5:$AU$19,5,FALSE),"")</f>
        <v/>
      </c>
      <c r="Q203" s="78" t="str">
        <f>IFERROR(VLOOKUP(Q$4,Ambulance!$AN$5:$AU$19,5,FALSE),"")</f>
        <v/>
      </c>
      <c r="Z203" s="112"/>
      <c r="AA203" s="112"/>
      <c r="AB203" s="112"/>
      <c r="AC203" s="112"/>
    </row>
    <row r="204" spans="2:29" ht="15.75" customHeight="1" x14ac:dyDescent="0.25">
      <c r="B204" s="114"/>
      <c r="C204" s="1" t="s">
        <v>270</v>
      </c>
      <c r="D204" s="67">
        <f>IFERROR(VLOOKUP(D$4,Ambulance!$AN$5:$AU$19,6,FALSE),"")</f>
        <v>7.8412534180770085E-2</v>
      </c>
      <c r="E204" s="67">
        <f>IFERROR(VLOOKUP(E$4,Ambulance!$AN$5:$AU$19,6,FALSE),"")</f>
        <v>7.5722842564519707E-2</v>
      </c>
      <c r="F204" s="67">
        <f>IFERROR(VLOOKUP(F$4,Ambulance!$AN$5:$AU$19,6,FALSE),"")</f>
        <v>8.4649864060548169E-2</v>
      </c>
      <c r="G204" s="67">
        <f>IFERROR(VLOOKUP(G$4,Ambulance!$AN$5:$AU$19,6,FALSE),"")</f>
        <v>7.6628069916660518E-2</v>
      </c>
      <c r="H204" s="67">
        <f>IFERROR(VLOOKUP(H$4,Ambulance!$AN$5:$AU$19,6,FALSE),"")</f>
        <v>0.10557615616035822</v>
      </c>
      <c r="I204" s="67" t="str">
        <f>IFERROR(VLOOKUP(I$4,Ambulance!$AN$5:$AU$19,6,FALSE),"")</f>
        <v/>
      </c>
      <c r="J204" s="67" t="str">
        <f>IFERROR(VLOOKUP(J$4,Ambulance!$AN$5:$AU$19,6,FALSE),"")</f>
        <v/>
      </c>
      <c r="K204" s="67" t="str">
        <f>IFERROR(VLOOKUP(K$4,Ambulance!$AN$5:$AU$19,6,FALSE),"")</f>
        <v/>
      </c>
      <c r="L204" s="67" t="str">
        <f>IFERROR(VLOOKUP(L$4,Ambulance!$AN$5:$AU$19,6,FALSE),"")</f>
        <v/>
      </c>
      <c r="M204" s="67" t="str">
        <f>IFERROR(VLOOKUP(M$4,Ambulance!$AN$5:$AU$19,6,FALSE),"")</f>
        <v/>
      </c>
      <c r="N204" s="67" t="str">
        <f>IFERROR(VLOOKUP(N$4,Ambulance!$AN$5:$AU$19,6,FALSE),"")</f>
        <v/>
      </c>
      <c r="O204" s="67" t="str">
        <f>IFERROR(VLOOKUP(O$4,Ambulance!$AN$5:$AU$19,6,FALSE),"")</f>
        <v/>
      </c>
      <c r="P204" s="67" t="str">
        <f>IFERROR(VLOOKUP(P$4,Ambulance!$AN$5:$AU$19,6,FALSE),"")</f>
        <v/>
      </c>
      <c r="Q204" s="78" t="str">
        <f>IFERROR(VLOOKUP(Q$4,Ambulance!$AN$5:$AU$19,6,FALSE),"")</f>
        <v/>
      </c>
      <c r="Z204" s="112"/>
      <c r="AA204" s="112"/>
      <c r="AB204" s="112"/>
      <c r="AC204" s="112"/>
    </row>
    <row r="205" spans="2:29" ht="15.75" customHeight="1" x14ac:dyDescent="0.25">
      <c r="B205" s="114"/>
      <c r="C205" s="11" t="s">
        <v>305</v>
      </c>
      <c r="D205" s="67">
        <f>IFERROR(VLOOKUP(D$4,Ambulance!$AN$5:$AU$19,7,FALSE),"")</f>
        <v>2.4728850325379609E-2</v>
      </c>
      <c r="E205" s="67">
        <f>IFERROR(VLOOKUP(E$4,Ambulance!$AN$5:$AU$19,7,FALSE),"")</f>
        <v>2.791515551159468E-2</v>
      </c>
      <c r="F205" s="67">
        <f>IFERROR(VLOOKUP(F$4,Ambulance!$AN$5:$AU$19,7,FALSE),"")</f>
        <v>2.9224229543039319E-2</v>
      </c>
      <c r="G205" s="67">
        <f>IFERROR(VLOOKUP(G$4,Ambulance!$AN$5:$AU$19,7,FALSE),"")</f>
        <v>2.1725171232876712E-2</v>
      </c>
      <c r="H205" s="67">
        <f>IFERROR(VLOOKUP(H$4,Ambulance!$AN$5:$AU$19,7,FALSE),"")</f>
        <v>3.1140078626112146E-2</v>
      </c>
      <c r="I205" s="67" t="str">
        <f>IFERROR(VLOOKUP(I$4,Ambulance!$AN$5:$AU$19,7,FALSE),"")</f>
        <v/>
      </c>
      <c r="J205" s="67" t="str">
        <f>IFERROR(VLOOKUP(J$4,Ambulance!$AN$5:$AU$19,7,FALSE),"")</f>
        <v/>
      </c>
      <c r="K205" s="67" t="str">
        <f>IFERROR(VLOOKUP(K$4,Ambulance!$AN$5:$AU$19,7,FALSE),"")</f>
        <v/>
      </c>
      <c r="L205" s="67" t="str">
        <f>IFERROR(VLOOKUP(L$4,Ambulance!$AN$5:$AU$19,7,FALSE),"")</f>
        <v/>
      </c>
      <c r="M205" s="67" t="str">
        <f>IFERROR(VLOOKUP(M$4,Ambulance!$AN$5:$AU$19,7,FALSE),"")</f>
        <v/>
      </c>
      <c r="N205" s="67" t="str">
        <f>IFERROR(VLOOKUP(N$4,Ambulance!$AN$5:$AU$19,7,FALSE),"")</f>
        <v/>
      </c>
      <c r="O205" s="67" t="str">
        <f>IFERROR(VLOOKUP(O$4,Ambulance!$AN$5:$AU$19,7,FALSE),"")</f>
        <v/>
      </c>
      <c r="P205" s="67" t="str">
        <f>IFERROR(VLOOKUP(P$4,Ambulance!$AN$5:$AU$19,7,FALSE),"")</f>
        <v/>
      </c>
      <c r="Q205" s="78" t="str">
        <f>IFERROR(VLOOKUP(Q$4,Ambulance!$AN$5:$AU$19,7,FALSE),"")</f>
        <v/>
      </c>
      <c r="Z205" s="112"/>
      <c r="AA205" s="112"/>
      <c r="AB205" s="112"/>
      <c r="AC205" s="112"/>
    </row>
    <row r="206" spans="2:29" s="44" customFormat="1" ht="10.5" customHeight="1" x14ac:dyDescent="0.25">
      <c r="B206" s="114"/>
      <c r="C206" s="11"/>
      <c r="D206" s="78"/>
      <c r="E206" s="78"/>
      <c r="F206" s="78"/>
      <c r="G206" s="78"/>
      <c r="H206" s="78"/>
      <c r="I206" s="78"/>
      <c r="J206" s="78"/>
      <c r="K206" s="78"/>
      <c r="L206" s="78"/>
      <c r="M206" s="78"/>
      <c r="N206" s="78"/>
      <c r="O206" s="78"/>
      <c r="P206" s="78"/>
      <c r="Q206" s="78"/>
      <c r="Z206" s="112"/>
      <c r="AA206" s="112"/>
      <c r="AB206" s="112"/>
      <c r="AC206" s="112"/>
    </row>
    <row r="207" spans="2:29" x14ac:dyDescent="0.25">
      <c r="B207" s="114"/>
      <c r="C207" s="40" t="s">
        <v>25</v>
      </c>
      <c r="Z207" s="112"/>
      <c r="AA207" s="112"/>
      <c r="AB207" s="112"/>
      <c r="AC207" s="112"/>
    </row>
    <row r="208" spans="2:29" x14ac:dyDescent="0.25">
      <c r="B208" s="114"/>
      <c r="C208" s="1" t="s">
        <v>0</v>
      </c>
      <c r="D208" s="7">
        <v>2.4708195889368182E-2</v>
      </c>
      <c r="E208" s="7">
        <v>3.5893995303589402E-2</v>
      </c>
      <c r="F208" s="7">
        <v>2.5254851066502E-2</v>
      </c>
      <c r="G208" s="7">
        <v>4.8451476879618448E-2</v>
      </c>
      <c r="H208" s="7">
        <v>5.2352892698203396E-2</v>
      </c>
      <c r="I208" s="7">
        <v>2.8066116056603571E-2</v>
      </c>
      <c r="J208" s="7">
        <v>2.4149704244954766E-2</v>
      </c>
      <c r="K208" s="7">
        <v>2.2968671289696787E-2</v>
      </c>
      <c r="L208" s="7">
        <v>2.4802054354804193E-2</v>
      </c>
      <c r="M208" s="7">
        <v>2.3989667976107194E-2</v>
      </c>
      <c r="N208" s="7">
        <v>3.1630561903842232E-2</v>
      </c>
      <c r="O208" s="7">
        <v>3.1E-2</v>
      </c>
      <c r="P208" s="7">
        <v>2.7786649632705204E-2</v>
      </c>
      <c r="Z208" s="112"/>
      <c r="AA208" s="112"/>
      <c r="AB208" s="112"/>
      <c r="AC208" s="112"/>
    </row>
    <row r="209" spans="2:29" ht="7.5" customHeight="1" x14ac:dyDescent="0.25">
      <c r="B209" s="114"/>
      <c r="Z209" s="112"/>
      <c r="AA209" s="112"/>
      <c r="AB209" s="112"/>
      <c r="AC209" s="112"/>
    </row>
    <row r="210" spans="2:29" x14ac:dyDescent="0.25">
      <c r="B210" s="114"/>
      <c r="C210" s="16" t="s">
        <v>253</v>
      </c>
      <c r="D210" s="70">
        <f>IFERROR(VLOOKUP(D$4,Ambulance!$AN$22:$AU$36,2,FALSE),"")</f>
        <v>1.9892892317793828E-2</v>
      </c>
      <c r="E210" s="70">
        <f>IFERROR(VLOOKUP(E$4,Ambulance!$AN$22:$AU$36,2,FALSE),"")</f>
        <v>1.5485438909891571E-2</v>
      </c>
      <c r="F210" s="70">
        <f>IFERROR(VLOOKUP(F$4,Ambulance!$AN$22:$AU$36,2,FALSE),"")</f>
        <v>1.7599983853225823E-2</v>
      </c>
      <c r="G210" s="70">
        <f>IFERROR(VLOOKUP(G$4,Ambulance!$AN$22:$AU$36,2,FALSE),"")</f>
        <v>1.8455766670700716E-2</v>
      </c>
      <c r="H210" s="70">
        <f>IFERROR(VLOOKUP(H$4,Ambulance!$AN$22:$AU$36,2,FALSE),"")</f>
        <v>2.9289154381112126E-2</v>
      </c>
      <c r="I210" s="70" t="str">
        <f>IFERROR(VLOOKUP(I$4,Ambulance!$AN$22:$AU$36,2,FALSE),"")</f>
        <v/>
      </c>
      <c r="J210" s="70" t="str">
        <f>IFERROR(VLOOKUP(J$4,Ambulance!$AN$22:$AU$36,2,FALSE),"")</f>
        <v/>
      </c>
      <c r="K210" s="70" t="str">
        <f>IFERROR(VLOOKUP(K$4,Ambulance!$AN$22:$AU$36,2,FALSE),"")</f>
        <v/>
      </c>
      <c r="L210" s="70" t="str">
        <f>IFERROR(VLOOKUP(L$4,Ambulance!$AN$22:$AU$36,2,FALSE),"")</f>
        <v/>
      </c>
      <c r="M210" s="70" t="str">
        <f>IFERROR(VLOOKUP(M$4,Ambulance!$AN$22:$AU$36,2,FALSE),"")</f>
        <v/>
      </c>
      <c r="N210" s="70" t="str">
        <f>IFERROR(VLOOKUP(N$4,Ambulance!$AN$22:$AU$36,2,FALSE),"")</f>
        <v/>
      </c>
      <c r="O210" s="70" t="str">
        <f>IFERROR(VLOOKUP(O$4,Ambulance!$AN$22:$AU$36,2,FALSE),"")</f>
        <v/>
      </c>
      <c r="P210" s="70" t="str">
        <f>IFERROR(VLOOKUP(P$4,Ambulance!$AN$22:$AU$36,2,FALSE),"")</f>
        <v/>
      </c>
      <c r="Q210" s="103" t="str">
        <f>IFERROR(VLOOKUP(Q$4,Ambulance!$AN$22:$AU$36,2,FALSE),"")</f>
        <v/>
      </c>
      <c r="Z210" s="112"/>
      <c r="AA210" s="112"/>
      <c r="AB210" s="112"/>
      <c r="AC210" s="112"/>
    </row>
    <row r="211" spans="2:29" x14ac:dyDescent="0.25">
      <c r="B211" s="114"/>
      <c r="C211" s="1" t="s">
        <v>2</v>
      </c>
      <c r="D211" s="67">
        <f>IFERROR(VLOOKUP(D$4,Ambulance!$AN$22:$AU$36,3,FALSE),"")</f>
        <v>8.8169084542271143E-3</v>
      </c>
      <c r="E211" s="67">
        <f>IFERROR(VLOOKUP(E$4,Ambulance!$AN$22:$AU$36,3,FALSE),"")</f>
        <v>6.7752362008950771E-3</v>
      </c>
      <c r="F211" s="67">
        <f>IFERROR(VLOOKUP(F$4,Ambulance!$AN$22:$AU$36,3,FALSE),"")</f>
        <v>3.1935147085917826E-3</v>
      </c>
      <c r="G211" s="67">
        <f>IFERROR(VLOOKUP(G$4,Ambulance!$AN$22:$AU$36,3,FALSE),"")</f>
        <v>2.3715908381701303E-3</v>
      </c>
      <c r="H211" s="67">
        <f>IFERROR(VLOOKUP(H$4,Ambulance!$AN$22:$AU$36,3,FALSE),"")</f>
        <v>6.0081711127132897E-3</v>
      </c>
      <c r="I211" s="67" t="str">
        <f>IFERROR(VLOOKUP(I$4,Ambulance!$AN$22:$AU$36,3,FALSE),"")</f>
        <v/>
      </c>
      <c r="J211" s="67" t="str">
        <f>IFERROR(VLOOKUP(J$4,Ambulance!$AN$22:$AU$36,3,FALSE),"")</f>
        <v/>
      </c>
      <c r="K211" s="67" t="str">
        <f>IFERROR(VLOOKUP(K$4,Ambulance!$AN$22:$AU$36,3,FALSE),"")</f>
        <v/>
      </c>
      <c r="L211" s="67" t="str">
        <f>IFERROR(VLOOKUP(L$4,Ambulance!$AN$22:$AU$36,3,FALSE),"")</f>
        <v/>
      </c>
      <c r="M211" s="67" t="str">
        <f>IFERROR(VLOOKUP(M$4,Ambulance!$AN$22:$AU$36,3,FALSE),"")</f>
        <v/>
      </c>
      <c r="N211" s="67" t="str">
        <f>IFERROR(VLOOKUP(N$4,Ambulance!$AN$22:$AU$36,3,FALSE),"")</f>
        <v/>
      </c>
      <c r="O211" s="67" t="str">
        <f>IFERROR(VLOOKUP(O$4,Ambulance!$AN$22:$AU$36,3,FALSE),"")</f>
        <v/>
      </c>
      <c r="P211" s="67" t="str">
        <f>IFERROR(VLOOKUP(P$4,Ambulance!$AN$22:$AU$36,3,FALSE),"")</f>
        <v/>
      </c>
      <c r="Q211" s="78" t="str">
        <f>IFERROR(VLOOKUP(Q$4,Ambulance!$AN$22:$AU$36,3,FALSE),"")</f>
        <v/>
      </c>
      <c r="Z211" s="112"/>
      <c r="AA211" s="112"/>
      <c r="AB211" s="112"/>
      <c r="AC211" s="112"/>
    </row>
    <row r="212" spans="2:29" x14ac:dyDescent="0.25">
      <c r="B212" s="114"/>
      <c r="C212" s="1" t="s">
        <v>29</v>
      </c>
      <c r="D212" s="67">
        <f>IFERROR(VLOOKUP(D$4,Ambulance!$AN$22:$AU$36,4,FALSE),"")</f>
        <v>3.1610921957407036E-2</v>
      </c>
      <c r="E212" s="67">
        <f>IFERROR(VLOOKUP(E$4,Ambulance!$AN$22:$AU$36,4,FALSE),"")</f>
        <v>2.6813349481900148E-2</v>
      </c>
      <c r="F212" s="67">
        <f>IFERROR(VLOOKUP(F$4,Ambulance!$AN$22:$AU$36,4,FALSE),"")</f>
        <v>3.2121112390982393E-2</v>
      </c>
      <c r="G212" s="67">
        <f>IFERROR(VLOOKUP(G$4,Ambulance!$AN$22:$AU$36,4,FALSE),"")</f>
        <v>2.7645376549094377E-2</v>
      </c>
      <c r="H212" s="67">
        <f>IFERROR(VLOOKUP(H$4,Ambulance!$AN$22:$AU$36,4,FALSE),"")</f>
        <v>5.6205035971223019E-2</v>
      </c>
      <c r="I212" s="67" t="str">
        <f>IFERROR(VLOOKUP(I$4,Ambulance!$AN$22:$AU$36,4,FALSE),"")</f>
        <v/>
      </c>
      <c r="J212" s="67" t="str">
        <f>IFERROR(VLOOKUP(J$4,Ambulance!$AN$22:$AU$36,4,FALSE),"")</f>
        <v/>
      </c>
      <c r="K212" s="67" t="str">
        <f>IFERROR(VLOOKUP(K$4,Ambulance!$AN$22:$AU$36,4,FALSE),"")</f>
        <v/>
      </c>
      <c r="L212" s="67" t="str">
        <f>IFERROR(VLOOKUP(L$4,Ambulance!$AN$22:$AU$36,4,FALSE),"")</f>
        <v/>
      </c>
      <c r="M212" s="67" t="str">
        <f>IFERROR(VLOOKUP(M$4,Ambulance!$AN$22:$AU$36,4,FALSE),"")</f>
        <v/>
      </c>
      <c r="N212" s="67" t="str">
        <f>IFERROR(VLOOKUP(N$4,Ambulance!$AN$22:$AU$36,4,FALSE),"")</f>
        <v/>
      </c>
      <c r="O212" s="67" t="str">
        <f>IFERROR(VLOOKUP(O$4,Ambulance!$AN$22:$AU$36,4,FALSE),"")</f>
        <v/>
      </c>
      <c r="P212" s="67" t="str">
        <f>IFERROR(VLOOKUP(P$4,Ambulance!$AN$22:$AU$36,4,FALSE),"")</f>
        <v/>
      </c>
      <c r="Q212" s="78" t="str">
        <f>IFERROR(VLOOKUP(Q$4,Ambulance!$AN$22:$AU$36,4,FALSE),"")</f>
        <v/>
      </c>
      <c r="Z212" s="112"/>
      <c r="AA212" s="112"/>
      <c r="AB212" s="112"/>
      <c r="AC212" s="112"/>
    </row>
    <row r="213" spans="2:29" x14ac:dyDescent="0.25">
      <c r="B213" s="114"/>
      <c r="C213" s="1" t="s">
        <v>3</v>
      </c>
      <c r="D213" s="67">
        <f>IFERROR(VLOOKUP(D$4,Ambulance!$AN$22:$AU$36,5,FALSE),"")</f>
        <v>2.419102568558618E-2</v>
      </c>
      <c r="E213" s="67">
        <f>IFERROR(VLOOKUP(E$4,Ambulance!$AN$22:$AU$36,5,FALSE),"")</f>
        <v>1.569120287253142E-2</v>
      </c>
      <c r="F213" s="67">
        <f>IFERROR(VLOOKUP(F$4,Ambulance!$AN$22:$AU$36,5,FALSE),"")</f>
        <v>1.8330839341586178E-2</v>
      </c>
      <c r="G213" s="67">
        <f>IFERROR(VLOOKUP(G$4,Ambulance!$AN$22:$AU$36,5,FALSE),"")</f>
        <v>2.5529202589821866E-2</v>
      </c>
      <c r="H213" s="67">
        <f>IFERROR(VLOOKUP(H$4,Ambulance!$AN$22:$AU$36,5,FALSE),"")</f>
        <v>2.9096325719960278E-2</v>
      </c>
      <c r="I213" s="67" t="str">
        <f>IFERROR(VLOOKUP(I$4,Ambulance!$AN$22:$AU$36,5,FALSE),"")</f>
        <v/>
      </c>
      <c r="J213" s="67" t="str">
        <f>IFERROR(VLOOKUP(J$4,Ambulance!$AN$22:$AU$36,5,FALSE),"")</f>
        <v/>
      </c>
      <c r="K213" s="67" t="str">
        <f>IFERROR(VLOOKUP(K$4,Ambulance!$AN$22:$AU$36,5,FALSE),"")</f>
        <v/>
      </c>
      <c r="L213" s="67" t="str">
        <f>IFERROR(VLOOKUP(L$4,Ambulance!$AN$22:$AU$36,5,FALSE),"")</f>
        <v/>
      </c>
      <c r="M213" s="67" t="str">
        <f>IFERROR(VLOOKUP(M$4,Ambulance!$AN$22:$AU$36,5,FALSE),"")</f>
        <v/>
      </c>
      <c r="N213" s="67" t="str">
        <f>IFERROR(VLOOKUP(N$4,Ambulance!$AN$22:$AU$36,5,FALSE),"")</f>
        <v/>
      </c>
      <c r="O213" s="67" t="str">
        <f>IFERROR(VLOOKUP(O$4,Ambulance!$AN$22:$AU$36,5,FALSE),"")</f>
        <v/>
      </c>
      <c r="P213" s="67" t="str">
        <f>IFERROR(VLOOKUP(P$4,Ambulance!$AN$22:$AU$36,5,FALSE),"")</f>
        <v/>
      </c>
      <c r="Q213" s="78" t="str">
        <f>IFERROR(VLOOKUP(Q$4,Ambulance!$AN$22:$AU$36,5,FALSE),"")</f>
        <v/>
      </c>
      <c r="Z213" s="112"/>
      <c r="AA213" s="112"/>
      <c r="AB213" s="112"/>
      <c r="AC213" s="112"/>
    </row>
    <row r="214" spans="2:29" x14ac:dyDescent="0.25">
      <c r="B214" s="114"/>
      <c r="C214" s="1" t="s">
        <v>304</v>
      </c>
      <c r="D214" s="67">
        <f>IFERROR(VLOOKUP(D$4,Ambulance!$AN$22:$AU$36,6,FALSE),"")</f>
        <v>1.0272707116990614E-2</v>
      </c>
      <c r="E214" s="67">
        <f>IFERROR(VLOOKUP(E$4,Ambulance!$AN$22:$AU$36,6,FALSE),"")</f>
        <v>9.4653553205649634E-3</v>
      </c>
      <c r="F214" s="67">
        <f>IFERROR(VLOOKUP(F$4,Ambulance!$AN$22:$AU$36,6,FALSE),"")</f>
        <v>1.1536483209640678E-2</v>
      </c>
      <c r="G214" s="67">
        <f>IFERROR(VLOOKUP(G$4,Ambulance!$AN$22:$AU$36,6,FALSE),"")</f>
        <v>1.2980308282321705E-2</v>
      </c>
      <c r="H214" s="67">
        <f>IFERROR(VLOOKUP(H$4,Ambulance!$AN$22:$AU$36,6,FALSE),"")</f>
        <v>1.5811935912684531E-2</v>
      </c>
      <c r="I214" s="67" t="str">
        <f>IFERROR(VLOOKUP(I$4,Ambulance!$AN$22:$AU$36,6,FALSE),"")</f>
        <v/>
      </c>
      <c r="J214" s="67" t="str">
        <f>IFERROR(VLOOKUP(J$4,Ambulance!$AN$22:$AU$36,6,FALSE),"")</f>
        <v/>
      </c>
      <c r="K214" s="67" t="str">
        <f>IFERROR(VLOOKUP(K$4,Ambulance!$AN$22:$AU$36,6,FALSE),"")</f>
        <v/>
      </c>
      <c r="L214" s="67" t="str">
        <f>IFERROR(VLOOKUP(L$4,Ambulance!$AN$22:$AU$36,6,FALSE),"")</f>
        <v/>
      </c>
      <c r="M214" s="67" t="str">
        <f>IFERROR(VLOOKUP(M$4,Ambulance!$AN$22:$AU$36,6,FALSE),"")</f>
        <v/>
      </c>
      <c r="N214" s="67" t="str">
        <f>IFERROR(VLOOKUP(N$4,Ambulance!$AN$22:$AU$36,6,FALSE),"")</f>
        <v/>
      </c>
      <c r="O214" s="67" t="str">
        <f>IFERROR(VLOOKUP(O$4,Ambulance!$AN$22:$AU$36,6,FALSE),"")</f>
        <v/>
      </c>
      <c r="P214" s="67" t="str">
        <f>IFERROR(VLOOKUP(P$4,Ambulance!$AN$22:$AU$36,6,FALSE),"")</f>
        <v/>
      </c>
      <c r="Q214" s="78" t="str">
        <f>IFERROR(VLOOKUP(Q$4,Ambulance!$AN$22:$AU$36,6,FALSE),"")</f>
        <v/>
      </c>
      <c r="Z214" s="112"/>
      <c r="AA214" s="112"/>
      <c r="AB214" s="112"/>
      <c r="AC214" s="112"/>
    </row>
    <row r="215" spans="2:29" x14ac:dyDescent="0.25">
      <c r="B215" s="114"/>
      <c r="C215" s="1" t="s">
        <v>305</v>
      </c>
      <c r="D215" s="67">
        <f>IFERROR(VLOOKUP(D$4,Ambulance!$AN$22:$AU$36,7,FALSE),"")</f>
        <v>1.7353579175704988E-3</v>
      </c>
      <c r="E215" s="67">
        <f>IFERROR(VLOOKUP(E$4,Ambulance!$AN$22:$AU$36,7,FALSE),"")</f>
        <v>2.1980437410704474E-3</v>
      </c>
      <c r="F215" s="67">
        <f>IFERROR(VLOOKUP(F$4,Ambulance!$AN$22:$AU$36,7,FALSE),"")</f>
        <v>2.1253985122210413E-3</v>
      </c>
      <c r="G215" s="67">
        <f>IFERROR(VLOOKUP(G$4,Ambulance!$AN$22:$AU$36,7,FALSE),"")</f>
        <v>1.4982876712328766E-3</v>
      </c>
      <c r="H215" s="67">
        <f>IFERROR(VLOOKUP(H$4,Ambulance!$AN$22:$AU$36,7,FALSE),"")</f>
        <v>3.2071177322573969E-3</v>
      </c>
      <c r="I215" s="67" t="str">
        <f>IFERROR(VLOOKUP(I$4,Ambulance!$AN$22:$AU$36,7,FALSE),"")</f>
        <v/>
      </c>
      <c r="J215" s="67" t="str">
        <f>IFERROR(VLOOKUP(J$4,Ambulance!$AN$22:$AU$36,7,FALSE),"")</f>
        <v/>
      </c>
      <c r="K215" s="67" t="str">
        <f>IFERROR(VLOOKUP(K$4,Ambulance!$AN$22:$AU$36,7,FALSE),"")</f>
        <v/>
      </c>
      <c r="L215" s="67" t="str">
        <f>IFERROR(VLOOKUP(L$4,Ambulance!$AN$22:$AU$36,7,FALSE),"")</f>
        <v/>
      </c>
      <c r="M215" s="67" t="str">
        <f>IFERROR(VLOOKUP(M$4,Ambulance!$AN$22:$AU$36,7,FALSE),"")</f>
        <v/>
      </c>
      <c r="N215" s="67" t="str">
        <f>IFERROR(VLOOKUP(N$4,Ambulance!$AN$22:$AU$36,7,FALSE),"")</f>
        <v/>
      </c>
      <c r="O215" s="67" t="str">
        <f>IFERROR(VLOOKUP(O$4,Ambulance!$AN$22:$AU$36,7,FALSE),"")</f>
        <v/>
      </c>
      <c r="P215" s="67" t="str">
        <f>IFERROR(VLOOKUP(P$4,Ambulance!$AN$22:$AU$36,7,FALSE),"")</f>
        <v/>
      </c>
      <c r="Q215" s="78" t="str">
        <f>IFERROR(VLOOKUP(Q$4,Ambulance!$AN$22:$AU$36,7,FALSE),"")</f>
        <v/>
      </c>
      <c r="Z215" s="112"/>
      <c r="AA215" s="112"/>
      <c r="AB215" s="112"/>
      <c r="AC215" s="112"/>
    </row>
    <row r="216" spans="2:29" ht="7.5" customHeight="1" x14ac:dyDescent="0.25">
      <c r="B216" s="114"/>
      <c r="Q216" s="71"/>
      <c r="Z216" s="112"/>
      <c r="AA216" s="112"/>
      <c r="AB216" s="112"/>
      <c r="AC216" s="112"/>
    </row>
    <row r="217" spans="2:29" x14ac:dyDescent="0.25">
      <c r="B217" s="114"/>
      <c r="C217" s="11" t="s">
        <v>26</v>
      </c>
      <c r="D217" s="72">
        <f>HLOOKUP(D4,Ambulance!AY142:BL143,2,FALSE)</f>
        <v>92</v>
      </c>
      <c r="E217" s="72">
        <f>HLOOKUP(E4,Ambulance!AZ142:BM143,2,FALSE)</f>
        <v>98</v>
      </c>
      <c r="F217" s="72">
        <f>HLOOKUP(F4,Ambulance!BA142:BN143,2,FALSE)</f>
        <v>92</v>
      </c>
      <c r="G217" s="72">
        <f>HLOOKUP(G4,Ambulance!BB142:BO143,2,FALSE)</f>
        <v>87</v>
      </c>
      <c r="H217" s="72">
        <f>HLOOKUP(H4,Ambulance!BC142:BP143,2,FALSE)</f>
        <v>97</v>
      </c>
      <c r="I217" s="72" t="str">
        <f>HLOOKUP(I4,Ambulance!BD142:BQ143,2,FALSE)</f>
        <v/>
      </c>
      <c r="J217" s="72" t="str">
        <f>HLOOKUP(J4,Ambulance!BE142:BR143,2,FALSE)</f>
        <v/>
      </c>
      <c r="K217" s="72" t="str">
        <f>HLOOKUP(K4,Ambulance!BF142:BS143,2,FALSE)</f>
        <v/>
      </c>
      <c r="L217" s="72" t="str">
        <f>HLOOKUP(L4,Ambulance!BG142:BT143,2,FALSE)</f>
        <v/>
      </c>
      <c r="M217" s="72" t="str">
        <f>HLOOKUP(M4,Ambulance!BH142:BU143,2,FALSE)</f>
        <v/>
      </c>
      <c r="N217" s="72" t="str">
        <f>HLOOKUP(N4,Ambulance!BI142:BV143,2,FALSE)</f>
        <v/>
      </c>
      <c r="O217" s="72" t="str">
        <f>HLOOKUP(O4,Ambulance!BJ142:BW143,2,FALSE)</f>
        <v/>
      </c>
      <c r="P217" s="72" t="str">
        <f>HLOOKUP(P4,Ambulance!BK142:BX143,2,FALSE)</f>
        <v/>
      </c>
      <c r="Q217" s="106"/>
      <c r="Z217" s="112"/>
      <c r="AA217" s="112"/>
      <c r="AB217" s="112"/>
      <c r="AC217" s="112"/>
    </row>
    <row r="221" spans="2:29" x14ac:dyDescent="0.25">
      <c r="E221" s="3"/>
    </row>
  </sheetData>
  <sheetProtection password="E879" sheet="1" objects="1" scenarios="1" selectLockedCells="1" selectUnlockedCells="1"/>
  <mergeCells count="58">
    <mergeCell ref="N53:P53"/>
    <mergeCell ref="N111:P111"/>
    <mergeCell ref="N125:P125"/>
    <mergeCell ref="K53:M53"/>
    <mergeCell ref="Z4:AC4"/>
    <mergeCell ref="K15:M15"/>
    <mergeCell ref="K17:M17"/>
    <mergeCell ref="S4:X4"/>
    <mergeCell ref="N15:P15"/>
    <mergeCell ref="N17:P17"/>
    <mergeCell ref="Z20:AC23"/>
    <mergeCell ref="Z24:AC49"/>
    <mergeCell ref="N29:P29"/>
    <mergeCell ref="N41:P41"/>
    <mergeCell ref="B6:B17"/>
    <mergeCell ref="D15:F15"/>
    <mergeCell ref="D17:F17"/>
    <mergeCell ref="G15:J15"/>
    <mergeCell ref="G17:J17"/>
    <mergeCell ref="B99:B125"/>
    <mergeCell ref="Z131:AC143"/>
    <mergeCell ref="B19:B49"/>
    <mergeCell ref="B70:B86"/>
    <mergeCell ref="D111:F111"/>
    <mergeCell ref="G111:J111"/>
    <mergeCell ref="K111:M111"/>
    <mergeCell ref="D29:F29"/>
    <mergeCell ref="G29:J29"/>
    <mergeCell ref="K29:M29"/>
    <mergeCell ref="B55:B68"/>
    <mergeCell ref="D41:F41"/>
    <mergeCell ref="G41:J41"/>
    <mergeCell ref="K41:M41"/>
    <mergeCell ref="D53:F53"/>
    <mergeCell ref="G53:J53"/>
    <mergeCell ref="Z151:AC163"/>
    <mergeCell ref="Z167:AC170"/>
    <mergeCell ref="Z171:AC183"/>
    <mergeCell ref="Z187:AC192"/>
    <mergeCell ref="D125:F125"/>
    <mergeCell ref="G125:J125"/>
    <mergeCell ref="K125:M125"/>
    <mergeCell ref="Z193:AC217"/>
    <mergeCell ref="C2:AC2"/>
    <mergeCell ref="B187:B217"/>
    <mergeCell ref="Z6:AC9"/>
    <mergeCell ref="Z10:AC17"/>
    <mergeCell ref="Z55:AC58"/>
    <mergeCell ref="Z59:AC68"/>
    <mergeCell ref="Z70:AC74"/>
    <mergeCell ref="Z75:AC86"/>
    <mergeCell ref="Z99:AC102"/>
    <mergeCell ref="B127:B143"/>
    <mergeCell ref="B147:B163"/>
    <mergeCell ref="B167:B183"/>
    <mergeCell ref="Z104:AC125"/>
    <mergeCell ref="Z127:AC130"/>
    <mergeCell ref="Z147:AC150"/>
  </mergeCells>
  <pageMargins left="0.25" right="0.25"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3"/>
  <sheetViews>
    <sheetView topLeftCell="AM126" workbookViewId="0">
      <selection activeCell="BC143" sqref="BC143"/>
    </sheetView>
  </sheetViews>
  <sheetFormatPr defaultRowHeight="15" x14ac:dyDescent="0.25"/>
  <cols>
    <col min="1" max="1" width="11.28515625" customWidth="1"/>
    <col min="2" max="2" width="18.85546875" customWidth="1"/>
    <col min="3" max="3" width="16.28515625" customWidth="1"/>
    <col min="4" max="4" width="27.85546875" customWidth="1"/>
    <col min="5" max="5" width="16" customWidth="1"/>
    <col min="6" max="6" width="20.140625" customWidth="1"/>
    <col min="7" max="7" width="21.42578125" customWidth="1"/>
    <col min="8" max="18" width="11.28515625" customWidth="1"/>
    <col min="20" max="20" width="13.140625" bestFit="1" customWidth="1"/>
    <col min="21" max="21" width="18.85546875" bestFit="1" customWidth="1"/>
    <col min="22" max="22" width="10.42578125" bestFit="1" customWidth="1"/>
    <col min="23" max="23" width="12.140625" bestFit="1" customWidth="1"/>
    <col min="24" max="24" width="27.85546875" bestFit="1" customWidth="1"/>
    <col min="25" max="25" width="10.42578125" bestFit="1" customWidth="1"/>
    <col min="26" max="26" width="12.140625" bestFit="1" customWidth="1"/>
    <col min="27" max="27" width="18.85546875" bestFit="1" customWidth="1"/>
    <col min="28" max="28" width="10.42578125" bestFit="1" customWidth="1"/>
    <col min="29" max="29" width="12.140625" bestFit="1" customWidth="1"/>
    <col min="30" max="30" width="20.140625" bestFit="1" customWidth="1"/>
    <col min="31" max="31" width="10.42578125" bestFit="1" customWidth="1"/>
    <col min="32" max="32" width="12.140625" bestFit="1" customWidth="1"/>
    <col min="33" max="33" width="21.42578125" bestFit="1" customWidth="1"/>
    <col min="34" max="34" width="10.42578125" bestFit="1" customWidth="1"/>
    <col min="35" max="35" width="12.140625" bestFit="1" customWidth="1"/>
    <col min="36" max="36" width="23.85546875" bestFit="1" customWidth="1"/>
    <col min="37" max="37" width="15.42578125" bestFit="1" customWidth="1"/>
    <col min="38" max="38" width="17.28515625" bestFit="1" customWidth="1"/>
    <col min="50" max="50" width="78.140625" bestFit="1" customWidth="1"/>
    <col min="51" max="51" width="16.28515625" bestFit="1" customWidth="1"/>
    <col min="52" max="55" width="7.7109375" customWidth="1"/>
  </cols>
  <sheetData>
    <row r="1" spans="1:55" s="17" customFormat="1" x14ac:dyDescent="0.25">
      <c r="A1" s="38"/>
      <c r="B1" s="45" t="s">
        <v>322</v>
      </c>
      <c r="C1" s="53"/>
      <c r="D1" s="53"/>
      <c r="E1" s="53"/>
      <c r="F1" s="53"/>
      <c r="G1" s="53"/>
      <c r="H1" s="53"/>
      <c r="I1" s="57"/>
      <c r="J1" s="57"/>
      <c r="K1" s="57"/>
      <c r="L1" s="57"/>
      <c r="M1" s="57"/>
      <c r="N1" s="57"/>
      <c r="O1" s="57"/>
      <c r="P1" s="57"/>
      <c r="Q1" s="57"/>
      <c r="R1" s="38"/>
      <c r="S1" s="49"/>
      <c r="T1" s="45" t="s">
        <v>323</v>
      </c>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row>
    <row r="3" spans="1:55" x14ac:dyDescent="0.25">
      <c r="B3" s="18" t="s">
        <v>47</v>
      </c>
      <c r="C3" t="s" vm="2">
        <v>262</v>
      </c>
      <c r="K3" t="s">
        <v>48</v>
      </c>
      <c r="L3" t="s">
        <v>2</v>
      </c>
      <c r="M3" t="s">
        <v>65</v>
      </c>
      <c r="N3" t="s">
        <v>3</v>
      </c>
      <c r="O3" t="s">
        <v>304</v>
      </c>
      <c r="P3" t="s">
        <v>305</v>
      </c>
      <c r="Q3" t="s">
        <v>298</v>
      </c>
      <c r="T3" s="18" t="s">
        <v>47</v>
      </c>
      <c r="U3" t="s" vm="2">
        <v>262</v>
      </c>
      <c r="AX3" s="18" t="s">
        <v>47</v>
      </c>
      <c r="AY3" t="s" vm="2">
        <v>262</v>
      </c>
    </row>
    <row r="4" spans="1:55" x14ac:dyDescent="0.25">
      <c r="J4" s="21" t="s">
        <v>51</v>
      </c>
      <c r="K4" s="25">
        <f>(VLOOKUP($J$4,$B$7:$H$1048576,7, FALSE))</f>
        <v>97472</v>
      </c>
      <c r="L4" s="25">
        <f>(VLOOKUP($J$4,$B$7:$H$1048576,2, FALSE))</f>
        <v>15992</v>
      </c>
      <c r="M4" s="25">
        <f>(VLOOKUP($J$4,$B$7:$H$1048576,3, FALSE))</f>
        <v>29958</v>
      </c>
      <c r="N4" s="25">
        <f>(VLOOKUP($J$4,$B$7:$H$1048576,4, FALSE))</f>
        <v>28771</v>
      </c>
      <c r="O4" s="25">
        <f>(VLOOKUP($J$4,$B$7:$H$1048576,5, FALSE))</f>
        <v>13531</v>
      </c>
      <c r="P4" s="25">
        <f>(VLOOKUP($J$4,$B$7:$H$1048576,6, FALSE))</f>
        <v>9220</v>
      </c>
      <c r="Q4" s="26">
        <f>O4+P4</f>
        <v>22751</v>
      </c>
      <c r="S4" s="28"/>
      <c r="AJ4" s="28"/>
      <c r="AK4" s="28"/>
      <c r="AL4" s="28"/>
      <c r="AM4" s="28"/>
      <c r="AN4" s="28"/>
      <c r="AO4" s="28"/>
      <c r="AP4" s="28"/>
      <c r="AQ4" s="28"/>
      <c r="AR4" s="28"/>
      <c r="AS4" s="28"/>
      <c r="AT4" s="28"/>
      <c r="AU4" s="28"/>
    </row>
    <row r="5" spans="1:55" x14ac:dyDescent="0.25">
      <c r="B5" s="18" t="s">
        <v>204</v>
      </c>
      <c r="C5" s="18" t="s">
        <v>49</v>
      </c>
      <c r="J5" s="21" t="s">
        <v>52</v>
      </c>
      <c r="K5" s="25">
        <f>(VLOOKUP($J$5,$B$7:$H$1048576,7, FALSE))</f>
        <v>96284</v>
      </c>
      <c r="L5" s="25">
        <f>(VLOOKUP($J$5,$B$7:$H$1048576,2, FALSE))</f>
        <v>16088</v>
      </c>
      <c r="M5" s="25">
        <f>(VLOOKUP($J$5,$B$7:$H$1048576,3, FALSE))</f>
        <v>29724</v>
      </c>
      <c r="N5" s="25">
        <f>(VLOOKUP($J$5,$B$7:$H$1048576,4, FALSE))</f>
        <v>27850</v>
      </c>
      <c r="O5" s="25">
        <f>(VLOOKUP($J$5,$B$7:$H$1048576,5, FALSE))</f>
        <v>13523</v>
      </c>
      <c r="P5" s="25">
        <f>(VLOOKUP($J$5,$B$7:$H$1048576,6, FALSE))</f>
        <v>9099</v>
      </c>
      <c r="Q5" s="26">
        <f>O5+P5</f>
        <v>22622</v>
      </c>
      <c r="S5" s="28"/>
      <c r="U5" s="18" t="s">
        <v>49</v>
      </c>
      <c r="AM5" s="28"/>
      <c r="AO5" t="s">
        <v>48</v>
      </c>
      <c r="AP5" t="s">
        <v>2</v>
      </c>
      <c r="AQ5" t="s">
        <v>65</v>
      </c>
      <c r="AR5" t="s">
        <v>3</v>
      </c>
      <c r="AS5" t="s">
        <v>304</v>
      </c>
      <c r="AT5" s="56" t="s">
        <v>305</v>
      </c>
      <c r="AU5" s="56" t="s">
        <v>298</v>
      </c>
      <c r="AX5" s="18" t="s">
        <v>220</v>
      </c>
      <c r="AY5" s="18" t="s">
        <v>49</v>
      </c>
    </row>
    <row r="6" spans="1:55" x14ac:dyDescent="0.25">
      <c r="B6" s="18" t="s">
        <v>44</v>
      </c>
      <c r="C6" t="s">
        <v>2</v>
      </c>
      <c r="D6" t="s">
        <v>266</v>
      </c>
      <c r="E6" t="s">
        <v>50</v>
      </c>
      <c r="F6" t="s">
        <v>267</v>
      </c>
      <c r="G6" t="s">
        <v>268</v>
      </c>
      <c r="H6" t="s">
        <v>46</v>
      </c>
      <c r="J6" s="21" t="s">
        <v>53</v>
      </c>
      <c r="K6" s="25">
        <f>(VLOOKUP($J$6,$B$7:$H$1048576,7, FALSE))</f>
        <v>99091</v>
      </c>
      <c r="L6" s="25">
        <f>(VLOOKUP($J$6,$B$7:$H$1048576,2, FALSE))</f>
        <v>16283</v>
      </c>
      <c r="M6" s="25">
        <f>(VLOOKUP($J$6,$B$7:$H$1048576,3, FALSE))</f>
        <v>30385</v>
      </c>
      <c r="N6" s="25">
        <f>(VLOOKUP($J$6,$B$7:$H$1048576,4, FALSE))</f>
        <v>29404</v>
      </c>
      <c r="O6" s="25">
        <f>(VLOOKUP($J$6,$B$7:$H$1048576,5, FALSE))</f>
        <v>13609</v>
      </c>
      <c r="P6" s="25">
        <f>(VLOOKUP($J$6,$B$7:$H$1048576,6, FALSE))</f>
        <v>9410</v>
      </c>
      <c r="Q6" s="26">
        <f t="shared" ref="Q6:Q16" si="0">O6+P6</f>
        <v>23019</v>
      </c>
      <c r="S6" s="28"/>
      <c r="U6" t="s">
        <v>2</v>
      </c>
      <c r="X6" t="s">
        <v>266</v>
      </c>
      <c r="AA6" t="s">
        <v>50</v>
      </c>
      <c r="AD6" t="s">
        <v>267</v>
      </c>
      <c r="AG6" t="s">
        <v>268</v>
      </c>
      <c r="AJ6" t="s">
        <v>209</v>
      </c>
      <c r="AK6" t="s">
        <v>205</v>
      </c>
      <c r="AL6" t="s">
        <v>207</v>
      </c>
      <c r="AM6" s="28"/>
      <c r="AN6" s="21" t="s">
        <v>51</v>
      </c>
      <c r="AO6" s="28">
        <f>(VLOOKUP($AN6,$T$8:$AL$1048576,18,FALSE)+VLOOKUP($AN6,$T$8:$AL$1048576,19,FALSE))/VLOOKUP($AN6,$T$8:$AL$1048576,17,FALSE)</f>
        <v>0.10951863099146422</v>
      </c>
      <c r="AP6" s="28">
        <f>(VLOOKUP($AN6,$T$8:$AL$1048576,3,FALSE)+VLOOKUP($AN6,$T$8:$AL$1048576,4,FALSE))/VLOOKUP($AN6,$T$8:$AL$1048576,2,FALSE)</f>
        <v>0.10492746373186593</v>
      </c>
      <c r="AQ6" s="28">
        <f>(VLOOKUP($AN6,$T$8:$AL$1048576,6,FALSE)+VLOOKUP($AN6,$T$8:$AL$1048576,7,FALSE))/VLOOKUP($AN6,$T$8:$AL$1048576,5,FALSE)</f>
        <v>0.14567060551438682</v>
      </c>
      <c r="AR6" s="28">
        <f>(VLOOKUP($AN6,$T$8:$AL$1048576,9,FALSE)+VLOOKUP($AN6,$T$8:$AL$1048576,10,FALSE))/VLOOKUP($AN6,$T$8:$AL$1048576,8,FALSE)</f>
        <v>0.11622814639741406</v>
      </c>
      <c r="AS6" s="28">
        <f>(VLOOKUP($AN6,$T$8:$AL$1048576,12,FALSE)+VLOOKUP($AN6,$T$8:$AL$1048576,13,FALSE))/VLOOKUP($AN6,$T$8:$AL$1048576,11,FALSE)</f>
        <v>7.8412534180770085E-2</v>
      </c>
      <c r="AT6" s="28">
        <f>(VLOOKUP($AN6,$T$8:$AL$1048576,15,FALSE)+VLOOKUP($AN6,$T$8:$AL$1048576,16,FALSE))/VLOOKUP($AN6,$T$8:$AL$1048576,14,FALSE)</f>
        <v>2.4728850325379609E-2</v>
      </c>
      <c r="AU6" s="28">
        <f>(AS6+AT6)/2</f>
        <v>5.1570692253074847E-2</v>
      </c>
      <c r="AX6" s="18" t="s">
        <v>44</v>
      </c>
      <c r="AY6" t="s">
        <v>51</v>
      </c>
      <c r="AZ6" t="s">
        <v>52</v>
      </c>
      <c r="BA6" t="s">
        <v>53</v>
      </c>
      <c r="BB6" t="s">
        <v>54</v>
      </c>
      <c r="BC6" t="s">
        <v>55</v>
      </c>
    </row>
    <row r="7" spans="1:55" x14ac:dyDescent="0.25">
      <c r="A7" s="2"/>
      <c r="B7" s="19" t="s">
        <v>51</v>
      </c>
      <c r="C7" s="2">
        <v>15992</v>
      </c>
      <c r="D7" s="2">
        <v>29958</v>
      </c>
      <c r="E7" s="2">
        <v>28771</v>
      </c>
      <c r="F7" s="2">
        <v>13531</v>
      </c>
      <c r="G7" s="2">
        <v>9220</v>
      </c>
      <c r="H7" s="2">
        <v>97472</v>
      </c>
      <c r="I7" s="2"/>
      <c r="J7" s="21" t="s">
        <v>54</v>
      </c>
      <c r="K7" s="25">
        <f>(VLOOKUP($J$7,$B$7:$H$1048576,7, FALSE))</f>
        <v>99156</v>
      </c>
      <c r="L7" s="25">
        <f>(VLOOKUP($J$7,$B$7:$H$1048576,2, FALSE))</f>
        <v>16023</v>
      </c>
      <c r="M7" s="25">
        <f>(VLOOKUP($J$7,$B$7:$H$1048576,3, FALSE))</f>
        <v>30421</v>
      </c>
      <c r="N7" s="25">
        <f>(VLOOKUP($J$7,$B$7:$H$1048576,4, FALSE))</f>
        <v>29809</v>
      </c>
      <c r="O7" s="25">
        <f>(VLOOKUP($J$7,$B$7:$H$1048576,5, FALSE))</f>
        <v>13559</v>
      </c>
      <c r="P7" s="25">
        <f>(VLOOKUP($J$7,$B$7:$H$1048576,6, FALSE))</f>
        <v>9344</v>
      </c>
      <c r="Q7" s="26">
        <f t="shared" si="0"/>
        <v>22903</v>
      </c>
      <c r="R7" s="2"/>
      <c r="S7" s="28"/>
      <c r="T7" s="18" t="s">
        <v>44</v>
      </c>
      <c r="U7" t="s">
        <v>204</v>
      </c>
      <c r="V7" t="s">
        <v>206</v>
      </c>
      <c r="W7" t="s">
        <v>208</v>
      </c>
      <c r="X7" t="s">
        <v>204</v>
      </c>
      <c r="Y7" t="s">
        <v>206</v>
      </c>
      <c r="Z7" t="s">
        <v>208</v>
      </c>
      <c r="AA7" t="s">
        <v>204</v>
      </c>
      <c r="AB7" t="s">
        <v>206</v>
      </c>
      <c r="AC7" t="s">
        <v>208</v>
      </c>
      <c r="AD7" t="s">
        <v>204</v>
      </c>
      <c r="AE7" t="s">
        <v>206</v>
      </c>
      <c r="AF7" t="s">
        <v>208</v>
      </c>
      <c r="AG7" t="s">
        <v>204</v>
      </c>
      <c r="AH7" t="s">
        <v>206</v>
      </c>
      <c r="AI7" t="s">
        <v>208</v>
      </c>
      <c r="AM7" s="28"/>
      <c r="AN7" s="21" t="s">
        <v>52</v>
      </c>
      <c r="AO7" s="28">
        <f t="shared" ref="AO7:AO19" si="1">(VLOOKUP($AN7,$T$8:$AL$1048576,18,FALSE)+VLOOKUP($AN7,$T$8:$AL$1048576,19,FALSE))/VLOOKUP($AN7,$T$8:$AL$1048576,17,FALSE)</f>
        <v>9.7181255452619339E-2</v>
      </c>
      <c r="AP7" s="28">
        <f t="shared" ref="AP7:AP19" si="2">(VLOOKUP($AN7,$T$8:$AL$1048576,3,FALSE)+VLOOKUP($AN7,$T$8:$AL$1048576,4,FALSE))/VLOOKUP($AN7,$T$8:$AL$1048576,2,FALSE)</f>
        <v>8.8699651914470407E-2</v>
      </c>
      <c r="AQ7" s="28">
        <f t="shared" ref="AQ7:AQ19" si="3">(VLOOKUP($AN7,$T$8:$AL$1048576,6,FALSE)+VLOOKUP($AN7,$T$8:$AL$1048576,7,FALSE))/VLOOKUP($AN7,$T$8:$AL$1048576,5,FALSE)</f>
        <v>0.13480689005517427</v>
      </c>
      <c r="AR7" s="28">
        <f t="shared" ref="AR7:AR19" si="4">(VLOOKUP($AN7,$T$8:$AL$1048576,9,FALSE)+VLOOKUP($AN7,$T$8:$AL$1048576,10,FALSE))/VLOOKUP($AN7,$T$8:$AL$1048576,8,FALSE)</f>
        <v>9.4973070017953326E-2</v>
      </c>
      <c r="AS7" s="28">
        <f t="shared" ref="AS7:AS19" si="5">(VLOOKUP($AN7,$T$8:$AL$1048576,12,FALSE)+VLOOKUP($AN7,$T$8:$AL$1048576,13,FALSE))/VLOOKUP($AN7,$T$8:$AL$1048576,11,FALSE)</f>
        <v>7.5722842564519707E-2</v>
      </c>
      <c r="AT7" s="28">
        <f t="shared" ref="AT7:AT19" si="6">(VLOOKUP($AN7,$T$8:$AL$1048576,15,FALSE)+VLOOKUP($AN7,$T$8:$AL$1048576,16,FALSE))/VLOOKUP($AN7,$T$8:$AL$1048576,14,FALSE)</f>
        <v>2.791515551159468E-2</v>
      </c>
      <c r="AU7" s="28">
        <f t="shared" ref="AU7:AU19" si="7">(AS7+AT7)/2</f>
        <v>5.1818999038057194E-2</v>
      </c>
      <c r="AX7" s="19" t="s">
        <v>73</v>
      </c>
      <c r="AY7" s="2">
        <v>1</v>
      </c>
      <c r="AZ7" s="2">
        <v>16</v>
      </c>
      <c r="BA7" s="2">
        <v>20</v>
      </c>
      <c r="BB7" s="2">
        <v>15</v>
      </c>
      <c r="BC7" s="2">
        <v>4</v>
      </c>
    </row>
    <row r="8" spans="1:55" x14ac:dyDescent="0.25">
      <c r="A8" s="2"/>
      <c r="B8" s="19" t="s">
        <v>52</v>
      </c>
      <c r="C8" s="2">
        <v>16088</v>
      </c>
      <c r="D8" s="2">
        <v>29724</v>
      </c>
      <c r="E8" s="2">
        <v>27850</v>
      </c>
      <c r="F8" s="2">
        <v>13523</v>
      </c>
      <c r="G8" s="2">
        <v>9099</v>
      </c>
      <c r="H8" s="2">
        <v>96284</v>
      </c>
      <c r="I8" s="2"/>
      <c r="J8" s="21" t="s">
        <v>55</v>
      </c>
      <c r="K8" s="25">
        <f>(VLOOKUP($J$8,$B$7:$H$1048576,7, FALSE))</f>
        <v>101949</v>
      </c>
      <c r="L8" s="25">
        <f>(VLOOKUP($J$8,$B$7:$H$1048576,2, FALSE))</f>
        <v>16644</v>
      </c>
      <c r="M8" s="25">
        <f>(VLOOKUP($J$8,$B$7:$H$1048576,3, FALSE))</f>
        <v>31136</v>
      </c>
      <c r="N8" s="25">
        <f>(VLOOKUP($J$8,$B$7:$H$1048576,4, FALSE))</f>
        <v>30210</v>
      </c>
      <c r="O8" s="25">
        <f>(VLOOKUP($J$8,$B$7:$H$1048576,5, FALSE))</f>
        <v>14293</v>
      </c>
      <c r="P8" s="25">
        <f>(VLOOKUP($J$8,$B$7:$H$1048576,6, FALSE))</f>
        <v>9666</v>
      </c>
      <c r="Q8" s="26">
        <f t="shared" si="0"/>
        <v>23959</v>
      </c>
      <c r="R8" s="2"/>
      <c r="S8" s="28"/>
      <c r="T8" s="19" t="s">
        <v>51</v>
      </c>
      <c r="U8" s="2">
        <v>15992</v>
      </c>
      <c r="V8" s="2">
        <v>1537</v>
      </c>
      <c r="W8" s="2">
        <v>141</v>
      </c>
      <c r="X8" s="2">
        <v>29958</v>
      </c>
      <c r="Y8" s="2">
        <v>3417</v>
      </c>
      <c r="Z8" s="2">
        <v>947</v>
      </c>
      <c r="AA8" s="2">
        <v>28771</v>
      </c>
      <c r="AB8" s="2">
        <v>2648</v>
      </c>
      <c r="AC8" s="2">
        <v>696</v>
      </c>
      <c r="AD8" s="2">
        <v>13531</v>
      </c>
      <c r="AE8" s="2">
        <v>922</v>
      </c>
      <c r="AF8" s="2">
        <v>139</v>
      </c>
      <c r="AG8" s="2">
        <v>9220</v>
      </c>
      <c r="AH8" s="2">
        <v>212</v>
      </c>
      <c r="AI8" s="2">
        <v>16</v>
      </c>
      <c r="AJ8" s="2">
        <v>97472</v>
      </c>
      <c r="AK8" s="2">
        <v>8736</v>
      </c>
      <c r="AL8" s="2">
        <v>1939</v>
      </c>
      <c r="AM8" s="28"/>
      <c r="AN8" s="21" t="s">
        <v>53</v>
      </c>
      <c r="AO8" s="28">
        <f t="shared" si="1"/>
        <v>9.7657708570909565E-2</v>
      </c>
      <c r="AP8" s="28">
        <f t="shared" si="2"/>
        <v>3.4575938094945649E-2</v>
      </c>
      <c r="AQ8" s="28">
        <f t="shared" si="3"/>
        <v>0.1513904887279908</v>
      </c>
      <c r="AR8" s="28">
        <f t="shared" si="4"/>
        <v>0.10498571622908448</v>
      </c>
      <c r="AS8" s="28">
        <f t="shared" si="5"/>
        <v>8.4649864060548169E-2</v>
      </c>
      <c r="AT8" s="28">
        <f t="shared" si="6"/>
        <v>2.9224229543039319E-2</v>
      </c>
      <c r="AU8" s="28">
        <f t="shared" si="7"/>
        <v>5.6937046801793748E-2</v>
      </c>
      <c r="AX8" s="19" t="s">
        <v>74</v>
      </c>
      <c r="AY8" s="2">
        <v>8</v>
      </c>
      <c r="AZ8" s="2">
        <v>0</v>
      </c>
      <c r="BA8" s="2">
        <v>0</v>
      </c>
      <c r="BB8" s="2">
        <v>0</v>
      </c>
      <c r="BC8" s="2">
        <v>0</v>
      </c>
    </row>
    <row r="9" spans="1:55" x14ac:dyDescent="0.25">
      <c r="A9" s="2"/>
      <c r="B9" s="19" t="s">
        <v>53</v>
      </c>
      <c r="C9" s="2">
        <v>16283</v>
      </c>
      <c r="D9" s="2">
        <v>30385</v>
      </c>
      <c r="E9" s="2">
        <v>29404</v>
      </c>
      <c r="F9" s="2">
        <v>13609</v>
      </c>
      <c r="G9" s="2">
        <v>9410</v>
      </c>
      <c r="H9" s="2">
        <v>99091</v>
      </c>
      <c r="I9" s="2"/>
      <c r="J9" s="20" t="s">
        <v>56</v>
      </c>
      <c r="K9" s="25" t="e">
        <f>(VLOOKUP($J$9,$B$7:$H$1048576,7, FALSE))</f>
        <v>#N/A</v>
      </c>
      <c r="L9" s="25" t="e">
        <f>(VLOOKUP($J$9,$B$7:$H$1048576,2, FALSE))</f>
        <v>#N/A</v>
      </c>
      <c r="M9" s="25" t="e">
        <f>(VLOOKUP($J$9,$B$7:$H$1048576,3, FALSE))</f>
        <v>#N/A</v>
      </c>
      <c r="N9" s="25" t="e">
        <f>(VLOOKUP($J$9,$B$7:$H$1048576,4, FALSE))</f>
        <v>#N/A</v>
      </c>
      <c r="O9" s="25" t="e">
        <f>(VLOOKUP($J$9,$B$7:$H$1048576,5, FALSE))</f>
        <v>#N/A</v>
      </c>
      <c r="P9" s="25" t="e">
        <f>(VLOOKUP($J$9,$B$7:$H$1048576,6, FALSE))</f>
        <v>#N/A</v>
      </c>
      <c r="Q9" s="26" t="e">
        <f t="shared" si="0"/>
        <v>#N/A</v>
      </c>
      <c r="R9" s="2"/>
      <c r="S9" s="28"/>
      <c r="T9" s="19" t="s">
        <v>52</v>
      </c>
      <c r="U9" s="2">
        <v>16088</v>
      </c>
      <c r="V9" s="2">
        <v>1318</v>
      </c>
      <c r="W9" s="2">
        <v>109</v>
      </c>
      <c r="X9" s="2">
        <v>29724</v>
      </c>
      <c r="Y9" s="2">
        <v>3210</v>
      </c>
      <c r="Z9" s="2">
        <v>797</v>
      </c>
      <c r="AA9" s="2">
        <v>27850</v>
      </c>
      <c r="AB9" s="2">
        <v>2208</v>
      </c>
      <c r="AC9" s="2">
        <v>437</v>
      </c>
      <c r="AD9" s="2">
        <v>13523</v>
      </c>
      <c r="AE9" s="2">
        <v>896</v>
      </c>
      <c r="AF9" s="2">
        <v>128</v>
      </c>
      <c r="AG9" s="2">
        <v>9099</v>
      </c>
      <c r="AH9" s="2">
        <v>234</v>
      </c>
      <c r="AI9" s="2">
        <v>20</v>
      </c>
      <c r="AJ9" s="2">
        <v>96284</v>
      </c>
      <c r="AK9" s="2">
        <v>7866</v>
      </c>
      <c r="AL9" s="2">
        <v>1491</v>
      </c>
      <c r="AM9" s="28"/>
      <c r="AN9" s="21" t="s">
        <v>54</v>
      </c>
      <c r="AO9" s="28">
        <f t="shared" si="1"/>
        <v>9.7997095485901006E-2</v>
      </c>
      <c r="AP9" s="28">
        <f t="shared" si="2"/>
        <v>2.1157086687886163E-2</v>
      </c>
      <c r="AQ9" s="28">
        <f t="shared" si="3"/>
        <v>0.14858157194043589</v>
      </c>
      <c r="AR9" s="28">
        <f t="shared" si="4"/>
        <v>0.12130564594585527</v>
      </c>
      <c r="AS9" s="28">
        <f t="shared" si="5"/>
        <v>7.6628069916660518E-2</v>
      </c>
      <c r="AT9" s="28">
        <f t="shared" si="6"/>
        <v>2.1725171232876712E-2</v>
      </c>
      <c r="AU9" s="28">
        <f t="shared" si="7"/>
        <v>4.9176620574768612E-2</v>
      </c>
      <c r="AX9" s="19" t="s">
        <v>75</v>
      </c>
      <c r="AY9" s="2">
        <v>0</v>
      </c>
      <c r="AZ9" s="2">
        <v>0</v>
      </c>
      <c r="BA9" s="2">
        <v>0</v>
      </c>
      <c r="BB9" s="2">
        <v>0</v>
      </c>
      <c r="BC9" s="2">
        <v>0</v>
      </c>
    </row>
    <row r="10" spans="1:55" x14ac:dyDescent="0.25">
      <c r="A10" s="2"/>
      <c r="B10" s="19" t="s">
        <v>54</v>
      </c>
      <c r="C10" s="2">
        <v>16023</v>
      </c>
      <c r="D10" s="2">
        <v>30421</v>
      </c>
      <c r="E10" s="2">
        <v>29809</v>
      </c>
      <c r="F10" s="2">
        <v>13559</v>
      </c>
      <c r="G10" s="2">
        <v>9344</v>
      </c>
      <c r="H10" s="2">
        <v>99156</v>
      </c>
      <c r="I10" s="2"/>
      <c r="J10" s="20" t="s">
        <v>57</v>
      </c>
      <c r="K10" s="25" t="e">
        <f>(VLOOKUP($J$10,$B$7:$H$1048576,7, FALSE))</f>
        <v>#N/A</v>
      </c>
      <c r="L10" s="25" t="e">
        <f>(VLOOKUP($J$10,$B$7:$H$1048576,2, FALSE))</f>
        <v>#N/A</v>
      </c>
      <c r="M10" s="25" t="e">
        <f>(VLOOKUP($J$10,$B$7:$H$1048576,3, FALSE))</f>
        <v>#N/A</v>
      </c>
      <c r="N10" s="25" t="e">
        <f>(VLOOKUP($J$10,$B$7:$H$1048576,4, FALSE))</f>
        <v>#N/A</v>
      </c>
      <c r="O10" s="25" t="e">
        <f>(VLOOKUP($J$10,$B$7:$H$1048576,5, FALSE))</f>
        <v>#N/A</v>
      </c>
      <c r="P10" s="25" t="e">
        <f>(VLOOKUP($J$10,$B$7:$H$1048576,6, FALSE))</f>
        <v>#N/A</v>
      </c>
      <c r="Q10" s="26" t="e">
        <f t="shared" si="0"/>
        <v>#N/A</v>
      </c>
      <c r="R10" s="2"/>
      <c r="S10" s="28"/>
      <c r="T10" s="19" t="s">
        <v>53</v>
      </c>
      <c r="U10" s="2">
        <v>16283</v>
      </c>
      <c r="V10" s="2">
        <v>511</v>
      </c>
      <c r="W10" s="2">
        <v>52</v>
      </c>
      <c r="X10" s="2">
        <v>30385</v>
      </c>
      <c r="Y10" s="2">
        <v>3624</v>
      </c>
      <c r="Z10" s="2">
        <v>976</v>
      </c>
      <c r="AA10" s="2">
        <v>29404</v>
      </c>
      <c r="AB10" s="2">
        <v>2548</v>
      </c>
      <c r="AC10" s="2">
        <v>539</v>
      </c>
      <c r="AD10" s="2">
        <v>13609</v>
      </c>
      <c r="AE10" s="2">
        <v>995</v>
      </c>
      <c r="AF10" s="2">
        <v>157</v>
      </c>
      <c r="AG10" s="2">
        <v>9410</v>
      </c>
      <c r="AH10" s="2">
        <v>255</v>
      </c>
      <c r="AI10" s="2">
        <v>20</v>
      </c>
      <c r="AJ10" s="2">
        <v>99091</v>
      </c>
      <c r="AK10" s="2">
        <v>7933</v>
      </c>
      <c r="AL10" s="2">
        <v>1744</v>
      </c>
      <c r="AM10" s="28"/>
      <c r="AN10" s="21" t="s">
        <v>55</v>
      </c>
      <c r="AO10" s="28">
        <f t="shared" si="1"/>
        <v>0.12050142718418033</v>
      </c>
      <c r="AP10" s="28">
        <f t="shared" si="2"/>
        <v>3.2624369142033163E-2</v>
      </c>
      <c r="AQ10" s="28">
        <f t="shared" si="3"/>
        <v>0.19234969167523125</v>
      </c>
      <c r="AR10" s="28">
        <f t="shared" si="4"/>
        <v>0.1305196954650778</v>
      </c>
      <c r="AS10" s="28">
        <f t="shared" si="5"/>
        <v>0.10557615616035822</v>
      </c>
      <c r="AT10" s="28">
        <f t="shared" si="6"/>
        <v>3.1140078626112146E-2</v>
      </c>
      <c r="AU10" s="28">
        <f t="shared" si="7"/>
        <v>6.8358117393235177E-2</v>
      </c>
      <c r="AX10" s="19" t="s">
        <v>76</v>
      </c>
      <c r="AY10" s="2">
        <v>26</v>
      </c>
      <c r="AZ10" s="2">
        <v>12</v>
      </c>
      <c r="BA10" s="2">
        <v>32</v>
      </c>
      <c r="BB10" s="2">
        <v>40</v>
      </c>
      <c r="BC10" s="2">
        <v>17</v>
      </c>
    </row>
    <row r="11" spans="1:55" x14ac:dyDescent="0.25">
      <c r="A11" s="2"/>
      <c r="B11" s="19" t="s">
        <v>55</v>
      </c>
      <c r="C11" s="2">
        <v>16644</v>
      </c>
      <c r="D11" s="2">
        <v>31136</v>
      </c>
      <c r="E11" s="2">
        <v>30210</v>
      </c>
      <c r="F11" s="2">
        <v>14293</v>
      </c>
      <c r="G11" s="2">
        <v>9666</v>
      </c>
      <c r="H11" s="2">
        <v>101949</v>
      </c>
      <c r="I11" s="2"/>
      <c r="J11" s="20" t="s">
        <v>58</v>
      </c>
      <c r="K11" s="25" t="e">
        <f>(VLOOKUP($J$11,$B$7:$H$1048576,7, FALSE))</f>
        <v>#N/A</v>
      </c>
      <c r="L11" s="25" t="e">
        <f>(VLOOKUP($J$11,$B$7:$H$1048576,2, FALSE))</f>
        <v>#N/A</v>
      </c>
      <c r="M11" s="25" t="e">
        <f>(VLOOKUP($J$11,$B$7:$H$1048576,3, FALSE))</f>
        <v>#N/A</v>
      </c>
      <c r="N11" s="25" t="e">
        <f>(VLOOKUP($J$11,$B$7:$H$1048576,4, FALSE))</f>
        <v>#N/A</v>
      </c>
      <c r="O11" s="25" t="e">
        <f>(VLOOKUP($J$11,$B$7:$H$1048576,5, FALSE))</f>
        <v>#N/A</v>
      </c>
      <c r="P11" s="25" t="e">
        <f>(VLOOKUP($J$11,$B$7:$H$1048576,6, FALSE))</f>
        <v>#N/A</v>
      </c>
      <c r="Q11" s="26" t="e">
        <f t="shared" si="0"/>
        <v>#N/A</v>
      </c>
      <c r="R11" s="2"/>
      <c r="S11" s="28"/>
      <c r="T11" s="19" t="s">
        <v>54</v>
      </c>
      <c r="U11" s="2">
        <v>16023</v>
      </c>
      <c r="V11" s="2">
        <v>301</v>
      </c>
      <c r="W11" s="2">
        <v>38</v>
      </c>
      <c r="X11" s="2">
        <v>30421</v>
      </c>
      <c r="Y11" s="2">
        <v>3679</v>
      </c>
      <c r="Z11" s="2">
        <v>841</v>
      </c>
      <c r="AA11" s="2">
        <v>29809</v>
      </c>
      <c r="AB11" s="2">
        <v>2855</v>
      </c>
      <c r="AC11" s="2">
        <v>761</v>
      </c>
      <c r="AD11" s="2">
        <v>13559</v>
      </c>
      <c r="AE11" s="2">
        <v>863</v>
      </c>
      <c r="AF11" s="2">
        <v>176</v>
      </c>
      <c r="AG11" s="2">
        <v>9344</v>
      </c>
      <c r="AH11" s="2">
        <v>189</v>
      </c>
      <c r="AI11" s="2">
        <v>14</v>
      </c>
      <c r="AJ11" s="2">
        <v>99156</v>
      </c>
      <c r="AK11" s="2">
        <v>7887</v>
      </c>
      <c r="AL11" s="2">
        <v>1830</v>
      </c>
      <c r="AM11" s="28"/>
      <c r="AN11" s="20" t="s">
        <v>56</v>
      </c>
      <c r="AO11" s="28" t="e">
        <f t="shared" si="1"/>
        <v>#N/A</v>
      </c>
      <c r="AP11" s="28" t="e">
        <f t="shared" si="2"/>
        <v>#N/A</v>
      </c>
      <c r="AQ11" s="28" t="e">
        <f t="shared" si="3"/>
        <v>#N/A</v>
      </c>
      <c r="AR11" s="28" t="e">
        <f t="shared" si="4"/>
        <v>#N/A</v>
      </c>
      <c r="AS11" s="28" t="e">
        <f t="shared" si="5"/>
        <v>#N/A</v>
      </c>
      <c r="AT11" s="28" t="e">
        <f t="shared" si="6"/>
        <v>#N/A</v>
      </c>
      <c r="AU11" s="28" t="e">
        <f t="shared" si="7"/>
        <v>#N/A</v>
      </c>
      <c r="AX11" s="19" t="s">
        <v>77</v>
      </c>
      <c r="AY11" s="2">
        <v>11</v>
      </c>
      <c r="AZ11" s="2">
        <v>0</v>
      </c>
      <c r="BA11" s="2">
        <v>0</v>
      </c>
      <c r="BB11" s="2">
        <v>0</v>
      </c>
      <c r="BC11" s="2">
        <v>0</v>
      </c>
    </row>
    <row r="12" spans="1:55" x14ac:dyDescent="0.25">
      <c r="A12" s="2"/>
      <c r="H12" s="2"/>
      <c r="I12" s="2"/>
      <c r="J12" s="20" t="s">
        <v>59</v>
      </c>
      <c r="K12" s="25" t="e">
        <f>(VLOOKUP($J$12,$B$7:$H$1048576,7, FALSE))</f>
        <v>#N/A</v>
      </c>
      <c r="L12" s="25" t="e">
        <f>(VLOOKUP($J$12,$B$7:$H$1048576,2, FALSE))</f>
        <v>#N/A</v>
      </c>
      <c r="M12" s="25" t="e">
        <f>(VLOOKUP($J$12,$B$7:$H$1048576,3, FALSE))</f>
        <v>#N/A</v>
      </c>
      <c r="N12" s="25" t="e">
        <f>(VLOOKUP($J$12,$B$7:$H$1048576,4, FALSE))</f>
        <v>#N/A</v>
      </c>
      <c r="O12" s="25" t="e">
        <f>(VLOOKUP($J$12,$B$7:$H$1048576,5, FALSE))</f>
        <v>#N/A</v>
      </c>
      <c r="P12" s="25" t="e">
        <f>(VLOOKUP($J$12,$B$7:$H$1048576,6, FALSE))</f>
        <v>#N/A</v>
      </c>
      <c r="Q12" s="26" t="e">
        <f t="shared" si="0"/>
        <v>#N/A</v>
      </c>
      <c r="R12" s="2"/>
      <c r="S12" s="28"/>
      <c r="T12" s="19" t="s">
        <v>55</v>
      </c>
      <c r="U12" s="2">
        <v>16644</v>
      </c>
      <c r="V12" s="2">
        <v>443</v>
      </c>
      <c r="W12" s="2">
        <v>100</v>
      </c>
      <c r="X12" s="2">
        <v>31136</v>
      </c>
      <c r="Y12" s="2">
        <v>4239</v>
      </c>
      <c r="Z12" s="2">
        <v>1750</v>
      </c>
      <c r="AA12" s="2">
        <v>30210</v>
      </c>
      <c r="AB12" s="2">
        <v>3064</v>
      </c>
      <c r="AC12" s="2">
        <v>879</v>
      </c>
      <c r="AD12" s="2">
        <v>14293</v>
      </c>
      <c r="AE12" s="2">
        <v>1283</v>
      </c>
      <c r="AF12" s="2">
        <v>226</v>
      </c>
      <c r="AG12" s="2">
        <v>9666</v>
      </c>
      <c r="AH12" s="2">
        <v>270</v>
      </c>
      <c r="AI12" s="2">
        <v>31</v>
      </c>
      <c r="AJ12" s="2">
        <v>101949</v>
      </c>
      <c r="AK12" s="2">
        <v>9299</v>
      </c>
      <c r="AL12" s="2">
        <v>2986</v>
      </c>
      <c r="AM12" s="28"/>
      <c r="AN12" s="20" t="s">
        <v>57</v>
      </c>
      <c r="AO12" s="28" t="e">
        <f t="shared" si="1"/>
        <v>#N/A</v>
      </c>
      <c r="AP12" s="28" t="e">
        <f t="shared" si="2"/>
        <v>#N/A</v>
      </c>
      <c r="AQ12" s="28" t="e">
        <f t="shared" si="3"/>
        <v>#N/A</v>
      </c>
      <c r="AR12" s="28" t="e">
        <f t="shared" si="4"/>
        <v>#N/A</v>
      </c>
      <c r="AS12" s="28" t="e">
        <f t="shared" si="5"/>
        <v>#N/A</v>
      </c>
      <c r="AT12" s="28" t="e">
        <f t="shared" si="6"/>
        <v>#N/A</v>
      </c>
      <c r="AU12" s="28" t="e">
        <f t="shared" si="7"/>
        <v>#N/A</v>
      </c>
      <c r="AX12" s="19" t="s">
        <v>78</v>
      </c>
      <c r="AY12" s="2">
        <v>0</v>
      </c>
      <c r="AZ12" s="2">
        <v>0</v>
      </c>
      <c r="BA12" s="2">
        <v>5</v>
      </c>
      <c r="BB12" s="2">
        <v>1</v>
      </c>
      <c r="BC12" s="2">
        <v>1</v>
      </c>
    </row>
    <row r="13" spans="1:55" x14ac:dyDescent="0.25">
      <c r="A13" s="2"/>
      <c r="H13" s="2"/>
      <c r="I13" s="2"/>
      <c r="J13" s="20" t="s">
        <v>60</v>
      </c>
      <c r="K13" s="25" t="e">
        <f>(VLOOKUP($J$13,$B$7:$H$1048576,7, FALSE))</f>
        <v>#N/A</v>
      </c>
      <c r="L13" s="25" t="e">
        <f>(VLOOKUP($J$13,$B$7:$H$1048576,2, FALSE))</f>
        <v>#N/A</v>
      </c>
      <c r="M13" s="25" t="e">
        <f>(VLOOKUP($J$13,$B$7:$H$1048576,3, FALSE))</f>
        <v>#N/A</v>
      </c>
      <c r="N13" s="25" t="e">
        <f>(VLOOKUP($J$13,$B$7:$H$1048576,4, FALSE))</f>
        <v>#N/A</v>
      </c>
      <c r="O13" s="25" t="e">
        <f>(VLOOKUP($J$13,$B$7:$H$1048576,5, FALSE))</f>
        <v>#N/A</v>
      </c>
      <c r="P13" s="25" t="e">
        <f>(VLOOKUP($J$13,$B$7:$H$1048576,6, FALSE))</f>
        <v>#N/A</v>
      </c>
      <c r="Q13" s="26" t="e">
        <f t="shared" si="0"/>
        <v>#N/A</v>
      </c>
      <c r="R13" s="2"/>
      <c r="S13" s="28"/>
      <c r="AJ13" s="28"/>
      <c r="AK13" s="28"/>
      <c r="AL13" s="28"/>
      <c r="AM13" s="28"/>
      <c r="AN13" s="20" t="s">
        <v>58</v>
      </c>
      <c r="AO13" s="28" t="e">
        <f t="shared" si="1"/>
        <v>#N/A</v>
      </c>
      <c r="AP13" s="28" t="e">
        <f t="shared" si="2"/>
        <v>#N/A</v>
      </c>
      <c r="AQ13" s="28" t="e">
        <f t="shared" si="3"/>
        <v>#N/A</v>
      </c>
      <c r="AR13" s="28" t="e">
        <f t="shared" si="4"/>
        <v>#N/A</v>
      </c>
      <c r="AS13" s="28" t="e">
        <f t="shared" si="5"/>
        <v>#N/A</v>
      </c>
      <c r="AT13" s="28" t="e">
        <f t="shared" si="6"/>
        <v>#N/A</v>
      </c>
      <c r="AU13" s="28" t="e">
        <f t="shared" si="7"/>
        <v>#N/A</v>
      </c>
      <c r="AX13" s="19" t="s">
        <v>79</v>
      </c>
      <c r="AY13" s="2">
        <v>18</v>
      </c>
      <c r="AZ13" s="2">
        <v>13</v>
      </c>
      <c r="BA13" s="2">
        <v>4</v>
      </c>
      <c r="BB13" s="2">
        <v>17</v>
      </c>
      <c r="BC13" s="2">
        <v>32</v>
      </c>
    </row>
    <row r="14" spans="1:55" x14ac:dyDescent="0.25">
      <c r="A14" s="2"/>
      <c r="H14" s="2"/>
      <c r="I14" s="2"/>
      <c r="J14" s="20" t="s">
        <v>61</v>
      </c>
      <c r="K14" s="25" t="e">
        <f>(VLOOKUP($J$14,$B$7:$H$1048576,7, FALSE))</f>
        <v>#N/A</v>
      </c>
      <c r="L14" s="25" t="e">
        <f>(VLOOKUP($J$14,$B$7:$H$1048576,2, FALSE))</f>
        <v>#N/A</v>
      </c>
      <c r="M14" s="25" t="e">
        <f>(VLOOKUP($J$14,$B$7:$H$1048576,3, FALSE))</f>
        <v>#N/A</v>
      </c>
      <c r="N14" s="25" t="e">
        <f>(VLOOKUP($J$14,$B$7:$H$1048576,4, FALSE))</f>
        <v>#N/A</v>
      </c>
      <c r="O14" s="25" t="e">
        <f>(VLOOKUP($J$14,$B$7:$H$1048576,5, FALSE))</f>
        <v>#N/A</v>
      </c>
      <c r="P14" s="25" t="e">
        <f>(VLOOKUP($J$14,$B$7:$H$1048576,6, FALSE))</f>
        <v>#N/A</v>
      </c>
      <c r="Q14" s="26" t="e">
        <f t="shared" si="0"/>
        <v>#N/A</v>
      </c>
      <c r="R14" s="2"/>
      <c r="S14" s="28"/>
      <c r="AJ14" s="28"/>
      <c r="AK14" s="28"/>
      <c r="AL14" s="28"/>
      <c r="AM14" s="28"/>
      <c r="AN14" s="20" t="s">
        <v>59</v>
      </c>
      <c r="AO14" s="28" t="e">
        <f t="shared" si="1"/>
        <v>#N/A</v>
      </c>
      <c r="AP14" s="28" t="e">
        <f t="shared" si="2"/>
        <v>#N/A</v>
      </c>
      <c r="AQ14" s="28" t="e">
        <f t="shared" si="3"/>
        <v>#N/A</v>
      </c>
      <c r="AR14" s="28" t="e">
        <f t="shared" si="4"/>
        <v>#N/A</v>
      </c>
      <c r="AS14" s="28" t="e">
        <f t="shared" si="5"/>
        <v>#N/A</v>
      </c>
      <c r="AT14" s="28" t="e">
        <f t="shared" si="6"/>
        <v>#N/A</v>
      </c>
      <c r="AU14" s="28" t="e">
        <f t="shared" si="7"/>
        <v>#N/A</v>
      </c>
      <c r="AX14" s="19" t="s">
        <v>80</v>
      </c>
      <c r="AY14" s="2">
        <v>12</v>
      </c>
      <c r="AZ14" s="2">
        <v>1</v>
      </c>
      <c r="BA14" s="2">
        <v>9</v>
      </c>
      <c r="BB14" s="2">
        <v>5</v>
      </c>
      <c r="BC14" s="2">
        <v>15</v>
      </c>
    </row>
    <row r="15" spans="1:55" x14ac:dyDescent="0.25">
      <c r="A15" s="2"/>
      <c r="H15" s="2"/>
      <c r="I15" s="2"/>
      <c r="J15" s="20" t="s">
        <v>62</v>
      </c>
      <c r="K15" s="25" t="e">
        <f>(VLOOKUP($J$15,$B$7:$H$1048576,7, FALSE))</f>
        <v>#N/A</v>
      </c>
      <c r="L15" s="25" t="e">
        <f>(VLOOKUP($J$15,$B$7:$H$1048576,2, FALSE))</f>
        <v>#N/A</v>
      </c>
      <c r="M15" s="25" t="e">
        <f>(VLOOKUP($J$15,$B$7:$H$1048576,3, FALSE))</f>
        <v>#N/A</v>
      </c>
      <c r="N15" s="25" t="e">
        <f>(VLOOKUP($J$15,$B$7:$H$1048576,4, FALSE))</f>
        <v>#N/A</v>
      </c>
      <c r="O15" s="25" t="e">
        <f>(VLOOKUP($J$15,$B$7:$H$1048576,5, FALSE))</f>
        <v>#N/A</v>
      </c>
      <c r="P15" s="25" t="e">
        <f>(VLOOKUP($J$15,$B$7:$H$1048576,6, FALSE))</f>
        <v>#N/A</v>
      </c>
      <c r="Q15" s="26" t="e">
        <f t="shared" si="0"/>
        <v>#N/A</v>
      </c>
      <c r="R15" s="2"/>
      <c r="S15" s="28"/>
      <c r="AJ15" s="28"/>
      <c r="AK15" s="28"/>
      <c r="AL15" s="28"/>
      <c r="AM15" s="28"/>
      <c r="AN15" s="20" t="s">
        <v>60</v>
      </c>
      <c r="AO15" s="28" t="e">
        <f t="shared" si="1"/>
        <v>#N/A</v>
      </c>
      <c r="AP15" s="28" t="e">
        <f t="shared" si="2"/>
        <v>#N/A</v>
      </c>
      <c r="AQ15" s="28" t="e">
        <f t="shared" si="3"/>
        <v>#N/A</v>
      </c>
      <c r="AR15" s="28" t="e">
        <f t="shared" si="4"/>
        <v>#N/A</v>
      </c>
      <c r="AS15" s="28" t="e">
        <f t="shared" si="5"/>
        <v>#N/A</v>
      </c>
      <c r="AT15" s="28" t="e">
        <f t="shared" si="6"/>
        <v>#N/A</v>
      </c>
      <c r="AU15" s="28" t="e">
        <f t="shared" si="7"/>
        <v>#N/A</v>
      </c>
      <c r="AX15" s="19" t="s">
        <v>81</v>
      </c>
      <c r="AY15" s="2">
        <v>0</v>
      </c>
      <c r="AZ15" s="2">
        <v>0</v>
      </c>
      <c r="BA15" s="2">
        <v>1</v>
      </c>
      <c r="BB15" s="2">
        <v>7</v>
      </c>
      <c r="BC15" s="2">
        <v>14</v>
      </c>
    </row>
    <row r="16" spans="1:55" x14ac:dyDescent="0.25">
      <c r="A16" s="2"/>
      <c r="H16" s="2"/>
      <c r="I16" s="2"/>
      <c r="J16" s="20" t="s">
        <v>63</v>
      </c>
      <c r="K16" s="25" t="e">
        <f>(VLOOKUP($J$16,$B$7:$H$1048576,7, FALSE))</f>
        <v>#N/A</v>
      </c>
      <c r="L16" s="25" t="e">
        <f>(VLOOKUP($J$16,$B$7:$H$1048576,2, FALSE))</f>
        <v>#N/A</v>
      </c>
      <c r="M16" s="25" t="e">
        <f>(VLOOKUP($J$16,$B$7:$H$1048576,3, FALSE))</f>
        <v>#N/A</v>
      </c>
      <c r="N16" s="25" t="e">
        <f>(VLOOKUP($J$16,$B$7:$H$1048576,4, FALSE))</f>
        <v>#N/A</v>
      </c>
      <c r="O16" s="25" t="e">
        <f>(VLOOKUP($J$16,$B$7:$H$1048576,5, FALSE))</f>
        <v>#N/A</v>
      </c>
      <c r="P16" s="25" t="e">
        <f>(VLOOKUP($J$16,$B$7:$H$1048576,6, FALSE))</f>
        <v>#N/A</v>
      </c>
      <c r="Q16" s="26" t="e">
        <f t="shared" si="0"/>
        <v>#N/A</v>
      </c>
      <c r="R16" s="2"/>
      <c r="S16" s="28"/>
      <c r="AJ16" s="28"/>
      <c r="AK16" s="28"/>
      <c r="AL16" s="28"/>
      <c r="AM16" s="28"/>
      <c r="AN16" s="20" t="s">
        <v>61</v>
      </c>
      <c r="AO16" s="28" t="e">
        <f t="shared" si="1"/>
        <v>#N/A</v>
      </c>
      <c r="AP16" s="28" t="e">
        <f t="shared" si="2"/>
        <v>#N/A</v>
      </c>
      <c r="AQ16" s="28" t="e">
        <f t="shared" si="3"/>
        <v>#N/A</v>
      </c>
      <c r="AR16" s="28" t="e">
        <f t="shared" si="4"/>
        <v>#N/A</v>
      </c>
      <c r="AS16" s="28" t="e">
        <f t="shared" si="5"/>
        <v>#N/A</v>
      </c>
      <c r="AT16" s="28" t="e">
        <f t="shared" si="6"/>
        <v>#N/A</v>
      </c>
      <c r="AU16" s="28" t="e">
        <f t="shared" si="7"/>
        <v>#N/A</v>
      </c>
      <c r="AX16" s="19" t="s">
        <v>82</v>
      </c>
      <c r="AY16" s="2">
        <v>0</v>
      </c>
      <c r="AZ16" s="2">
        <v>1</v>
      </c>
      <c r="BA16" s="2">
        <v>0</v>
      </c>
      <c r="BB16" s="2">
        <v>0</v>
      </c>
      <c r="BC16" s="2">
        <v>0</v>
      </c>
    </row>
    <row r="17" spans="1:55" x14ac:dyDescent="0.25">
      <c r="A17" s="2"/>
      <c r="H17" s="2"/>
      <c r="I17" s="2"/>
      <c r="J17" s="20" t="s">
        <v>64</v>
      </c>
      <c r="K17" s="25" t="e">
        <f>(VLOOKUP($J$17,$B$7:$H$1048576,7, FALSE))</f>
        <v>#N/A</v>
      </c>
      <c r="L17" s="25" t="e">
        <f>(VLOOKUP($J$17,$B$7:$H$1048576,2, FALSE))</f>
        <v>#N/A</v>
      </c>
      <c r="M17" s="25" t="e">
        <f>(VLOOKUP($J$17,$B$7:$H$1048576,3, FALSE))</f>
        <v>#N/A</v>
      </c>
      <c r="N17" s="25" t="e">
        <f>(VLOOKUP($J$17,$B$7:$H$1048576,4, FALSE))</f>
        <v>#N/A</v>
      </c>
      <c r="O17" s="25" t="e">
        <f>(VLOOKUP($J$17,$B$7:$H$1048576,5, FALSE))</f>
        <v>#N/A</v>
      </c>
      <c r="P17" s="25" t="e">
        <f>(VLOOKUP($J$17,$B$7:$H$1048576,6, FALSE))</f>
        <v>#N/A</v>
      </c>
      <c r="Q17" s="26" t="e">
        <f>O17+P17</f>
        <v>#N/A</v>
      </c>
      <c r="R17" s="2"/>
      <c r="S17" s="28"/>
      <c r="AJ17" s="28"/>
      <c r="AK17" s="28"/>
      <c r="AL17" s="28"/>
      <c r="AM17" s="28"/>
      <c r="AN17" s="20" t="s">
        <v>62</v>
      </c>
      <c r="AO17" s="28" t="e">
        <f t="shared" si="1"/>
        <v>#N/A</v>
      </c>
      <c r="AP17" s="28" t="e">
        <f t="shared" si="2"/>
        <v>#N/A</v>
      </c>
      <c r="AQ17" s="28" t="e">
        <f t="shared" si="3"/>
        <v>#N/A</v>
      </c>
      <c r="AR17" s="28" t="e">
        <f t="shared" si="4"/>
        <v>#N/A</v>
      </c>
      <c r="AS17" s="28" t="e">
        <f t="shared" si="5"/>
        <v>#N/A</v>
      </c>
      <c r="AT17" s="28" t="e">
        <f t="shared" si="6"/>
        <v>#N/A</v>
      </c>
      <c r="AU17" s="28" t="e">
        <f t="shared" si="7"/>
        <v>#N/A</v>
      </c>
      <c r="AX17" s="19" t="s">
        <v>83</v>
      </c>
      <c r="AY17" s="2">
        <v>0</v>
      </c>
      <c r="AZ17" s="2">
        <v>1</v>
      </c>
      <c r="BA17" s="2">
        <v>0</v>
      </c>
      <c r="BB17" s="2">
        <v>17</v>
      </c>
      <c r="BC17" s="2">
        <v>5</v>
      </c>
    </row>
    <row r="18" spans="1:55" x14ac:dyDescent="0.25">
      <c r="A18" s="2"/>
      <c r="H18" s="2"/>
      <c r="I18" s="2"/>
      <c r="J18" s="2"/>
      <c r="K18" s="2"/>
      <c r="L18" s="2"/>
      <c r="M18" s="2"/>
      <c r="N18" s="2"/>
      <c r="O18" s="2"/>
      <c r="P18" s="2"/>
      <c r="Q18" s="2"/>
      <c r="R18" s="2"/>
      <c r="AN18" s="20" t="s">
        <v>63</v>
      </c>
      <c r="AO18" s="28" t="e">
        <f t="shared" si="1"/>
        <v>#N/A</v>
      </c>
      <c r="AP18" s="28" t="e">
        <f t="shared" si="2"/>
        <v>#N/A</v>
      </c>
      <c r="AQ18" s="28" t="e">
        <f t="shared" si="3"/>
        <v>#N/A</v>
      </c>
      <c r="AR18" s="28" t="e">
        <f t="shared" si="4"/>
        <v>#N/A</v>
      </c>
      <c r="AS18" s="28" t="e">
        <f t="shared" si="5"/>
        <v>#N/A</v>
      </c>
      <c r="AT18" s="28" t="e">
        <f t="shared" si="6"/>
        <v>#N/A</v>
      </c>
      <c r="AU18" s="28" t="e">
        <f t="shared" si="7"/>
        <v>#N/A</v>
      </c>
      <c r="AX18" s="19" t="s">
        <v>84</v>
      </c>
      <c r="AY18" s="2">
        <v>16</v>
      </c>
      <c r="AZ18" s="2">
        <v>12</v>
      </c>
      <c r="BA18" s="2">
        <v>7</v>
      </c>
      <c r="BB18" s="2">
        <v>21</v>
      </c>
      <c r="BC18" s="2">
        <v>4</v>
      </c>
    </row>
    <row r="19" spans="1:55" x14ac:dyDescent="0.25">
      <c r="A19" s="2"/>
      <c r="H19" s="2"/>
      <c r="I19" s="2"/>
      <c r="J19" s="2"/>
      <c r="K19" s="2"/>
      <c r="L19" s="2"/>
      <c r="M19" s="2"/>
      <c r="N19" s="2"/>
      <c r="O19" s="2"/>
      <c r="P19" s="2"/>
      <c r="Q19" s="2"/>
      <c r="R19" s="2"/>
      <c r="AN19" s="20" t="s">
        <v>64</v>
      </c>
      <c r="AO19" s="28" t="e">
        <f t="shared" si="1"/>
        <v>#N/A</v>
      </c>
      <c r="AP19" s="28" t="e">
        <f t="shared" si="2"/>
        <v>#N/A</v>
      </c>
      <c r="AQ19" s="28" t="e">
        <f t="shared" si="3"/>
        <v>#N/A</v>
      </c>
      <c r="AR19" s="28" t="e">
        <f t="shared" si="4"/>
        <v>#N/A</v>
      </c>
      <c r="AS19" s="28" t="e">
        <f t="shared" si="5"/>
        <v>#N/A</v>
      </c>
      <c r="AT19" s="28" t="e">
        <f t="shared" si="6"/>
        <v>#N/A</v>
      </c>
      <c r="AU19" s="28" t="e">
        <f t="shared" si="7"/>
        <v>#N/A</v>
      </c>
      <c r="AX19" s="19" t="s">
        <v>85</v>
      </c>
      <c r="AY19" s="2">
        <v>17</v>
      </c>
      <c r="AZ19" s="2">
        <v>22</v>
      </c>
      <c r="BA19" s="2">
        <v>16</v>
      </c>
      <c r="BB19" s="2">
        <v>37</v>
      </c>
      <c r="BC19" s="2">
        <v>28</v>
      </c>
    </row>
    <row r="20" spans="1:55" x14ac:dyDescent="0.25">
      <c r="A20" s="2"/>
      <c r="H20" s="2"/>
      <c r="I20" s="2"/>
      <c r="J20" s="2"/>
      <c r="K20" s="2"/>
      <c r="L20" s="2"/>
      <c r="M20" s="2"/>
      <c r="N20" s="2"/>
      <c r="O20" s="2"/>
      <c r="P20" s="2"/>
      <c r="Q20" s="2"/>
      <c r="R20" s="2"/>
      <c r="AX20" s="19" t="s">
        <v>86</v>
      </c>
      <c r="AY20" s="2">
        <v>20</v>
      </c>
      <c r="AZ20" s="2">
        <v>25</v>
      </c>
      <c r="BA20" s="2">
        <v>13</v>
      </c>
      <c r="BB20" s="2">
        <v>25</v>
      </c>
      <c r="BC20" s="2">
        <v>32</v>
      </c>
    </row>
    <row r="21" spans="1:55" x14ac:dyDescent="0.25">
      <c r="AX21" s="19" t="s">
        <v>87</v>
      </c>
      <c r="AY21" s="2">
        <v>3</v>
      </c>
      <c r="AZ21" s="2">
        <v>0</v>
      </c>
      <c r="BA21" s="2">
        <v>0</v>
      </c>
      <c r="BB21" s="2">
        <v>3</v>
      </c>
      <c r="BC21" s="2">
        <v>5</v>
      </c>
    </row>
    <row r="22" spans="1:55" x14ac:dyDescent="0.25">
      <c r="S22" s="28"/>
      <c r="T22" s="28"/>
      <c r="U22" s="28"/>
      <c r="V22" s="28"/>
      <c r="W22" s="28"/>
      <c r="X22" s="28"/>
      <c r="Y22" s="28"/>
      <c r="Z22" s="28"/>
      <c r="AA22" s="28"/>
      <c r="AB22" s="28"/>
      <c r="AC22" s="28"/>
      <c r="AD22" s="28"/>
      <c r="AE22" s="28"/>
      <c r="AF22" s="28"/>
      <c r="AG22" s="28"/>
      <c r="AH22" s="28"/>
      <c r="AI22" s="28"/>
      <c r="AJ22" s="28"/>
      <c r="AK22" s="28"/>
      <c r="AL22" s="28"/>
      <c r="AM22" s="28"/>
      <c r="AO22" t="s">
        <v>48</v>
      </c>
      <c r="AP22" t="s">
        <v>2</v>
      </c>
      <c r="AQ22" t="s">
        <v>65</v>
      </c>
      <c r="AR22" t="s">
        <v>3</v>
      </c>
      <c r="AS22" s="46" t="s">
        <v>304</v>
      </c>
      <c r="AT22" s="56" t="s">
        <v>305</v>
      </c>
      <c r="AU22" s="56" t="s">
        <v>298</v>
      </c>
      <c r="AX22" s="19" t="s">
        <v>88</v>
      </c>
      <c r="AY22" s="2">
        <v>6</v>
      </c>
      <c r="AZ22" s="2">
        <v>2</v>
      </c>
      <c r="BA22" s="2">
        <v>2</v>
      </c>
      <c r="BB22" s="2">
        <v>4</v>
      </c>
      <c r="BC22" s="2">
        <v>1</v>
      </c>
    </row>
    <row r="23" spans="1:55" x14ac:dyDescent="0.25">
      <c r="S23" s="28"/>
      <c r="T23" s="28"/>
      <c r="U23" s="28"/>
      <c r="V23" s="28"/>
      <c r="W23" s="28"/>
      <c r="X23" s="28"/>
      <c r="Y23" s="28"/>
      <c r="Z23" s="28"/>
      <c r="AA23" s="28"/>
      <c r="AB23" s="28"/>
      <c r="AC23" s="28"/>
      <c r="AD23" s="28"/>
      <c r="AE23" s="28"/>
      <c r="AF23" s="28"/>
      <c r="AG23" s="28"/>
      <c r="AH23" s="28"/>
      <c r="AI23" s="28"/>
      <c r="AJ23" s="28"/>
      <c r="AK23" s="28"/>
      <c r="AL23" s="28"/>
      <c r="AM23" s="28"/>
      <c r="AN23" s="21" t="s">
        <v>51</v>
      </c>
      <c r="AO23" s="28">
        <f>VLOOKUP($AN23,$T$8:$AL$1048576,19,FALSE)/VLOOKUP($AN23,$T$8:$AL$1048576,17,FALSE)</f>
        <v>1.9892892317793828E-2</v>
      </c>
      <c r="AP23" s="28">
        <f>VLOOKUP($AN23,$T$8:$AL$1048576,4,FALSE)/VLOOKUP($AN23,$T$8:$AL$1048576,2,FALSE)</f>
        <v>8.8169084542271143E-3</v>
      </c>
      <c r="AQ23" s="28">
        <f>VLOOKUP($AN23,$T$8:$AL$1048576,7,FALSE)/VLOOKUP($AN23,$T$8:$AL$1048576,5,FALSE)</f>
        <v>3.1610921957407036E-2</v>
      </c>
      <c r="AR23" s="28">
        <f>VLOOKUP($AN23,$T$8:$AL$1048576,10,FALSE)/VLOOKUP($AN23,$T$8:$AL$1048576,8,FALSE)</f>
        <v>2.419102568558618E-2</v>
      </c>
      <c r="AS23" s="28">
        <f>VLOOKUP($AN23,$T$8:$AL$1048576,13,FALSE)/VLOOKUP($AN23,$T$8:$AL$1048576,11,FALSE)</f>
        <v>1.0272707116990614E-2</v>
      </c>
      <c r="AT23" s="28">
        <f>VLOOKUP($AN23,$T$8:$AL$1048576,16,FALSE)/VLOOKUP($AN23,$T$8:$AL$1048576,14,FALSE)</f>
        <v>1.7353579175704988E-3</v>
      </c>
      <c r="AU23" s="28">
        <f>(AS23+AT23)/2</f>
        <v>6.0040325172805564E-3</v>
      </c>
      <c r="AX23" s="19" t="s">
        <v>89</v>
      </c>
      <c r="AY23" s="2">
        <v>0</v>
      </c>
      <c r="AZ23" s="2">
        <v>1</v>
      </c>
      <c r="BA23" s="2">
        <v>1</v>
      </c>
      <c r="BB23" s="2">
        <v>0</v>
      </c>
      <c r="BC23" s="2">
        <v>2</v>
      </c>
    </row>
    <row r="24" spans="1:55" x14ac:dyDescent="0.25">
      <c r="S24" s="28"/>
      <c r="T24" s="28"/>
      <c r="U24" s="28"/>
      <c r="V24" s="28"/>
      <c r="W24" s="28"/>
      <c r="X24" s="28"/>
      <c r="Y24" s="28"/>
      <c r="Z24" s="28"/>
      <c r="AA24" s="28"/>
      <c r="AB24" s="28"/>
      <c r="AC24" s="28"/>
      <c r="AD24" s="28"/>
      <c r="AE24" s="28"/>
      <c r="AF24" s="28"/>
      <c r="AG24" s="28"/>
      <c r="AH24" s="28"/>
      <c r="AI24" s="28"/>
      <c r="AJ24" s="28"/>
      <c r="AK24" s="28"/>
      <c r="AL24" s="28"/>
      <c r="AM24" s="28"/>
      <c r="AN24" s="20" t="s">
        <v>52</v>
      </c>
      <c r="AO24" s="28">
        <f t="shared" ref="AO24:AO36" si="8">VLOOKUP($AN24,$T$8:$AL$1048576,19,FALSE)/VLOOKUP($AN24,$T$8:$AL$1048576,17,FALSE)</f>
        <v>1.5485438909891571E-2</v>
      </c>
      <c r="AP24" s="28">
        <f t="shared" ref="AP24:AP36" si="9">VLOOKUP($AN24,$T$8:$AL$1048576,4,FALSE)/VLOOKUP($AN24,$T$8:$AL$1048576,2,FALSE)</f>
        <v>6.7752362008950771E-3</v>
      </c>
      <c r="AQ24" s="28">
        <f t="shared" ref="AQ24:AQ36" si="10">VLOOKUP($AN24,$T$8:$AL$1048576,7,FALSE)/VLOOKUP($AN24,$T$8:$AL$1048576,5,FALSE)</f>
        <v>2.6813349481900148E-2</v>
      </c>
      <c r="AR24" s="28">
        <f t="shared" ref="AR24:AR36" si="11">VLOOKUP($AN24,$T$8:$AL$1048576,10,FALSE)/VLOOKUP($AN24,$T$8:$AL$1048576,8,FALSE)</f>
        <v>1.569120287253142E-2</v>
      </c>
      <c r="AS24" s="28">
        <f t="shared" ref="AS24:AS36" si="12">VLOOKUP($AN24,$T$8:$AL$1048576,13,FALSE)/VLOOKUP($AN24,$T$8:$AL$1048576,11,FALSE)</f>
        <v>9.4653553205649634E-3</v>
      </c>
      <c r="AT24" s="28">
        <f t="shared" ref="AT24:AT36" si="13">VLOOKUP($AN24,$T$8:$AL$1048576,16,FALSE)/VLOOKUP($AN24,$T$8:$AL$1048576,14,FALSE)</f>
        <v>2.1980437410704474E-3</v>
      </c>
      <c r="AU24" s="28">
        <f t="shared" ref="AU24:AU36" si="14">(AS24+AT24)/2</f>
        <v>5.831699530817705E-3</v>
      </c>
      <c r="AX24" s="19" t="s">
        <v>90</v>
      </c>
      <c r="AY24" s="2">
        <v>2</v>
      </c>
      <c r="AZ24" s="2">
        <v>0</v>
      </c>
      <c r="BA24" s="2">
        <v>0</v>
      </c>
      <c r="BB24" s="2">
        <v>0</v>
      </c>
      <c r="BC24" s="2">
        <v>0</v>
      </c>
    </row>
    <row r="25" spans="1:55" x14ac:dyDescent="0.25">
      <c r="S25" s="28"/>
      <c r="T25" s="28"/>
      <c r="U25" s="28"/>
      <c r="V25" s="28"/>
      <c r="W25" s="28"/>
      <c r="X25" s="28"/>
      <c r="Y25" s="28"/>
      <c r="Z25" s="28"/>
      <c r="AA25" s="28"/>
      <c r="AB25" s="28"/>
      <c r="AC25" s="28"/>
      <c r="AD25" s="28"/>
      <c r="AE25" s="28"/>
      <c r="AF25" s="28"/>
      <c r="AG25" s="28"/>
      <c r="AH25" s="28"/>
      <c r="AI25" s="28"/>
      <c r="AJ25" s="28"/>
      <c r="AK25" s="28"/>
      <c r="AL25" s="28"/>
      <c r="AM25" s="28"/>
      <c r="AN25" s="20" t="s">
        <v>53</v>
      </c>
      <c r="AO25" s="28">
        <f t="shared" si="8"/>
        <v>1.7599983853225823E-2</v>
      </c>
      <c r="AP25" s="28">
        <f t="shared" si="9"/>
        <v>3.1935147085917826E-3</v>
      </c>
      <c r="AQ25" s="28">
        <f t="shared" si="10"/>
        <v>3.2121112390982393E-2</v>
      </c>
      <c r="AR25" s="28">
        <f t="shared" si="11"/>
        <v>1.8330839341586178E-2</v>
      </c>
      <c r="AS25" s="28">
        <f t="shared" si="12"/>
        <v>1.1536483209640678E-2</v>
      </c>
      <c r="AT25" s="28">
        <f t="shared" si="13"/>
        <v>2.1253985122210413E-3</v>
      </c>
      <c r="AU25" s="28">
        <f t="shared" si="14"/>
        <v>6.8309408609308602E-3</v>
      </c>
      <c r="AX25" s="19" t="s">
        <v>91</v>
      </c>
      <c r="AY25" s="2">
        <v>7</v>
      </c>
      <c r="AZ25" s="2">
        <v>2</v>
      </c>
      <c r="BA25" s="2">
        <v>1</v>
      </c>
      <c r="BB25" s="2">
        <v>3</v>
      </c>
      <c r="BC25" s="2">
        <v>3</v>
      </c>
    </row>
    <row r="26" spans="1:55" x14ac:dyDescent="0.25">
      <c r="S26" s="28"/>
      <c r="T26" s="28"/>
      <c r="U26" s="28"/>
      <c r="V26" s="28"/>
      <c r="W26" s="28"/>
      <c r="X26" s="28"/>
      <c r="Y26" s="28"/>
      <c r="Z26" s="28"/>
      <c r="AA26" s="28"/>
      <c r="AB26" s="28"/>
      <c r="AC26" s="28"/>
      <c r="AD26" s="28"/>
      <c r="AE26" s="28"/>
      <c r="AF26" s="28"/>
      <c r="AG26" s="28"/>
      <c r="AH26" s="28"/>
      <c r="AI26" s="28"/>
      <c r="AJ26" s="28"/>
      <c r="AK26" s="28"/>
      <c r="AL26" s="28"/>
      <c r="AM26" s="28"/>
      <c r="AN26" s="20" t="s">
        <v>54</v>
      </c>
      <c r="AO26" s="28">
        <f t="shared" si="8"/>
        <v>1.8455766670700716E-2</v>
      </c>
      <c r="AP26" s="28">
        <f t="shared" si="9"/>
        <v>2.3715908381701303E-3</v>
      </c>
      <c r="AQ26" s="28">
        <f t="shared" si="10"/>
        <v>2.7645376549094377E-2</v>
      </c>
      <c r="AR26" s="28">
        <f t="shared" si="11"/>
        <v>2.5529202589821866E-2</v>
      </c>
      <c r="AS26" s="28">
        <f t="shared" si="12"/>
        <v>1.2980308282321705E-2</v>
      </c>
      <c r="AT26" s="28">
        <f t="shared" si="13"/>
        <v>1.4982876712328766E-3</v>
      </c>
      <c r="AU26" s="28">
        <f t="shared" si="14"/>
        <v>7.2392979767772914E-3</v>
      </c>
      <c r="AX26" s="19" t="s">
        <v>92</v>
      </c>
      <c r="AY26" s="2">
        <v>5</v>
      </c>
      <c r="AZ26" s="2">
        <v>0</v>
      </c>
      <c r="BA26" s="2">
        <v>17</v>
      </c>
      <c r="BB26" s="2">
        <v>35</v>
      </c>
      <c r="BC26" s="2">
        <v>51</v>
      </c>
    </row>
    <row r="27" spans="1:55" x14ac:dyDescent="0.25">
      <c r="S27" s="28"/>
      <c r="T27" s="28"/>
      <c r="U27" s="28"/>
      <c r="V27" s="28"/>
      <c r="W27" s="28"/>
      <c r="X27" s="28"/>
      <c r="Y27" s="28"/>
      <c r="Z27" s="28"/>
      <c r="AA27" s="28"/>
      <c r="AB27" s="28"/>
      <c r="AC27" s="28"/>
      <c r="AD27" s="28"/>
      <c r="AE27" s="28"/>
      <c r="AF27" s="28"/>
      <c r="AG27" s="28"/>
      <c r="AH27" s="28"/>
      <c r="AI27" s="28"/>
      <c r="AJ27" s="28"/>
      <c r="AK27" s="28"/>
      <c r="AL27" s="28"/>
      <c r="AM27" s="28"/>
      <c r="AN27" s="20" t="s">
        <v>55</v>
      </c>
      <c r="AO27" s="28">
        <f t="shared" si="8"/>
        <v>2.9289154381112126E-2</v>
      </c>
      <c r="AP27" s="28">
        <f t="shared" si="9"/>
        <v>6.0081711127132897E-3</v>
      </c>
      <c r="AQ27" s="28">
        <f t="shared" si="10"/>
        <v>5.6205035971223019E-2</v>
      </c>
      <c r="AR27" s="28">
        <f t="shared" si="11"/>
        <v>2.9096325719960278E-2</v>
      </c>
      <c r="AS27" s="28">
        <f t="shared" si="12"/>
        <v>1.5811935912684531E-2</v>
      </c>
      <c r="AT27" s="28">
        <f t="shared" si="13"/>
        <v>3.2071177322573969E-3</v>
      </c>
      <c r="AU27" s="28">
        <f t="shared" si="14"/>
        <v>9.5095268224709636E-3</v>
      </c>
      <c r="AX27" s="19" t="s">
        <v>93</v>
      </c>
      <c r="AY27" s="2">
        <v>2</v>
      </c>
      <c r="AZ27" s="2">
        <v>2</v>
      </c>
      <c r="BA27" s="2">
        <v>1</v>
      </c>
      <c r="BB27" s="2">
        <v>1</v>
      </c>
      <c r="BC27" s="2">
        <v>2</v>
      </c>
    </row>
    <row r="28" spans="1:55" x14ac:dyDescent="0.25">
      <c r="S28" s="28"/>
      <c r="T28" s="28"/>
      <c r="U28" s="28"/>
      <c r="V28" s="28"/>
      <c r="W28" s="28"/>
      <c r="X28" s="28"/>
      <c r="Y28" s="28"/>
      <c r="Z28" s="28"/>
      <c r="AA28" s="28"/>
      <c r="AB28" s="28"/>
      <c r="AC28" s="28"/>
      <c r="AD28" s="28"/>
      <c r="AE28" s="28"/>
      <c r="AF28" s="28"/>
      <c r="AG28" s="28"/>
      <c r="AH28" s="28"/>
      <c r="AI28" s="28"/>
      <c r="AJ28" s="28"/>
      <c r="AK28" s="28"/>
      <c r="AL28" s="28"/>
      <c r="AM28" s="28"/>
      <c r="AN28" s="20" t="s">
        <v>56</v>
      </c>
      <c r="AO28" s="28" t="e">
        <f t="shared" si="8"/>
        <v>#N/A</v>
      </c>
      <c r="AP28" s="28" t="e">
        <f t="shared" si="9"/>
        <v>#N/A</v>
      </c>
      <c r="AQ28" s="28" t="e">
        <f t="shared" si="10"/>
        <v>#N/A</v>
      </c>
      <c r="AR28" s="28" t="e">
        <f t="shared" si="11"/>
        <v>#N/A</v>
      </c>
      <c r="AS28" s="28" t="e">
        <f t="shared" si="12"/>
        <v>#N/A</v>
      </c>
      <c r="AT28" s="28" t="e">
        <f t="shared" si="13"/>
        <v>#N/A</v>
      </c>
      <c r="AU28" s="28" t="e">
        <f t="shared" si="14"/>
        <v>#N/A</v>
      </c>
      <c r="AX28" s="19" t="s">
        <v>94</v>
      </c>
      <c r="AY28" s="2">
        <v>27</v>
      </c>
      <c r="AZ28" s="2">
        <v>26</v>
      </c>
      <c r="BA28" s="2">
        <v>20</v>
      </c>
      <c r="BB28" s="2">
        <v>23</v>
      </c>
      <c r="BC28" s="2">
        <v>16</v>
      </c>
    </row>
    <row r="29" spans="1:55" x14ac:dyDescent="0.25">
      <c r="S29" s="28"/>
      <c r="T29" s="28"/>
      <c r="U29" s="28"/>
      <c r="V29" s="28"/>
      <c r="W29" s="28"/>
      <c r="X29" s="28"/>
      <c r="Y29" s="28"/>
      <c r="Z29" s="28"/>
      <c r="AA29" s="28"/>
      <c r="AB29" s="28"/>
      <c r="AC29" s="28"/>
      <c r="AD29" s="28"/>
      <c r="AE29" s="28"/>
      <c r="AF29" s="28"/>
      <c r="AG29" s="28"/>
      <c r="AH29" s="28"/>
      <c r="AI29" s="28"/>
      <c r="AJ29" s="28"/>
      <c r="AK29" s="28"/>
      <c r="AL29" s="28"/>
      <c r="AM29" s="28"/>
      <c r="AN29" s="20" t="s">
        <v>57</v>
      </c>
      <c r="AO29" s="28" t="e">
        <f t="shared" si="8"/>
        <v>#N/A</v>
      </c>
      <c r="AP29" s="28" t="e">
        <f t="shared" si="9"/>
        <v>#N/A</v>
      </c>
      <c r="AQ29" s="28" t="e">
        <f t="shared" si="10"/>
        <v>#N/A</v>
      </c>
      <c r="AR29" s="28" t="e">
        <f t="shared" si="11"/>
        <v>#N/A</v>
      </c>
      <c r="AS29" s="28" t="e">
        <f t="shared" si="12"/>
        <v>#N/A</v>
      </c>
      <c r="AT29" s="28" t="e">
        <f t="shared" si="13"/>
        <v>#N/A</v>
      </c>
      <c r="AU29" s="28" t="e">
        <f t="shared" si="14"/>
        <v>#N/A</v>
      </c>
      <c r="AX29" s="19" t="s">
        <v>95</v>
      </c>
      <c r="AY29" s="2">
        <v>0</v>
      </c>
      <c r="AZ29" s="2">
        <v>18</v>
      </c>
      <c r="BA29" s="2">
        <v>9</v>
      </c>
      <c r="BB29" s="2">
        <v>0</v>
      </c>
      <c r="BC29" s="2">
        <v>19</v>
      </c>
    </row>
    <row r="30" spans="1:55" x14ac:dyDescent="0.25">
      <c r="S30" s="28"/>
      <c r="T30" s="28"/>
      <c r="U30" s="28"/>
      <c r="V30" s="28"/>
      <c r="W30" s="28"/>
      <c r="X30" s="28"/>
      <c r="Y30" s="28"/>
      <c r="Z30" s="28"/>
      <c r="AA30" s="28"/>
      <c r="AB30" s="28"/>
      <c r="AC30" s="28"/>
      <c r="AD30" s="28"/>
      <c r="AE30" s="28"/>
      <c r="AF30" s="28"/>
      <c r="AG30" s="28"/>
      <c r="AH30" s="28"/>
      <c r="AI30" s="28"/>
      <c r="AJ30" s="28"/>
      <c r="AK30" s="28"/>
      <c r="AL30" s="28"/>
      <c r="AM30" s="28"/>
      <c r="AN30" s="20" t="s">
        <v>58</v>
      </c>
      <c r="AO30" s="28" t="e">
        <f t="shared" si="8"/>
        <v>#N/A</v>
      </c>
      <c r="AP30" s="28" t="e">
        <f t="shared" si="9"/>
        <v>#N/A</v>
      </c>
      <c r="AQ30" s="28" t="e">
        <f t="shared" si="10"/>
        <v>#N/A</v>
      </c>
      <c r="AR30" s="28" t="e">
        <f t="shared" si="11"/>
        <v>#N/A</v>
      </c>
      <c r="AS30" s="28" t="e">
        <f t="shared" si="12"/>
        <v>#N/A</v>
      </c>
      <c r="AT30" s="28" t="e">
        <f t="shared" si="13"/>
        <v>#N/A</v>
      </c>
      <c r="AU30" s="28" t="e">
        <f t="shared" si="14"/>
        <v>#N/A</v>
      </c>
      <c r="AX30" s="19" t="s">
        <v>96</v>
      </c>
      <c r="AY30" s="2">
        <v>0</v>
      </c>
      <c r="AZ30" s="2">
        <v>2</v>
      </c>
      <c r="BA30" s="2">
        <v>0</v>
      </c>
      <c r="BB30" s="2">
        <v>0</v>
      </c>
      <c r="BC30" s="2">
        <v>0</v>
      </c>
    </row>
    <row r="31" spans="1:55" x14ac:dyDescent="0.25">
      <c r="S31" s="28"/>
      <c r="T31" s="28"/>
      <c r="U31" s="28"/>
      <c r="V31" s="28"/>
      <c r="W31" s="28"/>
      <c r="X31" s="28"/>
      <c r="Y31" s="28"/>
      <c r="Z31" s="28"/>
      <c r="AA31" s="28"/>
      <c r="AB31" s="28"/>
      <c r="AC31" s="28"/>
      <c r="AD31" s="28"/>
      <c r="AE31" s="28"/>
      <c r="AF31" s="28"/>
      <c r="AG31" s="28"/>
      <c r="AH31" s="28"/>
      <c r="AI31" s="28"/>
      <c r="AJ31" s="28"/>
      <c r="AK31" s="28"/>
      <c r="AL31" s="28"/>
      <c r="AM31" s="28"/>
      <c r="AN31" s="20" t="s">
        <v>59</v>
      </c>
      <c r="AO31" s="28" t="e">
        <f t="shared" si="8"/>
        <v>#N/A</v>
      </c>
      <c r="AP31" s="28" t="e">
        <f t="shared" si="9"/>
        <v>#N/A</v>
      </c>
      <c r="AQ31" s="28" t="e">
        <f t="shared" si="10"/>
        <v>#N/A</v>
      </c>
      <c r="AR31" s="28" t="e">
        <f t="shared" si="11"/>
        <v>#N/A</v>
      </c>
      <c r="AS31" s="28" t="e">
        <f t="shared" si="12"/>
        <v>#N/A</v>
      </c>
      <c r="AT31" s="28" t="e">
        <f t="shared" si="13"/>
        <v>#N/A</v>
      </c>
      <c r="AU31" s="28" t="e">
        <f t="shared" si="14"/>
        <v>#N/A</v>
      </c>
      <c r="AX31" s="19" t="s">
        <v>97</v>
      </c>
      <c r="AY31" s="2">
        <v>4</v>
      </c>
      <c r="AZ31" s="2">
        <v>2</v>
      </c>
      <c r="BA31" s="2">
        <v>4</v>
      </c>
      <c r="BB31" s="2">
        <v>17</v>
      </c>
      <c r="BC31" s="2">
        <v>6</v>
      </c>
    </row>
    <row r="32" spans="1:55" x14ac:dyDescent="0.25">
      <c r="S32" s="28"/>
      <c r="T32" s="28"/>
      <c r="U32" s="28"/>
      <c r="V32" s="28"/>
      <c r="W32" s="28"/>
      <c r="X32" s="28"/>
      <c r="Y32" s="28"/>
      <c r="Z32" s="28"/>
      <c r="AA32" s="28"/>
      <c r="AB32" s="28"/>
      <c r="AC32" s="28"/>
      <c r="AD32" s="28"/>
      <c r="AE32" s="28"/>
      <c r="AF32" s="28"/>
      <c r="AG32" s="28"/>
      <c r="AH32" s="28"/>
      <c r="AI32" s="28"/>
      <c r="AJ32" s="28"/>
      <c r="AK32" s="28"/>
      <c r="AL32" s="28"/>
      <c r="AM32" s="28"/>
      <c r="AN32" s="20" t="s">
        <v>60</v>
      </c>
      <c r="AO32" s="28" t="e">
        <f t="shared" si="8"/>
        <v>#N/A</v>
      </c>
      <c r="AP32" s="28" t="e">
        <f t="shared" si="9"/>
        <v>#N/A</v>
      </c>
      <c r="AQ32" s="28" t="e">
        <f t="shared" si="10"/>
        <v>#N/A</v>
      </c>
      <c r="AR32" s="28" t="e">
        <f t="shared" si="11"/>
        <v>#N/A</v>
      </c>
      <c r="AS32" s="28" t="e">
        <f t="shared" si="12"/>
        <v>#N/A</v>
      </c>
      <c r="AT32" s="28" t="e">
        <f t="shared" si="13"/>
        <v>#N/A</v>
      </c>
      <c r="AU32" s="28" t="e">
        <f t="shared" si="14"/>
        <v>#N/A</v>
      </c>
      <c r="AX32" s="19" t="s">
        <v>98</v>
      </c>
      <c r="AY32" s="2">
        <v>0</v>
      </c>
      <c r="AZ32" s="2">
        <v>0</v>
      </c>
      <c r="BA32" s="2">
        <v>7</v>
      </c>
      <c r="BB32" s="2">
        <v>4</v>
      </c>
      <c r="BC32" s="2">
        <v>4</v>
      </c>
    </row>
    <row r="33" spans="19:55" x14ac:dyDescent="0.25">
      <c r="S33" s="28"/>
      <c r="T33" s="28"/>
      <c r="U33" s="28"/>
      <c r="V33" s="28"/>
      <c r="W33" s="28"/>
      <c r="X33" s="28"/>
      <c r="Y33" s="28"/>
      <c r="Z33" s="28"/>
      <c r="AA33" s="28"/>
      <c r="AB33" s="28"/>
      <c r="AC33" s="28"/>
      <c r="AD33" s="28"/>
      <c r="AE33" s="28"/>
      <c r="AF33" s="28"/>
      <c r="AG33" s="28"/>
      <c r="AH33" s="28"/>
      <c r="AI33" s="28"/>
      <c r="AJ33" s="28"/>
      <c r="AK33" s="28"/>
      <c r="AL33" s="28"/>
      <c r="AM33" s="28"/>
      <c r="AN33" s="20" t="s">
        <v>61</v>
      </c>
      <c r="AO33" s="28" t="e">
        <f t="shared" si="8"/>
        <v>#N/A</v>
      </c>
      <c r="AP33" s="28" t="e">
        <f t="shared" si="9"/>
        <v>#N/A</v>
      </c>
      <c r="AQ33" s="28" t="e">
        <f t="shared" si="10"/>
        <v>#N/A</v>
      </c>
      <c r="AR33" s="28" t="e">
        <f t="shared" si="11"/>
        <v>#N/A</v>
      </c>
      <c r="AS33" s="28" t="e">
        <f t="shared" si="12"/>
        <v>#N/A</v>
      </c>
      <c r="AT33" s="28" t="e">
        <f t="shared" si="13"/>
        <v>#N/A</v>
      </c>
      <c r="AU33" s="28" t="e">
        <f t="shared" si="14"/>
        <v>#N/A</v>
      </c>
      <c r="AX33" s="19" t="s">
        <v>99</v>
      </c>
      <c r="AY33" s="2">
        <v>5</v>
      </c>
      <c r="AZ33" s="2">
        <v>26</v>
      </c>
      <c r="BA33" s="2">
        <v>25</v>
      </c>
      <c r="BB33" s="2">
        <v>23</v>
      </c>
      <c r="BC33" s="2">
        <v>72</v>
      </c>
    </row>
    <row r="34" spans="19:55" x14ac:dyDescent="0.25">
      <c r="S34" s="28"/>
      <c r="T34" s="28"/>
      <c r="U34" s="28"/>
      <c r="V34" s="28"/>
      <c r="W34" s="28"/>
      <c r="X34" s="28"/>
      <c r="Y34" s="28"/>
      <c r="Z34" s="28"/>
      <c r="AA34" s="28"/>
      <c r="AB34" s="28"/>
      <c r="AC34" s="28"/>
      <c r="AD34" s="28"/>
      <c r="AE34" s="28"/>
      <c r="AF34" s="28"/>
      <c r="AG34" s="28"/>
      <c r="AH34" s="28"/>
      <c r="AI34" s="28"/>
      <c r="AJ34" s="28"/>
      <c r="AK34" s="28"/>
      <c r="AL34" s="28"/>
      <c r="AM34" s="28"/>
      <c r="AN34" s="20" t="s">
        <v>62</v>
      </c>
      <c r="AO34" s="28" t="e">
        <f t="shared" si="8"/>
        <v>#N/A</v>
      </c>
      <c r="AP34" s="28" t="e">
        <f t="shared" si="9"/>
        <v>#N/A</v>
      </c>
      <c r="AQ34" s="28" t="e">
        <f t="shared" si="10"/>
        <v>#N/A</v>
      </c>
      <c r="AR34" s="28" t="e">
        <f t="shared" si="11"/>
        <v>#N/A</v>
      </c>
      <c r="AS34" s="28" t="e">
        <f t="shared" si="12"/>
        <v>#N/A</v>
      </c>
      <c r="AT34" s="28" t="e">
        <f t="shared" si="13"/>
        <v>#N/A</v>
      </c>
      <c r="AU34" s="28" t="e">
        <f t="shared" si="14"/>
        <v>#N/A</v>
      </c>
      <c r="AX34" s="19" t="s">
        <v>100</v>
      </c>
      <c r="AY34" s="2">
        <v>0</v>
      </c>
      <c r="AZ34" s="2">
        <v>1</v>
      </c>
      <c r="BA34" s="2">
        <v>3</v>
      </c>
      <c r="BB34" s="2">
        <v>0</v>
      </c>
      <c r="BC34" s="2">
        <v>0</v>
      </c>
    </row>
    <row r="35" spans="19:55" x14ac:dyDescent="0.25">
      <c r="S35" s="28"/>
      <c r="T35" s="28"/>
      <c r="U35" s="28"/>
      <c r="V35" s="28"/>
      <c r="W35" s="28"/>
      <c r="X35" s="28"/>
      <c r="Y35" s="28"/>
      <c r="Z35" s="28"/>
      <c r="AA35" s="28"/>
      <c r="AB35" s="28"/>
      <c r="AC35" s="28"/>
      <c r="AD35" s="28"/>
      <c r="AE35" s="28"/>
      <c r="AF35" s="28"/>
      <c r="AG35" s="28"/>
      <c r="AH35" s="28"/>
      <c r="AI35" s="28"/>
      <c r="AJ35" s="28"/>
      <c r="AK35" s="28"/>
      <c r="AL35" s="28"/>
      <c r="AM35" s="28"/>
      <c r="AN35" s="20" t="s">
        <v>63</v>
      </c>
      <c r="AO35" s="28" t="e">
        <f t="shared" si="8"/>
        <v>#N/A</v>
      </c>
      <c r="AP35" s="28" t="e">
        <f t="shared" si="9"/>
        <v>#N/A</v>
      </c>
      <c r="AQ35" s="28" t="e">
        <f t="shared" si="10"/>
        <v>#N/A</v>
      </c>
      <c r="AR35" s="28" t="e">
        <f t="shared" si="11"/>
        <v>#N/A</v>
      </c>
      <c r="AS35" s="28" t="e">
        <f t="shared" si="12"/>
        <v>#N/A</v>
      </c>
      <c r="AT35" s="28" t="e">
        <f t="shared" si="13"/>
        <v>#N/A</v>
      </c>
      <c r="AU35" s="28" t="e">
        <f t="shared" si="14"/>
        <v>#N/A</v>
      </c>
      <c r="AX35" s="19" t="s">
        <v>101</v>
      </c>
      <c r="AY35" s="2">
        <v>18</v>
      </c>
      <c r="AZ35" s="2">
        <v>2</v>
      </c>
      <c r="BA35" s="2">
        <v>19</v>
      </c>
      <c r="BB35" s="2">
        <v>7</v>
      </c>
      <c r="BC35" s="2">
        <v>15</v>
      </c>
    </row>
    <row r="36" spans="19:55" x14ac:dyDescent="0.25">
      <c r="AN36" s="20" t="s">
        <v>64</v>
      </c>
      <c r="AO36" s="28" t="e">
        <f t="shared" si="8"/>
        <v>#N/A</v>
      </c>
      <c r="AP36" s="28" t="e">
        <f t="shared" si="9"/>
        <v>#N/A</v>
      </c>
      <c r="AQ36" s="28" t="e">
        <f t="shared" si="10"/>
        <v>#N/A</v>
      </c>
      <c r="AR36" s="28" t="e">
        <f t="shared" si="11"/>
        <v>#N/A</v>
      </c>
      <c r="AS36" s="28" t="e">
        <f t="shared" si="12"/>
        <v>#N/A</v>
      </c>
      <c r="AT36" s="28" t="e">
        <f t="shared" si="13"/>
        <v>#N/A</v>
      </c>
      <c r="AU36" s="28" t="e">
        <f t="shared" si="14"/>
        <v>#N/A</v>
      </c>
      <c r="AX36" s="19" t="s">
        <v>102</v>
      </c>
      <c r="AY36" s="2">
        <v>16</v>
      </c>
      <c r="AZ36" s="2">
        <v>1</v>
      </c>
      <c r="BA36" s="2">
        <v>8</v>
      </c>
      <c r="BB36" s="2">
        <v>35</v>
      </c>
      <c r="BC36" s="2">
        <v>27</v>
      </c>
    </row>
    <row r="37" spans="19:55" x14ac:dyDescent="0.25">
      <c r="AX37" s="19" t="s">
        <v>263</v>
      </c>
      <c r="AY37" s="2">
        <v>7</v>
      </c>
      <c r="AZ37" s="2">
        <v>4</v>
      </c>
      <c r="BA37" s="2">
        <v>6</v>
      </c>
      <c r="BB37" s="2">
        <v>10</v>
      </c>
      <c r="BC37" s="2">
        <v>46</v>
      </c>
    </row>
    <row r="38" spans="19:55" x14ac:dyDescent="0.25">
      <c r="AX38" s="19" t="s">
        <v>103</v>
      </c>
      <c r="AY38" s="2">
        <v>0</v>
      </c>
      <c r="AZ38" s="2">
        <v>0</v>
      </c>
      <c r="BA38" s="2">
        <v>0</v>
      </c>
      <c r="BB38" s="2">
        <v>0</v>
      </c>
      <c r="BC38" s="2">
        <v>0</v>
      </c>
    </row>
    <row r="39" spans="19:55" x14ac:dyDescent="0.25">
      <c r="AX39" s="19" t="s">
        <v>104</v>
      </c>
      <c r="AY39" s="2">
        <v>11</v>
      </c>
      <c r="AZ39" s="2">
        <v>3</v>
      </c>
      <c r="BA39" s="2">
        <v>0</v>
      </c>
      <c r="BB39" s="2">
        <v>8</v>
      </c>
      <c r="BC39" s="2">
        <v>2</v>
      </c>
    </row>
    <row r="40" spans="19:55" x14ac:dyDescent="0.25">
      <c r="AX40" s="19" t="s">
        <v>105</v>
      </c>
      <c r="AY40" s="2">
        <v>0</v>
      </c>
      <c r="AZ40" s="2">
        <v>6</v>
      </c>
      <c r="BA40" s="2">
        <v>1</v>
      </c>
      <c r="BB40" s="2">
        <v>0</v>
      </c>
      <c r="BC40" s="2">
        <v>1</v>
      </c>
    </row>
    <row r="41" spans="19:55" x14ac:dyDescent="0.25">
      <c r="AX41" s="19" t="s">
        <v>106</v>
      </c>
      <c r="AY41" s="2">
        <v>1</v>
      </c>
      <c r="AZ41" s="2">
        <v>4</v>
      </c>
      <c r="BA41" s="2">
        <v>3</v>
      </c>
      <c r="BB41" s="2">
        <v>0</v>
      </c>
      <c r="BC41" s="2">
        <v>0</v>
      </c>
    </row>
    <row r="42" spans="19:55" x14ac:dyDescent="0.25">
      <c r="AX42" s="19" t="s">
        <v>107</v>
      </c>
      <c r="AY42" s="2">
        <v>14</v>
      </c>
      <c r="AZ42" s="2">
        <v>9</v>
      </c>
      <c r="BA42" s="2">
        <v>17</v>
      </c>
      <c r="BB42" s="2">
        <v>0</v>
      </c>
      <c r="BC42" s="2">
        <v>9</v>
      </c>
    </row>
    <row r="43" spans="19:55" x14ac:dyDescent="0.25">
      <c r="AX43" s="19" t="s">
        <v>108</v>
      </c>
      <c r="AY43" s="2">
        <v>0</v>
      </c>
      <c r="AZ43" s="2">
        <v>0</v>
      </c>
      <c r="BA43" s="2">
        <v>0</v>
      </c>
      <c r="BB43" s="2">
        <v>0</v>
      </c>
      <c r="BC43" s="2">
        <v>1</v>
      </c>
    </row>
    <row r="44" spans="19:55" x14ac:dyDescent="0.25">
      <c r="AX44" s="19" t="s">
        <v>109</v>
      </c>
      <c r="AY44" s="2">
        <v>0</v>
      </c>
      <c r="AZ44" s="2">
        <v>0</v>
      </c>
      <c r="BA44" s="2">
        <v>2</v>
      </c>
      <c r="BB44" s="2">
        <v>0</v>
      </c>
      <c r="BC44" s="2">
        <v>5</v>
      </c>
    </row>
    <row r="45" spans="19:55" x14ac:dyDescent="0.25">
      <c r="AX45" s="19" t="s">
        <v>110</v>
      </c>
      <c r="AY45" s="2">
        <v>0</v>
      </c>
      <c r="AZ45" s="2">
        <v>0</v>
      </c>
      <c r="BA45" s="2">
        <v>0</v>
      </c>
      <c r="BB45" s="2">
        <v>0</v>
      </c>
      <c r="BC45" s="2">
        <v>0</v>
      </c>
    </row>
    <row r="46" spans="19:55" x14ac:dyDescent="0.25">
      <c r="AX46" s="19" t="s">
        <v>111</v>
      </c>
      <c r="AY46" s="2">
        <v>8</v>
      </c>
      <c r="AZ46" s="2">
        <v>17</v>
      </c>
      <c r="BA46" s="2">
        <v>25</v>
      </c>
      <c r="BB46" s="2">
        <v>2</v>
      </c>
      <c r="BC46" s="2">
        <v>11</v>
      </c>
    </row>
    <row r="47" spans="19:55" x14ac:dyDescent="0.25">
      <c r="AX47" s="19" t="s">
        <v>112</v>
      </c>
      <c r="AY47" s="2">
        <v>0</v>
      </c>
      <c r="AZ47" s="2">
        <v>1</v>
      </c>
      <c r="BA47" s="2">
        <v>0</v>
      </c>
      <c r="BB47" s="2">
        <v>0</v>
      </c>
      <c r="BC47" s="2">
        <v>0</v>
      </c>
    </row>
    <row r="48" spans="19:55" x14ac:dyDescent="0.25">
      <c r="AX48" s="19" t="s">
        <v>113</v>
      </c>
      <c r="AY48" s="2">
        <v>0</v>
      </c>
      <c r="AZ48" s="2">
        <v>0</v>
      </c>
      <c r="BA48" s="2">
        <v>0</v>
      </c>
      <c r="BB48" s="2">
        <v>0</v>
      </c>
      <c r="BC48" s="2">
        <v>0</v>
      </c>
    </row>
    <row r="49" spans="50:55" x14ac:dyDescent="0.25">
      <c r="AX49" s="19" t="s">
        <v>114</v>
      </c>
      <c r="AY49" s="2">
        <v>28</v>
      </c>
      <c r="AZ49" s="2">
        <v>25</v>
      </c>
      <c r="BA49" s="2">
        <v>23</v>
      </c>
      <c r="BB49" s="2">
        <v>24</v>
      </c>
      <c r="BC49" s="2">
        <v>63</v>
      </c>
    </row>
    <row r="50" spans="50:55" x14ac:dyDescent="0.25">
      <c r="AX50" s="19" t="s">
        <v>115</v>
      </c>
      <c r="AY50" s="2">
        <v>0</v>
      </c>
      <c r="AZ50" s="2">
        <v>6</v>
      </c>
      <c r="BA50" s="2">
        <v>0</v>
      </c>
      <c r="BB50" s="2">
        <v>0</v>
      </c>
      <c r="BC50" s="2">
        <v>0</v>
      </c>
    </row>
    <row r="51" spans="50:55" x14ac:dyDescent="0.25">
      <c r="AX51" s="19" t="s">
        <v>116</v>
      </c>
      <c r="AY51" s="2">
        <v>0</v>
      </c>
      <c r="AZ51" s="2">
        <v>0</v>
      </c>
      <c r="BA51" s="2">
        <v>0</v>
      </c>
      <c r="BB51" s="2">
        <v>0</v>
      </c>
      <c r="BC51" s="2">
        <v>0</v>
      </c>
    </row>
    <row r="52" spans="50:55" x14ac:dyDescent="0.25">
      <c r="AX52" s="19" t="s">
        <v>117</v>
      </c>
      <c r="AY52" s="2">
        <v>2</v>
      </c>
      <c r="AZ52" s="2">
        <v>3</v>
      </c>
      <c r="BA52" s="2">
        <v>1</v>
      </c>
      <c r="BB52" s="2">
        <v>18</v>
      </c>
      <c r="BC52" s="2">
        <v>4</v>
      </c>
    </row>
    <row r="53" spans="50:55" x14ac:dyDescent="0.25">
      <c r="AX53" s="19" t="s">
        <v>118</v>
      </c>
      <c r="AY53" s="2">
        <v>30</v>
      </c>
      <c r="AZ53" s="2">
        <v>5</v>
      </c>
      <c r="BA53" s="2">
        <v>16</v>
      </c>
      <c r="BB53" s="2">
        <v>3</v>
      </c>
      <c r="BC53" s="2">
        <v>35</v>
      </c>
    </row>
    <row r="54" spans="50:55" x14ac:dyDescent="0.25">
      <c r="AX54" s="19" t="s">
        <v>119</v>
      </c>
      <c r="AY54" s="2">
        <v>0</v>
      </c>
      <c r="AZ54" s="2">
        <v>0</v>
      </c>
      <c r="BA54" s="2">
        <v>0</v>
      </c>
      <c r="BB54" s="2">
        <v>0</v>
      </c>
      <c r="BC54" s="2">
        <v>0</v>
      </c>
    </row>
    <row r="55" spans="50:55" x14ac:dyDescent="0.25">
      <c r="AX55" s="19" t="s">
        <v>120</v>
      </c>
      <c r="AY55" s="2">
        <v>1</v>
      </c>
      <c r="AZ55" s="2">
        <v>0</v>
      </c>
      <c r="BA55" s="2">
        <v>0</v>
      </c>
      <c r="BB55" s="2">
        <v>0</v>
      </c>
      <c r="BC55" s="2">
        <v>0</v>
      </c>
    </row>
    <row r="56" spans="50:55" x14ac:dyDescent="0.25">
      <c r="AX56" s="19" t="s">
        <v>121</v>
      </c>
      <c r="AY56" s="2">
        <v>19</v>
      </c>
      <c r="AZ56" s="2">
        <v>16</v>
      </c>
      <c r="BA56" s="2">
        <v>2</v>
      </c>
      <c r="BB56" s="2">
        <v>1</v>
      </c>
      <c r="BC56" s="2">
        <v>2</v>
      </c>
    </row>
    <row r="57" spans="50:55" x14ac:dyDescent="0.25">
      <c r="AX57" s="19" t="s">
        <v>122</v>
      </c>
      <c r="AY57" s="2">
        <v>1</v>
      </c>
      <c r="AZ57" s="2">
        <v>4</v>
      </c>
      <c r="BA57" s="2">
        <v>0</v>
      </c>
      <c r="BB57" s="2">
        <v>0</v>
      </c>
      <c r="BC57" s="2">
        <v>2</v>
      </c>
    </row>
    <row r="58" spans="50:55" x14ac:dyDescent="0.25">
      <c r="AX58" s="19" t="s">
        <v>123</v>
      </c>
      <c r="AY58" s="2">
        <v>5</v>
      </c>
      <c r="AZ58" s="2">
        <v>24</v>
      </c>
      <c r="BA58" s="2">
        <v>26</v>
      </c>
      <c r="BB58" s="2">
        <v>11</v>
      </c>
      <c r="BC58" s="2">
        <v>47</v>
      </c>
    </row>
    <row r="59" spans="50:55" x14ac:dyDescent="0.25">
      <c r="AX59" s="19" t="s">
        <v>264</v>
      </c>
      <c r="AY59" s="2">
        <v>44</v>
      </c>
      <c r="AZ59" s="2">
        <v>2</v>
      </c>
      <c r="BA59" s="2">
        <v>2</v>
      </c>
      <c r="BB59" s="2">
        <v>0</v>
      </c>
      <c r="BC59" s="2">
        <v>0</v>
      </c>
    </row>
    <row r="60" spans="50:55" x14ac:dyDescent="0.25">
      <c r="AX60" s="19" t="s">
        <v>124</v>
      </c>
      <c r="AY60" s="2">
        <v>2</v>
      </c>
      <c r="AZ60" s="2">
        <v>2</v>
      </c>
      <c r="BA60" s="2">
        <v>5</v>
      </c>
      <c r="BB60" s="2">
        <v>4</v>
      </c>
      <c r="BC60" s="2">
        <v>13</v>
      </c>
    </row>
    <row r="61" spans="50:55" x14ac:dyDescent="0.25">
      <c r="AX61" s="19" t="s">
        <v>125</v>
      </c>
      <c r="AY61" s="2">
        <v>16</v>
      </c>
      <c r="AZ61" s="2">
        <v>4</v>
      </c>
      <c r="BA61" s="2">
        <v>30</v>
      </c>
      <c r="BB61" s="2">
        <v>14</v>
      </c>
      <c r="BC61" s="2">
        <v>28</v>
      </c>
    </row>
    <row r="62" spans="50:55" x14ac:dyDescent="0.25">
      <c r="AX62" s="19" t="s">
        <v>126</v>
      </c>
      <c r="AY62" s="2">
        <v>24</v>
      </c>
      <c r="AZ62" s="2">
        <v>28</v>
      </c>
      <c r="BA62" s="2">
        <v>21</v>
      </c>
      <c r="BB62" s="2">
        <v>13</v>
      </c>
      <c r="BC62" s="2">
        <v>60</v>
      </c>
    </row>
    <row r="63" spans="50:55" x14ac:dyDescent="0.25">
      <c r="AX63" s="19" t="s">
        <v>127</v>
      </c>
      <c r="AY63" s="2">
        <v>10</v>
      </c>
      <c r="AZ63" s="2">
        <v>6</v>
      </c>
      <c r="BA63" s="2">
        <v>11</v>
      </c>
      <c r="BB63" s="2">
        <v>31</v>
      </c>
      <c r="BC63" s="2">
        <v>29</v>
      </c>
    </row>
    <row r="64" spans="50:55" x14ac:dyDescent="0.25">
      <c r="AX64" s="19" t="s">
        <v>128</v>
      </c>
      <c r="AY64" s="2">
        <v>0</v>
      </c>
      <c r="AZ64" s="2">
        <v>0</v>
      </c>
      <c r="BA64" s="2">
        <v>3</v>
      </c>
      <c r="BB64" s="2">
        <v>0</v>
      </c>
      <c r="BC64" s="2">
        <v>0</v>
      </c>
    </row>
    <row r="65" spans="50:55" x14ac:dyDescent="0.25">
      <c r="AX65" s="19" t="s">
        <v>129</v>
      </c>
      <c r="AY65" s="2">
        <v>8</v>
      </c>
      <c r="AZ65" s="2">
        <v>23</v>
      </c>
      <c r="BA65" s="2">
        <v>71</v>
      </c>
      <c r="BB65" s="2">
        <v>6</v>
      </c>
      <c r="BC65" s="2">
        <v>54</v>
      </c>
    </row>
    <row r="66" spans="50:55" x14ac:dyDescent="0.25">
      <c r="AX66" s="19" t="s">
        <v>130</v>
      </c>
      <c r="AY66" s="2">
        <v>2</v>
      </c>
      <c r="AZ66" s="2">
        <v>3</v>
      </c>
      <c r="BA66" s="2">
        <v>0</v>
      </c>
      <c r="BB66" s="2">
        <v>2</v>
      </c>
      <c r="BC66" s="2">
        <v>1</v>
      </c>
    </row>
    <row r="67" spans="50:55" x14ac:dyDescent="0.25">
      <c r="AX67" s="19" t="s">
        <v>131</v>
      </c>
      <c r="AY67" s="2">
        <v>6</v>
      </c>
      <c r="AZ67" s="2">
        <v>0</v>
      </c>
      <c r="BA67" s="2">
        <v>7</v>
      </c>
      <c r="BB67" s="2">
        <v>7</v>
      </c>
      <c r="BC67" s="2">
        <v>13</v>
      </c>
    </row>
    <row r="68" spans="50:55" x14ac:dyDescent="0.25">
      <c r="AX68" s="19" t="s">
        <v>132</v>
      </c>
      <c r="AY68" s="2">
        <v>87</v>
      </c>
      <c r="AZ68" s="2">
        <v>191</v>
      </c>
      <c r="BA68" s="2">
        <v>120</v>
      </c>
      <c r="BB68" s="2">
        <v>162</v>
      </c>
      <c r="BC68" s="2">
        <v>258</v>
      </c>
    </row>
    <row r="69" spans="50:55" x14ac:dyDescent="0.25">
      <c r="AX69" s="19" t="s">
        <v>133</v>
      </c>
      <c r="AY69" s="2">
        <v>0</v>
      </c>
      <c r="AZ69" s="2">
        <v>0</v>
      </c>
      <c r="BA69" s="2">
        <v>0</v>
      </c>
      <c r="BB69" s="2">
        <v>0</v>
      </c>
      <c r="BC69" s="2">
        <v>0</v>
      </c>
    </row>
    <row r="70" spans="50:55" x14ac:dyDescent="0.25">
      <c r="AX70" s="19" t="s">
        <v>134</v>
      </c>
      <c r="AY70" s="2">
        <v>10</v>
      </c>
      <c r="AZ70" s="2">
        <v>11</v>
      </c>
      <c r="BA70" s="2">
        <v>14</v>
      </c>
      <c r="BB70" s="2">
        <v>5</v>
      </c>
      <c r="BC70" s="2">
        <v>12</v>
      </c>
    </row>
    <row r="71" spans="50:55" x14ac:dyDescent="0.25">
      <c r="AX71" s="19" t="s">
        <v>135</v>
      </c>
      <c r="AY71" s="2">
        <v>0</v>
      </c>
      <c r="AZ71" s="2">
        <v>2</v>
      </c>
      <c r="BA71" s="2">
        <v>4</v>
      </c>
      <c r="BB71" s="2">
        <v>0</v>
      </c>
      <c r="BC71" s="2">
        <v>0</v>
      </c>
    </row>
    <row r="72" spans="50:55" x14ac:dyDescent="0.25">
      <c r="AX72" s="19" t="s">
        <v>136</v>
      </c>
      <c r="AY72" s="2">
        <v>0</v>
      </c>
      <c r="AZ72" s="2">
        <v>1</v>
      </c>
      <c r="BA72" s="2">
        <v>0</v>
      </c>
      <c r="BB72" s="2">
        <v>0</v>
      </c>
      <c r="BC72" s="2">
        <v>0</v>
      </c>
    </row>
    <row r="73" spans="50:55" x14ac:dyDescent="0.25">
      <c r="AX73" s="19" t="s">
        <v>137</v>
      </c>
      <c r="AY73" s="2">
        <v>70</v>
      </c>
      <c r="AZ73" s="2">
        <v>27</v>
      </c>
      <c r="BA73" s="2">
        <v>116</v>
      </c>
      <c r="BB73" s="2">
        <v>62</v>
      </c>
      <c r="BC73" s="2">
        <v>15</v>
      </c>
    </row>
    <row r="74" spans="50:55" x14ac:dyDescent="0.25">
      <c r="AX74" s="19" t="s">
        <v>138</v>
      </c>
      <c r="AY74" s="2">
        <v>8</v>
      </c>
      <c r="AZ74" s="2">
        <v>0</v>
      </c>
      <c r="BA74" s="2">
        <v>15</v>
      </c>
      <c r="BB74" s="2">
        <v>7</v>
      </c>
      <c r="BC74" s="2">
        <v>13</v>
      </c>
    </row>
    <row r="75" spans="50:55" x14ac:dyDescent="0.25">
      <c r="AX75" s="19" t="s">
        <v>139</v>
      </c>
      <c r="AY75" s="2">
        <v>0</v>
      </c>
      <c r="AZ75" s="2">
        <v>4</v>
      </c>
      <c r="BA75" s="2">
        <v>0</v>
      </c>
      <c r="BB75" s="2">
        <v>0</v>
      </c>
      <c r="BC75" s="2">
        <v>5</v>
      </c>
    </row>
    <row r="76" spans="50:55" x14ac:dyDescent="0.25">
      <c r="AX76" s="19" t="s">
        <v>140</v>
      </c>
      <c r="AY76" s="2">
        <v>30</v>
      </c>
      <c r="AZ76" s="2">
        <v>6</v>
      </c>
      <c r="BA76" s="2">
        <v>35</v>
      </c>
      <c r="BB76" s="2">
        <v>81</v>
      </c>
      <c r="BC76" s="2">
        <v>41</v>
      </c>
    </row>
    <row r="77" spans="50:55" x14ac:dyDescent="0.25">
      <c r="AX77" s="19" t="s">
        <v>141</v>
      </c>
      <c r="AY77" s="2">
        <v>39</v>
      </c>
      <c r="AZ77" s="2">
        <v>6</v>
      </c>
      <c r="BA77" s="2">
        <v>35</v>
      </c>
      <c r="BB77" s="2">
        <v>18</v>
      </c>
      <c r="BC77" s="2">
        <v>12</v>
      </c>
    </row>
    <row r="78" spans="50:55" x14ac:dyDescent="0.25">
      <c r="AX78" s="19" t="s">
        <v>142</v>
      </c>
      <c r="AY78" s="2">
        <v>1</v>
      </c>
      <c r="AZ78" s="2">
        <v>2</v>
      </c>
      <c r="BA78" s="2">
        <v>8</v>
      </c>
      <c r="BB78" s="2">
        <v>0</v>
      </c>
      <c r="BC78" s="2">
        <v>1</v>
      </c>
    </row>
    <row r="79" spans="50:55" x14ac:dyDescent="0.25">
      <c r="AX79" s="19" t="s">
        <v>143</v>
      </c>
      <c r="AY79" s="2">
        <v>0</v>
      </c>
      <c r="AZ79" s="2">
        <v>1</v>
      </c>
      <c r="BA79" s="2">
        <v>0</v>
      </c>
      <c r="BB79" s="2">
        <v>1</v>
      </c>
      <c r="BC79" s="2">
        <v>0</v>
      </c>
    </row>
    <row r="80" spans="50:55" x14ac:dyDescent="0.25">
      <c r="AX80" s="19" t="s">
        <v>144</v>
      </c>
      <c r="AY80" s="2">
        <v>65</v>
      </c>
      <c r="AZ80" s="2">
        <v>25</v>
      </c>
      <c r="BA80" s="2">
        <v>30</v>
      </c>
      <c r="BB80" s="2">
        <v>45</v>
      </c>
      <c r="BC80" s="2">
        <v>46</v>
      </c>
    </row>
    <row r="81" spans="50:55" x14ac:dyDescent="0.25">
      <c r="AX81" s="19" t="s">
        <v>145</v>
      </c>
      <c r="AY81" s="2">
        <v>1</v>
      </c>
      <c r="AZ81" s="2">
        <v>3</v>
      </c>
      <c r="BA81" s="2">
        <v>1</v>
      </c>
      <c r="BB81" s="2">
        <v>0</v>
      </c>
      <c r="BC81" s="2">
        <v>0</v>
      </c>
    </row>
    <row r="82" spans="50:55" x14ac:dyDescent="0.25">
      <c r="AX82" s="19" t="s">
        <v>146</v>
      </c>
      <c r="AY82" s="2">
        <v>6</v>
      </c>
      <c r="AZ82" s="2">
        <v>31</v>
      </c>
      <c r="BA82" s="2">
        <v>7</v>
      </c>
      <c r="BB82" s="2">
        <v>7</v>
      </c>
      <c r="BC82" s="2">
        <v>14</v>
      </c>
    </row>
    <row r="83" spans="50:55" x14ac:dyDescent="0.25">
      <c r="AX83" s="19" t="s">
        <v>147</v>
      </c>
      <c r="AY83" s="2">
        <v>2</v>
      </c>
      <c r="AZ83" s="2">
        <v>0</v>
      </c>
      <c r="BA83" s="2">
        <v>0</v>
      </c>
      <c r="BB83" s="2">
        <v>1</v>
      </c>
      <c r="BC83" s="2">
        <v>0</v>
      </c>
    </row>
    <row r="84" spans="50:55" x14ac:dyDescent="0.25">
      <c r="AX84" s="19" t="s">
        <v>148</v>
      </c>
      <c r="AY84" s="2">
        <v>0</v>
      </c>
      <c r="AZ84" s="2">
        <v>0</v>
      </c>
      <c r="BA84" s="2">
        <v>0</v>
      </c>
      <c r="BB84" s="2">
        <v>0</v>
      </c>
      <c r="BC84" s="2">
        <v>0</v>
      </c>
    </row>
    <row r="85" spans="50:55" x14ac:dyDescent="0.25">
      <c r="AX85" s="19" t="s">
        <v>149</v>
      </c>
      <c r="AY85" s="2">
        <v>0</v>
      </c>
      <c r="AZ85" s="2">
        <v>0</v>
      </c>
      <c r="BA85" s="2">
        <v>0</v>
      </c>
      <c r="BB85" s="2">
        <v>0</v>
      </c>
      <c r="BC85" s="2">
        <v>0</v>
      </c>
    </row>
    <row r="86" spans="50:55" x14ac:dyDescent="0.25">
      <c r="AX86" s="19" t="s">
        <v>150</v>
      </c>
      <c r="AY86" s="2">
        <v>28</v>
      </c>
      <c r="AZ86" s="2">
        <v>33</v>
      </c>
      <c r="BA86" s="2">
        <v>7</v>
      </c>
      <c r="BB86" s="2">
        <v>2</v>
      </c>
      <c r="BC86" s="2">
        <v>0</v>
      </c>
    </row>
    <row r="87" spans="50:55" x14ac:dyDescent="0.25">
      <c r="AX87" s="19" t="s">
        <v>151</v>
      </c>
      <c r="AY87" s="2">
        <v>49</v>
      </c>
      <c r="AZ87" s="2">
        <v>9</v>
      </c>
      <c r="BA87" s="2">
        <v>11</v>
      </c>
      <c r="BB87" s="2">
        <v>66</v>
      </c>
      <c r="BC87" s="2">
        <v>42</v>
      </c>
    </row>
    <row r="88" spans="50:55" x14ac:dyDescent="0.25">
      <c r="AX88" s="19" t="s">
        <v>152</v>
      </c>
      <c r="AY88" s="2">
        <v>0</v>
      </c>
      <c r="AZ88" s="2">
        <v>13</v>
      </c>
      <c r="BA88" s="2">
        <v>5</v>
      </c>
      <c r="BB88" s="2">
        <v>2</v>
      </c>
      <c r="BC88" s="2">
        <v>13</v>
      </c>
    </row>
    <row r="89" spans="50:55" x14ac:dyDescent="0.25">
      <c r="AX89" s="19" t="s">
        <v>153</v>
      </c>
      <c r="AY89" s="2">
        <v>6</v>
      </c>
      <c r="AZ89" s="2">
        <v>0</v>
      </c>
      <c r="BA89" s="2">
        <v>0</v>
      </c>
      <c r="BB89" s="2">
        <v>2</v>
      </c>
      <c r="BC89" s="2">
        <v>2</v>
      </c>
    </row>
    <row r="90" spans="50:55" x14ac:dyDescent="0.25">
      <c r="AX90" s="19" t="s">
        <v>154</v>
      </c>
      <c r="AY90" s="2">
        <v>6</v>
      </c>
      <c r="AZ90" s="2">
        <v>9</v>
      </c>
      <c r="BA90" s="2">
        <v>16</v>
      </c>
      <c r="BB90" s="2">
        <v>7</v>
      </c>
      <c r="BC90" s="2">
        <v>5</v>
      </c>
    </row>
    <row r="91" spans="50:55" x14ac:dyDescent="0.25">
      <c r="AX91" s="19" t="s">
        <v>155</v>
      </c>
      <c r="AY91" s="2">
        <v>0</v>
      </c>
      <c r="AZ91" s="2">
        <v>0</v>
      </c>
      <c r="BA91" s="2">
        <v>0</v>
      </c>
      <c r="BB91" s="2">
        <v>0</v>
      </c>
      <c r="BC91" s="2">
        <v>3</v>
      </c>
    </row>
    <row r="92" spans="50:55" x14ac:dyDescent="0.25">
      <c r="AX92" s="19" t="s">
        <v>156</v>
      </c>
      <c r="AY92" s="2">
        <v>2</v>
      </c>
      <c r="AZ92" s="2">
        <v>0</v>
      </c>
      <c r="BA92" s="2">
        <v>1</v>
      </c>
      <c r="BB92" s="2">
        <v>0</v>
      </c>
      <c r="BC92" s="2">
        <v>0</v>
      </c>
    </row>
    <row r="93" spans="50:55" x14ac:dyDescent="0.25">
      <c r="AX93" s="19" t="s">
        <v>157</v>
      </c>
      <c r="AY93" s="2">
        <v>0</v>
      </c>
      <c r="AZ93" s="2">
        <v>0</v>
      </c>
      <c r="BA93" s="2">
        <v>0</v>
      </c>
      <c r="BB93" s="2">
        <v>0</v>
      </c>
      <c r="BC93" s="2">
        <v>0</v>
      </c>
    </row>
    <row r="94" spans="50:55" x14ac:dyDescent="0.25">
      <c r="AX94" s="19" t="s">
        <v>158</v>
      </c>
      <c r="AY94" s="2">
        <v>15</v>
      </c>
      <c r="AZ94" s="2">
        <v>7</v>
      </c>
      <c r="BA94" s="2">
        <v>0</v>
      </c>
      <c r="BB94" s="2">
        <v>0</v>
      </c>
      <c r="BC94" s="2">
        <v>19</v>
      </c>
    </row>
    <row r="95" spans="50:55" x14ac:dyDescent="0.25">
      <c r="AX95" s="19" t="s">
        <v>159</v>
      </c>
      <c r="AY95" s="2">
        <v>9</v>
      </c>
      <c r="AZ95" s="2">
        <v>2</v>
      </c>
      <c r="BA95" s="2">
        <v>0</v>
      </c>
      <c r="BB95" s="2">
        <v>0</v>
      </c>
      <c r="BC95" s="2">
        <v>3</v>
      </c>
    </row>
    <row r="96" spans="50:55" x14ac:dyDescent="0.25">
      <c r="AX96" s="19" t="s">
        <v>160</v>
      </c>
      <c r="AY96" s="2">
        <v>61</v>
      </c>
      <c r="AZ96" s="2">
        <v>54</v>
      </c>
      <c r="BA96" s="2">
        <v>104</v>
      </c>
      <c r="BB96" s="2">
        <v>51</v>
      </c>
      <c r="BC96" s="2">
        <v>82</v>
      </c>
    </row>
    <row r="97" spans="50:55" x14ac:dyDescent="0.25">
      <c r="AX97" s="19" t="s">
        <v>161</v>
      </c>
      <c r="AY97" s="2">
        <v>0</v>
      </c>
      <c r="AZ97" s="2">
        <v>0</v>
      </c>
      <c r="BA97" s="2">
        <v>0</v>
      </c>
      <c r="BB97" s="2">
        <v>3</v>
      </c>
      <c r="BC97" s="2">
        <v>2</v>
      </c>
    </row>
    <row r="98" spans="50:55" x14ac:dyDescent="0.25">
      <c r="AX98" s="19" t="s">
        <v>162</v>
      </c>
      <c r="AY98" s="2">
        <v>7</v>
      </c>
      <c r="AZ98" s="2">
        <v>5</v>
      </c>
      <c r="BA98" s="2">
        <v>0</v>
      </c>
      <c r="BB98" s="2">
        <v>14</v>
      </c>
      <c r="BC98" s="2">
        <v>2</v>
      </c>
    </row>
    <row r="99" spans="50:55" x14ac:dyDescent="0.25">
      <c r="AX99" s="19" t="s">
        <v>163</v>
      </c>
      <c r="AY99" s="2">
        <v>0</v>
      </c>
      <c r="AZ99" s="2">
        <v>0</v>
      </c>
      <c r="BA99" s="2">
        <v>1</v>
      </c>
      <c r="BB99" s="2">
        <v>0</v>
      </c>
      <c r="BC99" s="2">
        <v>0</v>
      </c>
    </row>
    <row r="100" spans="50:55" x14ac:dyDescent="0.25">
      <c r="AX100" s="19" t="s">
        <v>164</v>
      </c>
      <c r="AY100" s="2">
        <v>5</v>
      </c>
      <c r="AZ100" s="2">
        <v>46</v>
      </c>
      <c r="BA100" s="2">
        <v>4</v>
      </c>
      <c r="BB100" s="2">
        <v>12</v>
      </c>
      <c r="BC100" s="2">
        <v>55</v>
      </c>
    </row>
    <row r="101" spans="50:55" x14ac:dyDescent="0.25">
      <c r="AX101" s="19" t="s">
        <v>165</v>
      </c>
      <c r="AY101" s="2">
        <v>3</v>
      </c>
      <c r="AZ101" s="2">
        <v>13</v>
      </c>
      <c r="BA101" s="2">
        <v>1</v>
      </c>
      <c r="BB101" s="2">
        <v>13</v>
      </c>
      <c r="BC101" s="2">
        <v>43</v>
      </c>
    </row>
    <row r="102" spans="50:55" x14ac:dyDescent="0.25">
      <c r="AX102" s="19" t="s">
        <v>166</v>
      </c>
      <c r="AY102" s="2">
        <v>0</v>
      </c>
      <c r="AZ102" s="2">
        <v>1</v>
      </c>
      <c r="BA102" s="2">
        <v>0</v>
      </c>
      <c r="BB102" s="2">
        <v>0</v>
      </c>
      <c r="BC102" s="2">
        <v>0</v>
      </c>
    </row>
    <row r="103" spans="50:55" x14ac:dyDescent="0.25">
      <c r="AX103" s="19" t="s">
        <v>167</v>
      </c>
      <c r="AY103" s="2">
        <v>31</v>
      </c>
      <c r="AZ103" s="2">
        <v>6</v>
      </c>
      <c r="BA103" s="2">
        <v>34</v>
      </c>
      <c r="BB103" s="2">
        <v>48</v>
      </c>
      <c r="BC103" s="2">
        <v>84</v>
      </c>
    </row>
    <row r="104" spans="50:55" x14ac:dyDescent="0.25">
      <c r="AX104" s="19" t="s">
        <v>168</v>
      </c>
      <c r="AY104" s="2">
        <v>18</v>
      </c>
      <c r="AZ104" s="2">
        <v>12</v>
      </c>
      <c r="BA104" s="2">
        <v>22</v>
      </c>
      <c r="BB104" s="2">
        <v>8</v>
      </c>
      <c r="BC104" s="2">
        <v>48</v>
      </c>
    </row>
    <row r="105" spans="50:55" x14ac:dyDescent="0.25">
      <c r="AX105" s="19" t="s">
        <v>169</v>
      </c>
      <c r="AY105" s="2">
        <v>23</v>
      </c>
      <c r="AZ105" s="2">
        <v>0</v>
      </c>
      <c r="BA105" s="2">
        <v>7</v>
      </c>
      <c r="BB105" s="2">
        <v>37</v>
      </c>
      <c r="BC105" s="2">
        <v>40</v>
      </c>
    </row>
    <row r="106" spans="50:55" x14ac:dyDescent="0.25">
      <c r="AX106" s="19" t="s">
        <v>170</v>
      </c>
      <c r="AY106" s="2">
        <v>1</v>
      </c>
      <c r="AZ106" s="2">
        <v>2</v>
      </c>
      <c r="BA106" s="2">
        <v>2</v>
      </c>
      <c r="BB106" s="2">
        <v>0</v>
      </c>
      <c r="BC106" s="2">
        <v>3</v>
      </c>
    </row>
    <row r="107" spans="50:55" x14ac:dyDescent="0.25">
      <c r="AX107" s="19" t="s">
        <v>171</v>
      </c>
      <c r="AY107" s="2">
        <v>0</v>
      </c>
      <c r="AZ107" s="2">
        <v>0</v>
      </c>
      <c r="BA107" s="2">
        <v>4</v>
      </c>
      <c r="BB107" s="2">
        <v>1</v>
      </c>
      <c r="BC107" s="2">
        <v>5</v>
      </c>
    </row>
    <row r="108" spans="50:55" x14ac:dyDescent="0.25">
      <c r="AX108" s="19" t="s">
        <v>172</v>
      </c>
      <c r="AY108" s="2">
        <v>24</v>
      </c>
      <c r="AZ108" s="2">
        <v>33</v>
      </c>
      <c r="BA108" s="2">
        <v>18</v>
      </c>
      <c r="BB108" s="2">
        <v>47</v>
      </c>
      <c r="BC108" s="2">
        <v>10</v>
      </c>
    </row>
    <row r="109" spans="50:55" x14ac:dyDescent="0.25">
      <c r="AX109" s="19" t="s">
        <v>173</v>
      </c>
      <c r="AY109" s="2">
        <v>12</v>
      </c>
      <c r="AZ109" s="2">
        <v>1</v>
      </c>
      <c r="BA109" s="2">
        <v>0</v>
      </c>
      <c r="BB109" s="2">
        <v>0</v>
      </c>
      <c r="BC109" s="2">
        <v>0</v>
      </c>
    </row>
    <row r="110" spans="50:55" x14ac:dyDescent="0.25">
      <c r="AX110" s="19" t="s">
        <v>174</v>
      </c>
      <c r="AY110" s="2">
        <v>1</v>
      </c>
      <c r="AZ110" s="2">
        <v>1</v>
      </c>
      <c r="BA110" s="2">
        <v>3</v>
      </c>
      <c r="BB110" s="2">
        <v>1</v>
      </c>
      <c r="BC110" s="2">
        <v>1</v>
      </c>
    </row>
    <row r="111" spans="50:55" x14ac:dyDescent="0.25">
      <c r="AX111" s="19" t="s">
        <v>175</v>
      </c>
      <c r="AY111" s="2">
        <v>8</v>
      </c>
      <c r="AZ111" s="2">
        <v>20</v>
      </c>
      <c r="BA111" s="2">
        <v>13</v>
      </c>
      <c r="BB111" s="2">
        <v>5</v>
      </c>
      <c r="BC111" s="2">
        <v>22</v>
      </c>
    </row>
    <row r="112" spans="50:55" x14ac:dyDescent="0.25">
      <c r="AX112" s="19" t="s">
        <v>176</v>
      </c>
      <c r="AY112" s="2">
        <v>45</v>
      </c>
      <c r="AZ112" s="2">
        <v>43</v>
      </c>
      <c r="BA112" s="2">
        <v>13</v>
      </c>
      <c r="BB112" s="2">
        <v>28</v>
      </c>
      <c r="BC112" s="2">
        <v>89</v>
      </c>
    </row>
    <row r="113" spans="50:55" x14ac:dyDescent="0.25">
      <c r="AX113" s="19" t="s">
        <v>177</v>
      </c>
      <c r="AY113" s="2">
        <v>0</v>
      </c>
      <c r="AZ113" s="2">
        <v>3</v>
      </c>
      <c r="BA113" s="2">
        <v>25</v>
      </c>
      <c r="BB113" s="2">
        <v>26</v>
      </c>
      <c r="BC113" s="2">
        <v>41</v>
      </c>
    </row>
    <row r="114" spans="50:55" x14ac:dyDescent="0.25">
      <c r="AX114" s="19" t="s">
        <v>178</v>
      </c>
      <c r="AY114" s="2">
        <v>1</v>
      </c>
      <c r="AZ114" s="2">
        <v>2</v>
      </c>
      <c r="BA114" s="2">
        <v>0</v>
      </c>
      <c r="BB114" s="2">
        <v>3</v>
      </c>
      <c r="BC114" s="2">
        <v>2</v>
      </c>
    </row>
    <row r="115" spans="50:55" x14ac:dyDescent="0.25">
      <c r="AX115" s="19" t="s">
        <v>179</v>
      </c>
      <c r="AY115" s="2">
        <v>0</v>
      </c>
      <c r="AZ115" s="2">
        <v>2</v>
      </c>
      <c r="BA115" s="2">
        <v>0</v>
      </c>
      <c r="BB115" s="2">
        <v>1</v>
      </c>
      <c r="BC115" s="2">
        <v>18</v>
      </c>
    </row>
    <row r="116" spans="50:55" x14ac:dyDescent="0.25">
      <c r="AX116" s="19" t="s">
        <v>180</v>
      </c>
      <c r="AY116" s="2">
        <v>0</v>
      </c>
      <c r="AZ116" s="2">
        <v>0</v>
      </c>
      <c r="BA116" s="2">
        <v>1</v>
      </c>
      <c r="BB116" s="2">
        <v>1</v>
      </c>
      <c r="BC116" s="2">
        <v>2</v>
      </c>
    </row>
    <row r="117" spans="50:55" x14ac:dyDescent="0.25">
      <c r="AX117" s="19" t="s">
        <v>181</v>
      </c>
      <c r="AY117" s="2">
        <v>150</v>
      </c>
      <c r="AZ117" s="2">
        <v>71</v>
      </c>
      <c r="BA117" s="2">
        <v>78</v>
      </c>
      <c r="BB117" s="2">
        <v>52</v>
      </c>
      <c r="BC117" s="2">
        <v>175</v>
      </c>
    </row>
    <row r="118" spans="50:55" x14ac:dyDescent="0.25">
      <c r="AX118" s="19" t="s">
        <v>182</v>
      </c>
      <c r="AY118" s="2">
        <v>9</v>
      </c>
      <c r="AZ118" s="2">
        <v>6</v>
      </c>
      <c r="BA118" s="2">
        <v>0</v>
      </c>
      <c r="BB118" s="2">
        <v>0</v>
      </c>
      <c r="BC118" s="2">
        <v>0</v>
      </c>
    </row>
    <row r="119" spans="50:55" x14ac:dyDescent="0.25">
      <c r="AX119" s="19" t="s">
        <v>183</v>
      </c>
      <c r="AY119" s="2">
        <v>0</v>
      </c>
      <c r="AZ119" s="2">
        <v>2</v>
      </c>
      <c r="BA119" s="2">
        <v>2</v>
      </c>
      <c r="BB119" s="2">
        <v>1</v>
      </c>
      <c r="BC119" s="2">
        <v>0</v>
      </c>
    </row>
    <row r="120" spans="50:55" x14ac:dyDescent="0.25">
      <c r="AX120" s="19" t="s">
        <v>184</v>
      </c>
      <c r="AY120" s="2">
        <v>12</v>
      </c>
      <c r="AZ120" s="2">
        <v>47</v>
      </c>
      <c r="BA120" s="2">
        <v>18</v>
      </c>
      <c r="BB120" s="2">
        <v>55</v>
      </c>
      <c r="BC120" s="2">
        <v>89</v>
      </c>
    </row>
    <row r="121" spans="50:55" x14ac:dyDescent="0.25">
      <c r="AX121" s="19" t="s">
        <v>185</v>
      </c>
      <c r="AY121" s="2">
        <v>3</v>
      </c>
      <c r="AZ121" s="2">
        <v>2</v>
      </c>
      <c r="BA121" s="2">
        <v>0</v>
      </c>
      <c r="BB121" s="2">
        <v>0</v>
      </c>
      <c r="BC121" s="2">
        <v>0</v>
      </c>
    </row>
    <row r="122" spans="50:55" x14ac:dyDescent="0.25">
      <c r="AX122" s="19" t="s">
        <v>186</v>
      </c>
      <c r="AY122" s="2">
        <v>33</v>
      </c>
      <c r="AZ122" s="2">
        <v>12</v>
      </c>
      <c r="BA122" s="2">
        <v>12</v>
      </c>
      <c r="BB122" s="2">
        <v>8</v>
      </c>
      <c r="BC122" s="2">
        <v>38</v>
      </c>
    </row>
    <row r="123" spans="50:55" x14ac:dyDescent="0.25">
      <c r="AX123" s="19" t="s">
        <v>279</v>
      </c>
      <c r="AY123" s="2">
        <v>3</v>
      </c>
      <c r="AZ123" s="2">
        <v>12</v>
      </c>
      <c r="BA123" s="2">
        <v>1</v>
      </c>
      <c r="BB123" s="2">
        <v>7</v>
      </c>
      <c r="BC123" s="2">
        <v>14</v>
      </c>
    </row>
    <row r="124" spans="50:55" x14ac:dyDescent="0.25">
      <c r="AX124" s="19" t="s">
        <v>187</v>
      </c>
      <c r="AY124" s="2">
        <v>74</v>
      </c>
      <c r="AZ124" s="2">
        <v>55</v>
      </c>
      <c r="BA124" s="2">
        <v>180</v>
      </c>
      <c r="BB124" s="2">
        <v>99</v>
      </c>
      <c r="BC124" s="2">
        <v>290</v>
      </c>
    </row>
    <row r="125" spans="50:55" x14ac:dyDescent="0.25">
      <c r="AX125" s="19" t="s">
        <v>188</v>
      </c>
      <c r="AY125" s="2">
        <v>15</v>
      </c>
      <c r="AZ125" s="2">
        <v>13</v>
      </c>
      <c r="BA125" s="2">
        <v>22</v>
      </c>
      <c r="BB125" s="2">
        <v>23</v>
      </c>
      <c r="BC125" s="2">
        <v>49</v>
      </c>
    </row>
    <row r="126" spans="50:55" x14ac:dyDescent="0.25">
      <c r="AX126" s="19" t="s">
        <v>189</v>
      </c>
      <c r="AY126" s="2">
        <v>3</v>
      </c>
      <c r="AZ126" s="2">
        <v>4</v>
      </c>
      <c r="BA126" s="2">
        <v>2</v>
      </c>
      <c r="BB126" s="2">
        <v>0</v>
      </c>
      <c r="BC126" s="2">
        <v>4</v>
      </c>
    </row>
    <row r="127" spans="50:55" x14ac:dyDescent="0.25">
      <c r="AX127" s="19" t="s">
        <v>265</v>
      </c>
      <c r="AY127" s="2">
        <v>0</v>
      </c>
      <c r="AZ127" s="2">
        <v>1</v>
      </c>
      <c r="BA127" s="2">
        <v>4</v>
      </c>
      <c r="BB127" s="2">
        <v>1</v>
      </c>
      <c r="BC127" s="2">
        <v>1</v>
      </c>
    </row>
    <row r="128" spans="50:55" x14ac:dyDescent="0.25">
      <c r="AX128" s="19" t="s">
        <v>190</v>
      </c>
      <c r="AY128" s="2">
        <v>1</v>
      </c>
      <c r="AZ128" s="2">
        <v>3</v>
      </c>
      <c r="BA128" s="2">
        <v>4</v>
      </c>
      <c r="BB128" s="2">
        <v>2</v>
      </c>
      <c r="BC128" s="2">
        <v>11</v>
      </c>
    </row>
    <row r="129" spans="50:64" x14ac:dyDescent="0.25">
      <c r="AX129" s="19" t="s">
        <v>191</v>
      </c>
      <c r="AY129" s="2">
        <v>41</v>
      </c>
      <c r="AZ129" s="2">
        <v>55</v>
      </c>
      <c r="BA129" s="2">
        <v>42</v>
      </c>
      <c r="BB129" s="2">
        <v>42</v>
      </c>
      <c r="BC129" s="2">
        <v>24</v>
      </c>
    </row>
    <row r="130" spans="50:64" x14ac:dyDescent="0.25">
      <c r="AX130" s="19" t="s">
        <v>192</v>
      </c>
      <c r="AY130" s="2">
        <v>45</v>
      </c>
      <c r="AZ130" s="2">
        <v>10</v>
      </c>
      <c r="BA130" s="2">
        <v>7</v>
      </c>
      <c r="BB130" s="2">
        <v>36</v>
      </c>
      <c r="BC130" s="2">
        <v>49</v>
      </c>
    </row>
    <row r="131" spans="50:64" x14ac:dyDescent="0.25">
      <c r="AX131" s="19" t="s">
        <v>193</v>
      </c>
      <c r="AY131" s="2">
        <v>3</v>
      </c>
      <c r="AZ131" s="2">
        <v>0</v>
      </c>
      <c r="BA131" s="2">
        <v>2</v>
      </c>
      <c r="BB131" s="2">
        <v>15</v>
      </c>
      <c r="BC131" s="2">
        <v>10</v>
      </c>
    </row>
    <row r="132" spans="50:64" x14ac:dyDescent="0.25">
      <c r="AX132" s="19" t="s">
        <v>194</v>
      </c>
      <c r="AY132" s="2">
        <v>7</v>
      </c>
      <c r="AZ132" s="2">
        <v>7</v>
      </c>
      <c r="BA132" s="2">
        <v>5</v>
      </c>
      <c r="BB132" s="2">
        <v>5</v>
      </c>
      <c r="BC132" s="2">
        <v>21</v>
      </c>
    </row>
    <row r="133" spans="50:64" x14ac:dyDescent="0.25">
      <c r="AX133" s="19" t="s">
        <v>195</v>
      </c>
      <c r="AY133" s="2">
        <v>5</v>
      </c>
      <c r="AZ133" s="2">
        <v>8</v>
      </c>
      <c r="BA133" s="2">
        <v>1</v>
      </c>
      <c r="BB133" s="2">
        <v>2</v>
      </c>
      <c r="BC133" s="2">
        <v>1</v>
      </c>
    </row>
    <row r="134" spans="50:64" x14ac:dyDescent="0.25">
      <c r="AX134" s="19" t="s">
        <v>196</v>
      </c>
      <c r="AY134" s="2">
        <v>0</v>
      </c>
      <c r="AZ134" s="2">
        <v>0</v>
      </c>
      <c r="BA134" s="2">
        <v>0</v>
      </c>
      <c r="BB134" s="2">
        <v>0</v>
      </c>
      <c r="BC134" s="2">
        <v>0</v>
      </c>
    </row>
    <row r="135" spans="50:64" x14ac:dyDescent="0.25">
      <c r="AX135" s="19" t="s">
        <v>197</v>
      </c>
      <c r="AY135" s="2">
        <v>46</v>
      </c>
      <c r="AZ135" s="2">
        <v>38</v>
      </c>
      <c r="BA135" s="2">
        <v>19</v>
      </c>
      <c r="BB135" s="2">
        <v>46</v>
      </c>
      <c r="BC135" s="2">
        <v>27</v>
      </c>
    </row>
    <row r="136" spans="50:64" x14ac:dyDescent="0.25">
      <c r="AX136" s="19" t="s">
        <v>198</v>
      </c>
      <c r="AY136" s="2">
        <v>200</v>
      </c>
      <c r="AZ136" s="2">
        <v>66</v>
      </c>
      <c r="BA136" s="2">
        <v>98</v>
      </c>
      <c r="BB136" s="2">
        <v>97</v>
      </c>
      <c r="BC136" s="2">
        <v>219</v>
      </c>
    </row>
    <row r="137" spans="50:64" x14ac:dyDescent="0.25">
      <c r="AX137" s="19" t="s">
        <v>199</v>
      </c>
      <c r="AY137" s="2">
        <v>69</v>
      </c>
      <c r="AZ137" s="2">
        <v>12</v>
      </c>
      <c r="BA137" s="2">
        <v>21</v>
      </c>
      <c r="BB137" s="2">
        <v>25</v>
      </c>
      <c r="BC137" s="2">
        <v>46</v>
      </c>
    </row>
    <row r="138" spans="50:64" x14ac:dyDescent="0.25">
      <c r="AX138" s="19" t="s">
        <v>200</v>
      </c>
      <c r="AY138" s="2">
        <v>10</v>
      </c>
      <c r="AZ138" s="2">
        <v>20</v>
      </c>
      <c r="BA138" s="2">
        <v>1</v>
      </c>
      <c r="BB138" s="2">
        <v>9</v>
      </c>
      <c r="BC138" s="2">
        <v>5</v>
      </c>
    </row>
    <row r="139" spans="50:64" x14ac:dyDescent="0.25">
      <c r="AX139" s="19" t="s">
        <v>201</v>
      </c>
      <c r="AY139" s="2">
        <v>0</v>
      </c>
      <c r="AZ139" s="2">
        <v>0</v>
      </c>
      <c r="BA139" s="2">
        <v>0</v>
      </c>
      <c r="BB139" s="2">
        <v>0</v>
      </c>
      <c r="BC139" s="2">
        <v>0</v>
      </c>
    </row>
    <row r="140" spans="50:64" x14ac:dyDescent="0.25">
      <c r="AX140" s="19" t="s">
        <v>202</v>
      </c>
      <c r="AY140" s="2">
        <v>73</v>
      </c>
      <c r="AZ140" s="2">
        <v>37</v>
      </c>
      <c r="BA140" s="2">
        <v>52</v>
      </c>
      <c r="BB140" s="2">
        <v>44</v>
      </c>
      <c r="BC140" s="2">
        <v>59</v>
      </c>
    </row>
    <row r="142" spans="50:64" x14ac:dyDescent="0.25">
      <c r="AY142" s="27" t="s">
        <v>51</v>
      </c>
      <c r="AZ142" s="27" t="s">
        <v>52</v>
      </c>
      <c r="BA142" s="27" t="s">
        <v>53</v>
      </c>
      <c r="BB142" s="27" t="s">
        <v>54</v>
      </c>
      <c r="BC142" s="27" t="s">
        <v>55</v>
      </c>
      <c r="BD142" s="27" t="s">
        <v>56</v>
      </c>
      <c r="BE142" s="27" t="s">
        <v>57</v>
      </c>
      <c r="BF142" s="27" t="s">
        <v>58</v>
      </c>
      <c r="BG142" s="27" t="s">
        <v>59</v>
      </c>
      <c r="BH142" s="27" t="s">
        <v>60</v>
      </c>
      <c r="BI142" s="27" t="s">
        <v>61</v>
      </c>
      <c r="BJ142" s="27" t="s">
        <v>62</v>
      </c>
      <c r="BK142" s="27" t="s">
        <v>63</v>
      </c>
      <c r="BL142" s="27" t="s">
        <v>64</v>
      </c>
    </row>
    <row r="143" spans="50:64" x14ac:dyDescent="0.25">
      <c r="AY143">
        <f>IF(COUNTIF(AY7:AY140,"&gt;0")=0,"",COUNTIF(AY7:AY140,"&gt;0"))</f>
        <v>92</v>
      </c>
      <c r="AZ143">
        <f>IF(COUNTIF(AZ7:AZ140,"&gt;0")=0,"",COUNTIF(AZ7:AZ140,"&gt;0"))</f>
        <v>98</v>
      </c>
      <c r="BA143">
        <f>IF(COUNTIF(BA7:BA140,"&gt;0")=0,"",COUNTIF(BA7:BA140,"&gt;0"))</f>
        <v>92</v>
      </c>
      <c r="BB143">
        <f>IF(COUNTIF(BB7:BB140,"&gt;0")=0,"",COUNTIF(BB7:BB140,"&gt;0"))</f>
        <v>87</v>
      </c>
      <c r="BC143">
        <f>IF(COUNTIF(BC7:BC140,"&gt;0")=0,"",COUNTIF(BC7:BC140,"&gt;0"))</f>
        <v>97</v>
      </c>
      <c r="BD143" t="str">
        <f t="shared" ref="BD143:BL143" si="15">IF(COUNTIF(BD7:BD140,"&gt;0")=0,"",COUNTIF(BD7:BD140,"&gt;0"))</f>
        <v/>
      </c>
      <c r="BE143" t="str">
        <f t="shared" si="15"/>
        <v/>
      </c>
      <c r="BF143" t="str">
        <f t="shared" si="15"/>
        <v/>
      </c>
      <c r="BG143" t="str">
        <f t="shared" si="15"/>
        <v/>
      </c>
      <c r="BH143" t="str">
        <f t="shared" si="15"/>
        <v/>
      </c>
      <c r="BI143" t="str">
        <f t="shared" si="15"/>
        <v/>
      </c>
      <c r="BJ143" t="str">
        <f t="shared" si="15"/>
        <v/>
      </c>
      <c r="BK143" t="str">
        <f t="shared" si="15"/>
        <v/>
      </c>
      <c r="BL143" t="str">
        <f t="shared" si="15"/>
        <v/>
      </c>
    </row>
  </sheetData>
  <pageMargins left="0.7" right="0.7" top="0.75" bottom="0.75" header="0.3" footer="0.3"/>
  <pageSetup orientation="portrait" horizontalDpi="1200"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 sqref="B1"/>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0"/>
  <sheetViews>
    <sheetView topLeftCell="E1" workbookViewId="0">
      <selection activeCell="G8" sqref="G8"/>
    </sheetView>
  </sheetViews>
  <sheetFormatPr defaultRowHeight="15" x14ac:dyDescent="0.25"/>
  <cols>
    <col min="2" max="2" width="13.140625" bestFit="1" customWidth="1"/>
    <col min="3" max="3" width="16.5703125" bestFit="1" customWidth="1"/>
    <col min="4" max="5" width="16.5703125" customWidth="1"/>
    <col min="6" max="6" width="16.28515625" customWidth="1"/>
    <col min="7" max="7" width="27.85546875" customWidth="1"/>
    <col min="8" max="8" width="16" customWidth="1"/>
    <col min="9" max="9" width="20.140625" customWidth="1"/>
    <col min="10" max="10" width="21.42578125" bestFit="1" customWidth="1"/>
    <col min="11" max="11" width="11.28515625" bestFit="1" customWidth="1"/>
    <col min="12" max="19" width="11.28515625" customWidth="1"/>
    <col min="22" max="22" width="4.42578125" customWidth="1"/>
    <col min="23" max="23" width="13.140625" bestFit="1" customWidth="1"/>
    <col min="24" max="24" width="16.5703125" bestFit="1" customWidth="1"/>
    <col min="25" max="25" width="3.5703125" customWidth="1"/>
    <col min="26" max="26" width="9.140625" style="10"/>
    <col min="28" max="28" width="13.140625" bestFit="1" customWidth="1"/>
    <col min="29" max="29" width="16.5703125" bestFit="1" customWidth="1"/>
    <col min="30" max="30" width="3.28515625" customWidth="1"/>
    <col min="31" max="31" width="9.140625" style="10"/>
  </cols>
  <sheetData>
    <row r="1" spans="1:31" s="17" customFormat="1" ht="14.45" customHeight="1" x14ac:dyDescent="0.25">
      <c r="A1" s="38"/>
      <c r="B1" s="130" t="s">
        <v>297</v>
      </c>
      <c r="C1" s="130"/>
      <c r="D1" s="38"/>
      <c r="E1" s="131" t="s">
        <v>299</v>
      </c>
      <c r="F1" s="131"/>
      <c r="G1" s="131"/>
      <c r="H1" s="131"/>
      <c r="I1" s="131"/>
      <c r="J1" s="131"/>
      <c r="K1" s="131"/>
      <c r="L1" s="131"/>
      <c r="M1" s="131"/>
      <c r="N1" s="131"/>
      <c r="O1" s="131"/>
      <c r="P1" s="131"/>
      <c r="Q1" s="131"/>
      <c r="R1" s="131"/>
      <c r="S1" s="131"/>
      <c r="T1" s="131"/>
      <c r="U1" s="38"/>
      <c r="W1" s="130" t="s">
        <v>281</v>
      </c>
      <c r="X1" s="130"/>
      <c r="Y1" s="130"/>
      <c r="Z1" s="130"/>
      <c r="AB1" s="130" t="s">
        <v>282</v>
      </c>
      <c r="AC1" s="130"/>
      <c r="AD1" s="130"/>
      <c r="AE1" s="130"/>
    </row>
    <row r="2" spans="1:31" x14ac:dyDescent="0.25">
      <c r="J2" s="44"/>
      <c r="K2" s="44"/>
      <c r="L2" s="44"/>
      <c r="M2" s="44"/>
      <c r="N2" s="44"/>
      <c r="O2" s="44"/>
      <c r="P2" s="44"/>
      <c r="Q2" s="44"/>
      <c r="R2" s="44"/>
      <c r="S2" s="44"/>
      <c r="T2" s="44"/>
      <c r="U2" s="44"/>
    </row>
    <row r="3" spans="1:31" x14ac:dyDescent="0.25">
      <c r="B3" s="18" t="s">
        <v>47</v>
      </c>
      <c r="C3" t="s" vm="2">
        <v>262</v>
      </c>
      <c r="E3" s="18" t="s">
        <v>47</v>
      </c>
      <c r="F3" t="s" vm="2">
        <v>262</v>
      </c>
      <c r="M3" t="s">
        <v>329</v>
      </c>
      <c r="N3" t="s">
        <v>48</v>
      </c>
      <c r="O3" t="s">
        <v>2</v>
      </c>
      <c r="P3" t="s">
        <v>280</v>
      </c>
      <c r="Q3" t="s">
        <v>3</v>
      </c>
      <c r="R3" t="s">
        <v>270</v>
      </c>
      <c r="S3" t="s">
        <v>278</v>
      </c>
      <c r="T3" t="s">
        <v>298</v>
      </c>
      <c r="W3" s="18" t="s">
        <v>47</v>
      </c>
      <c r="X3" t="s" vm="2">
        <v>262</v>
      </c>
      <c r="AB3" s="18" t="s">
        <v>47</v>
      </c>
      <c r="AC3" t="s" vm="2">
        <v>262</v>
      </c>
    </row>
    <row r="4" spans="1:31" x14ac:dyDescent="0.25">
      <c r="M4" s="21" t="s">
        <v>51</v>
      </c>
      <c r="N4">
        <f>VLOOKUP(M4, $E$7:$K$1048576, 7,FALSE)</f>
        <v>25</v>
      </c>
      <c r="O4">
        <f>VLOOKUP(M4, $E$7:$K$1048576, 2,FALSE)</f>
        <v>0</v>
      </c>
      <c r="P4">
        <f>VLOOKUP(M4, $E$7:$K$1048576, 3,FALSE)</f>
        <v>13</v>
      </c>
      <c r="Q4">
        <f>VLOOKUP(M4, $E$7:$K$1048576, 4,FALSE)</f>
        <v>8</v>
      </c>
      <c r="R4">
        <f>VLOOKUP(M4, $E$7:$K$1048576, 5,FALSE)</f>
        <v>2</v>
      </c>
      <c r="S4">
        <f>VLOOKUP(M4, $E$7:$K$1048576, 6,FALSE)</f>
        <v>2</v>
      </c>
      <c r="T4">
        <f>R4+S4</f>
        <v>4</v>
      </c>
    </row>
    <row r="5" spans="1:31" x14ac:dyDescent="0.25">
      <c r="B5" s="18" t="s">
        <v>44</v>
      </c>
      <c r="C5" t="s">
        <v>43</v>
      </c>
      <c r="E5" s="18" t="s">
        <v>43</v>
      </c>
      <c r="F5" s="18" t="s">
        <v>49</v>
      </c>
      <c r="M5" s="20" t="s">
        <v>52</v>
      </c>
      <c r="N5">
        <f>VLOOKUP(M5, $E$7:$K$1048576, 7,FALSE)</f>
        <v>30</v>
      </c>
      <c r="O5">
        <f>VLOOKUP(M5, $E$7:$K$1048576, 2,FALSE)</f>
        <v>0</v>
      </c>
      <c r="P5">
        <f>VLOOKUP(M5, $E$7:$K$1048576, 3,FALSE)</f>
        <v>18</v>
      </c>
      <c r="Q5">
        <f t="shared" ref="Q5:Q16" si="0">VLOOKUP(M5, $E$7:$K$1048576, 4,FALSE)</f>
        <v>8</v>
      </c>
      <c r="R5">
        <f t="shared" ref="R5:R17" si="1">VLOOKUP(M5, $E$7:$K$1048576, 5,FALSE)</f>
        <v>2</v>
      </c>
      <c r="S5">
        <f t="shared" ref="S5:S17" si="2">VLOOKUP(M5, $E$7:$K$1048576, 6,FALSE)</f>
        <v>2</v>
      </c>
      <c r="T5">
        <f t="shared" ref="T5:T17" si="3">R5+S5</f>
        <v>4</v>
      </c>
      <c r="W5" s="18" t="s">
        <v>44</v>
      </c>
      <c r="X5" t="s">
        <v>43</v>
      </c>
      <c r="Z5" s="10">
        <f>MAX(X6:X1048576)</f>
        <v>9</v>
      </c>
      <c r="AB5" s="18" t="s">
        <v>44</v>
      </c>
      <c r="AC5" t="s">
        <v>43</v>
      </c>
      <c r="AE5" s="10">
        <f>COUNTIF(AC6:AC1048576,"0")</f>
        <v>4</v>
      </c>
    </row>
    <row r="6" spans="1:31" x14ac:dyDescent="0.25">
      <c r="B6" s="19" t="s">
        <v>45</v>
      </c>
      <c r="C6" s="2">
        <v>25</v>
      </c>
      <c r="D6" s="2"/>
      <c r="E6" s="18" t="s">
        <v>44</v>
      </c>
      <c r="F6" t="s">
        <v>2</v>
      </c>
      <c r="G6" t="s">
        <v>266</v>
      </c>
      <c r="H6" t="s">
        <v>50</v>
      </c>
      <c r="I6" t="s">
        <v>267</v>
      </c>
      <c r="J6" t="s">
        <v>268</v>
      </c>
      <c r="K6" t="s">
        <v>46</v>
      </c>
      <c r="M6" s="20" t="s">
        <v>53</v>
      </c>
      <c r="N6">
        <f t="shared" ref="N6:N16" si="4">VLOOKUP(M6, $E$7:$K$1048576, 7,FALSE)</f>
        <v>15</v>
      </c>
      <c r="O6">
        <f t="shared" ref="O6:O16" si="5">VLOOKUP(M6, $E$7:$K$1048576, 2,FALSE)</f>
        <v>0</v>
      </c>
      <c r="P6">
        <f t="shared" ref="P6:P17" si="6">VLOOKUP(M6, $E$7:$K$1048576, 3,FALSE)</f>
        <v>3</v>
      </c>
      <c r="Q6">
        <f t="shared" si="0"/>
        <v>4</v>
      </c>
      <c r="R6">
        <f t="shared" si="1"/>
        <v>4</v>
      </c>
      <c r="S6">
        <f t="shared" si="2"/>
        <v>4</v>
      </c>
      <c r="T6">
        <f t="shared" si="3"/>
        <v>8</v>
      </c>
      <c r="W6" s="19" t="s">
        <v>271</v>
      </c>
      <c r="X6" s="2">
        <v>2</v>
      </c>
      <c r="Z6" s="10">
        <f>MATCH(Z5,X6:X1048576,0)</f>
        <v>14</v>
      </c>
      <c r="AB6" s="19" t="s">
        <v>271</v>
      </c>
      <c r="AC6" s="2">
        <v>2</v>
      </c>
      <c r="AE6" s="10">
        <f>COUNTA(AC6:AC1048576)</f>
        <v>35</v>
      </c>
    </row>
    <row r="7" spans="1:31" x14ac:dyDescent="0.25">
      <c r="B7" s="19" t="s">
        <v>283</v>
      </c>
      <c r="C7" s="2">
        <v>30</v>
      </c>
      <c r="D7" s="2"/>
      <c r="E7" s="19" t="s">
        <v>51</v>
      </c>
      <c r="F7" s="2">
        <v>0</v>
      </c>
      <c r="G7" s="2">
        <v>13</v>
      </c>
      <c r="H7" s="2">
        <v>8</v>
      </c>
      <c r="I7" s="2">
        <v>2</v>
      </c>
      <c r="J7" s="2">
        <v>2</v>
      </c>
      <c r="K7" s="2">
        <v>25</v>
      </c>
      <c r="L7" s="2"/>
      <c r="M7" s="20" t="s">
        <v>54</v>
      </c>
      <c r="N7">
        <f t="shared" si="4"/>
        <v>17</v>
      </c>
      <c r="O7">
        <f t="shared" si="5"/>
        <v>0</v>
      </c>
      <c r="P7">
        <f t="shared" si="6"/>
        <v>11</v>
      </c>
      <c r="Q7">
        <f t="shared" si="0"/>
        <v>3</v>
      </c>
      <c r="R7">
        <f t="shared" si="1"/>
        <v>2</v>
      </c>
      <c r="S7">
        <f t="shared" si="2"/>
        <v>1</v>
      </c>
      <c r="T7">
        <f t="shared" si="3"/>
        <v>3</v>
      </c>
      <c r="W7" s="19" t="s">
        <v>272</v>
      </c>
      <c r="X7" s="2">
        <v>2</v>
      </c>
      <c r="Z7" s="10" t="str">
        <f>INDEX(W6:W1048576,Z6,0)</f>
        <v>16/12/18</v>
      </c>
      <c r="AB7" s="19" t="s">
        <v>272</v>
      </c>
      <c r="AC7" s="2">
        <v>2</v>
      </c>
      <c r="AE7" s="22">
        <f>AE5/AE6</f>
        <v>0.11428571428571428</v>
      </c>
    </row>
    <row r="8" spans="1:31" x14ac:dyDescent="0.25">
      <c r="B8" s="19" t="s">
        <v>284</v>
      </c>
      <c r="C8" s="2">
        <v>15</v>
      </c>
      <c r="E8" s="19" t="s">
        <v>52</v>
      </c>
      <c r="F8" s="2">
        <v>0</v>
      </c>
      <c r="G8" s="2">
        <v>18</v>
      </c>
      <c r="H8" s="2">
        <v>8</v>
      </c>
      <c r="I8" s="2">
        <v>2</v>
      </c>
      <c r="J8" s="2">
        <v>2</v>
      </c>
      <c r="K8" s="2">
        <v>30</v>
      </c>
      <c r="L8" s="2"/>
      <c r="M8" s="20" t="s">
        <v>55</v>
      </c>
      <c r="N8">
        <f t="shared" si="4"/>
        <v>17</v>
      </c>
      <c r="O8">
        <f t="shared" si="5"/>
        <v>1</v>
      </c>
      <c r="P8">
        <f t="shared" si="6"/>
        <v>4</v>
      </c>
      <c r="Q8">
        <f t="shared" si="0"/>
        <v>10</v>
      </c>
      <c r="R8">
        <f t="shared" si="1"/>
        <v>2</v>
      </c>
      <c r="S8">
        <f t="shared" si="2"/>
        <v>0</v>
      </c>
      <c r="T8">
        <f t="shared" si="3"/>
        <v>2</v>
      </c>
      <c r="W8" s="19" t="s">
        <v>273</v>
      </c>
      <c r="X8" s="2">
        <v>3</v>
      </c>
      <c r="AB8" s="19" t="s">
        <v>273</v>
      </c>
      <c r="AC8" s="2">
        <v>3</v>
      </c>
    </row>
    <row r="9" spans="1:31" x14ac:dyDescent="0.25">
      <c r="B9" s="19" t="s">
        <v>285</v>
      </c>
      <c r="C9" s="2">
        <v>17</v>
      </c>
      <c r="E9" s="19" t="s">
        <v>53</v>
      </c>
      <c r="F9" s="2">
        <v>0</v>
      </c>
      <c r="G9" s="2">
        <v>3</v>
      </c>
      <c r="H9" s="2">
        <v>4</v>
      </c>
      <c r="I9" s="2">
        <v>4</v>
      </c>
      <c r="J9" s="2">
        <v>4</v>
      </c>
      <c r="K9" s="2">
        <v>15</v>
      </c>
      <c r="M9" s="20" t="s">
        <v>56</v>
      </c>
      <c r="N9" t="e">
        <f t="shared" si="4"/>
        <v>#N/A</v>
      </c>
      <c r="O9" t="e">
        <f t="shared" si="5"/>
        <v>#N/A</v>
      </c>
      <c r="P9" t="e">
        <f t="shared" si="6"/>
        <v>#N/A</v>
      </c>
      <c r="Q9" t="e">
        <f t="shared" si="0"/>
        <v>#N/A</v>
      </c>
      <c r="R9" t="e">
        <f t="shared" si="1"/>
        <v>#N/A</v>
      </c>
      <c r="S9" t="e">
        <f t="shared" si="2"/>
        <v>#N/A</v>
      </c>
      <c r="T9" t="e">
        <f t="shared" si="3"/>
        <v>#N/A</v>
      </c>
      <c r="W9" s="19" t="s">
        <v>274</v>
      </c>
      <c r="X9" s="2">
        <v>3</v>
      </c>
      <c r="AB9" s="19" t="s">
        <v>274</v>
      </c>
      <c r="AC9" s="2">
        <v>3</v>
      </c>
    </row>
    <row r="10" spans="1:31" x14ac:dyDescent="0.25">
      <c r="B10" s="19" t="s">
        <v>286</v>
      </c>
      <c r="C10" s="2">
        <v>17</v>
      </c>
      <c r="E10" s="19" t="s">
        <v>54</v>
      </c>
      <c r="F10" s="2">
        <v>0</v>
      </c>
      <c r="G10" s="2">
        <v>11</v>
      </c>
      <c r="H10" s="2">
        <v>3</v>
      </c>
      <c r="I10" s="2">
        <v>2</v>
      </c>
      <c r="J10" s="2">
        <v>1</v>
      </c>
      <c r="K10" s="2">
        <v>17</v>
      </c>
      <c r="M10" s="20" t="s">
        <v>57</v>
      </c>
      <c r="N10" t="e">
        <f t="shared" si="4"/>
        <v>#N/A</v>
      </c>
      <c r="O10" t="e">
        <f t="shared" si="5"/>
        <v>#N/A</v>
      </c>
      <c r="P10" t="e">
        <f t="shared" si="6"/>
        <v>#N/A</v>
      </c>
      <c r="Q10" t="e">
        <f t="shared" si="0"/>
        <v>#N/A</v>
      </c>
      <c r="R10" t="e">
        <f t="shared" si="1"/>
        <v>#N/A</v>
      </c>
      <c r="S10" t="e">
        <f t="shared" si="2"/>
        <v>#N/A</v>
      </c>
      <c r="T10" t="e">
        <f t="shared" si="3"/>
        <v>#N/A</v>
      </c>
      <c r="W10" s="19" t="s">
        <v>275</v>
      </c>
      <c r="X10" s="2">
        <v>3</v>
      </c>
      <c r="AB10" s="19" t="s">
        <v>275</v>
      </c>
      <c r="AC10" s="2">
        <v>3</v>
      </c>
    </row>
    <row r="11" spans="1:31" x14ac:dyDescent="0.25">
      <c r="B11" s="19" t="s">
        <v>46</v>
      </c>
      <c r="C11" s="2">
        <v>104</v>
      </c>
      <c r="E11" s="19" t="s">
        <v>55</v>
      </c>
      <c r="F11" s="2">
        <v>1</v>
      </c>
      <c r="G11" s="2">
        <v>4</v>
      </c>
      <c r="H11" s="2">
        <v>10</v>
      </c>
      <c r="I11" s="2">
        <v>2</v>
      </c>
      <c r="J11" s="2">
        <v>0</v>
      </c>
      <c r="K11" s="2">
        <v>17</v>
      </c>
      <c r="M11" s="20" t="s">
        <v>58</v>
      </c>
      <c r="N11" t="e">
        <f t="shared" si="4"/>
        <v>#N/A</v>
      </c>
      <c r="O11" t="e">
        <f t="shared" si="5"/>
        <v>#N/A</v>
      </c>
      <c r="P11" t="e">
        <f t="shared" si="6"/>
        <v>#N/A</v>
      </c>
      <c r="Q11" t="e">
        <f t="shared" si="0"/>
        <v>#N/A</v>
      </c>
      <c r="R11" t="e">
        <f t="shared" si="1"/>
        <v>#N/A</v>
      </c>
      <c r="S11" t="e">
        <f t="shared" si="2"/>
        <v>#N/A</v>
      </c>
      <c r="T11" t="e">
        <f t="shared" si="3"/>
        <v>#N/A</v>
      </c>
      <c r="W11" s="19" t="s">
        <v>276</v>
      </c>
      <c r="X11" s="2">
        <v>8</v>
      </c>
      <c r="AB11" s="19" t="s">
        <v>276</v>
      </c>
      <c r="AC11" s="2">
        <v>8</v>
      </c>
    </row>
    <row r="12" spans="1:31" x14ac:dyDescent="0.25">
      <c r="E12" s="19" t="s">
        <v>46</v>
      </c>
      <c r="F12" s="2">
        <v>1</v>
      </c>
      <c r="G12" s="2">
        <v>49</v>
      </c>
      <c r="H12" s="2">
        <v>33</v>
      </c>
      <c r="I12" s="2">
        <v>12</v>
      </c>
      <c r="J12" s="2">
        <v>9</v>
      </c>
      <c r="K12" s="2">
        <v>104</v>
      </c>
      <c r="M12" s="20" t="s">
        <v>59</v>
      </c>
      <c r="N12" t="e">
        <f t="shared" si="4"/>
        <v>#N/A</v>
      </c>
      <c r="O12" t="e">
        <f t="shared" si="5"/>
        <v>#N/A</v>
      </c>
      <c r="P12" t="e">
        <f t="shared" si="6"/>
        <v>#N/A</v>
      </c>
      <c r="Q12" t="e">
        <f t="shared" si="0"/>
        <v>#N/A</v>
      </c>
      <c r="R12" t="e">
        <f>VLOOKUP(M12, $E$7:$K$1048576, 5,FALSE)</f>
        <v>#N/A</v>
      </c>
      <c r="S12" t="e">
        <f t="shared" si="2"/>
        <v>#N/A</v>
      </c>
      <c r="T12" t="e">
        <f t="shared" si="3"/>
        <v>#N/A</v>
      </c>
      <c r="W12" s="19" t="s">
        <v>277</v>
      </c>
      <c r="X12" s="2">
        <v>4</v>
      </c>
      <c r="AB12" s="19" t="s">
        <v>277</v>
      </c>
      <c r="AC12" s="2">
        <v>4</v>
      </c>
    </row>
    <row r="13" spans="1:31" x14ac:dyDescent="0.25">
      <c r="M13" s="20" t="s">
        <v>60</v>
      </c>
      <c r="N13" t="e">
        <f t="shared" si="4"/>
        <v>#N/A</v>
      </c>
      <c r="O13" t="e">
        <f t="shared" si="5"/>
        <v>#N/A</v>
      </c>
      <c r="P13" t="e">
        <f t="shared" si="6"/>
        <v>#N/A</v>
      </c>
      <c r="Q13" t="e">
        <f t="shared" si="0"/>
        <v>#N/A</v>
      </c>
      <c r="R13" t="e">
        <f t="shared" si="1"/>
        <v>#N/A</v>
      </c>
      <c r="S13" t="e">
        <f t="shared" si="2"/>
        <v>#N/A</v>
      </c>
      <c r="T13" t="e">
        <f t="shared" si="3"/>
        <v>#N/A</v>
      </c>
      <c r="W13" s="19" t="s">
        <v>333</v>
      </c>
      <c r="X13" s="2">
        <v>7</v>
      </c>
      <c r="AB13" s="19" t="s">
        <v>333</v>
      </c>
      <c r="AC13" s="2">
        <v>7</v>
      </c>
    </row>
    <row r="14" spans="1:31" x14ac:dyDescent="0.25">
      <c r="M14" s="20" t="s">
        <v>61</v>
      </c>
      <c r="N14" t="e">
        <f t="shared" si="4"/>
        <v>#N/A</v>
      </c>
      <c r="O14" t="e">
        <f t="shared" si="5"/>
        <v>#N/A</v>
      </c>
      <c r="P14" t="e">
        <f t="shared" si="6"/>
        <v>#N/A</v>
      </c>
      <c r="Q14" t="e">
        <f t="shared" si="0"/>
        <v>#N/A</v>
      </c>
      <c r="R14" t="e">
        <f t="shared" si="1"/>
        <v>#N/A</v>
      </c>
      <c r="S14" t="e">
        <f t="shared" si="2"/>
        <v>#N/A</v>
      </c>
      <c r="T14" t="e">
        <f t="shared" si="3"/>
        <v>#N/A</v>
      </c>
      <c r="W14" s="19" t="s">
        <v>334</v>
      </c>
      <c r="X14" s="2">
        <v>3</v>
      </c>
      <c r="AB14" s="19" t="s">
        <v>334</v>
      </c>
      <c r="AC14" s="2">
        <v>3</v>
      </c>
    </row>
    <row r="15" spans="1:31" x14ac:dyDescent="0.25">
      <c r="M15" s="20" t="s">
        <v>62</v>
      </c>
      <c r="N15" t="e">
        <f t="shared" si="4"/>
        <v>#N/A</v>
      </c>
      <c r="O15" t="e">
        <f t="shared" si="5"/>
        <v>#N/A</v>
      </c>
      <c r="P15" t="e">
        <f t="shared" si="6"/>
        <v>#N/A</v>
      </c>
      <c r="Q15" t="e">
        <f t="shared" si="0"/>
        <v>#N/A</v>
      </c>
      <c r="R15" t="e">
        <f t="shared" si="1"/>
        <v>#N/A</v>
      </c>
      <c r="S15" t="e">
        <f t="shared" si="2"/>
        <v>#N/A</v>
      </c>
      <c r="T15" t="e">
        <f t="shared" si="3"/>
        <v>#N/A</v>
      </c>
      <c r="W15" s="19" t="s">
        <v>335</v>
      </c>
      <c r="X15" s="2">
        <v>3</v>
      </c>
      <c r="AB15" s="19" t="s">
        <v>335</v>
      </c>
      <c r="AC15" s="2">
        <v>3</v>
      </c>
    </row>
    <row r="16" spans="1:31" x14ac:dyDescent="0.25">
      <c r="M16" s="20" t="s">
        <v>63</v>
      </c>
      <c r="N16" t="e">
        <f t="shared" si="4"/>
        <v>#N/A</v>
      </c>
      <c r="O16" t="e">
        <f t="shared" si="5"/>
        <v>#N/A</v>
      </c>
      <c r="P16" t="e">
        <f t="shared" si="6"/>
        <v>#N/A</v>
      </c>
      <c r="Q16" t="e">
        <f t="shared" si="0"/>
        <v>#N/A</v>
      </c>
      <c r="R16" t="e">
        <f t="shared" si="1"/>
        <v>#N/A</v>
      </c>
      <c r="S16" t="e">
        <f t="shared" si="2"/>
        <v>#N/A</v>
      </c>
      <c r="T16" t="e">
        <f t="shared" si="3"/>
        <v>#N/A</v>
      </c>
      <c r="W16" s="19" t="s">
        <v>336</v>
      </c>
      <c r="X16" s="2">
        <v>2</v>
      </c>
      <c r="AB16" s="19" t="s">
        <v>336</v>
      </c>
      <c r="AC16" s="2">
        <v>2</v>
      </c>
    </row>
    <row r="17" spans="13:29" x14ac:dyDescent="0.25">
      <c r="M17" s="20" t="s">
        <v>64</v>
      </c>
      <c r="N17" t="e">
        <f>VLOOKUP(M17, $E$7:$K$1048576, 7,FALSE)</f>
        <v>#N/A</v>
      </c>
      <c r="O17" t="e">
        <f>VLOOKUP(M17, $E$7:$K$1048576, 2,FALSE)</f>
        <v>#N/A</v>
      </c>
      <c r="P17" t="e">
        <f t="shared" si="6"/>
        <v>#N/A</v>
      </c>
      <c r="Q17" t="e">
        <f>VLOOKUP(M17, $E$7:$K$1048576, 4,FALSE)</f>
        <v>#N/A</v>
      </c>
      <c r="R17" t="e">
        <f t="shared" si="1"/>
        <v>#N/A</v>
      </c>
      <c r="S17" t="e">
        <f t="shared" si="2"/>
        <v>#N/A</v>
      </c>
      <c r="T17" t="e">
        <f t="shared" si="3"/>
        <v>#N/A</v>
      </c>
      <c r="W17" s="19" t="s">
        <v>337</v>
      </c>
      <c r="X17" s="2">
        <v>1</v>
      </c>
      <c r="AB17" s="19" t="s">
        <v>337</v>
      </c>
      <c r="AC17" s="2">
        <v>1</v>
      </c>
    </row>
    <row r="18" spans="13:29" x14ac:dyDescent="0.25">
      <c r="W18" s="19" t="s">
        <v>338</v>
      </c>
      <c r="X18" s="2">
        <v>5</v>
      </c>
      <c r="AB18" s="19" t="s">
        <v>338</v>
      </c>
      <c r="AC18" s="2">
        <v>5</v>
      </c>
    </row>
    <row r="19" spans="13:29" x14ac:dyDescent="0.25">
      <c r="W19" s="19" t="s">
        <v>339</v>
      </c>
      <c r="X19" s="2">
        <v>9</v>
      </c>
      <c r="AB19" s="19" t="s">
        <v>339</v>
      </c>
      <c r="AC19" s="2">
        <v>9</v>
      </c>
    </row>
    <row r="20" spans="13:29" x14ac:dyDescent="0.25">
      <c r="W20" s="19" t="s">
        <v>347</v>
      </c>
      <c r="X20" s="2">
        <v>2</v>
      </c>
      <c r="AB20" s="19" t="s">
        <v>347</v>
      </c>
      <c r="AC20" s="2">
        <v>2</v>
      </c>
    </row>
    <row r="21" spans="13:29" x14ac:dyDescent="0.25">
      <c r="W21" s="19" t="s">
        <v>348</v>
      </c>
      <c r="X21" s="2">
        <v>3</v>
      </c>
      <c r="AB21" s="19" t="s">
        <v>348</v>
      </c>
      <c r="AC21" s="2">
        <v>3</v>
      </c>
    </row>
    <row r="22" spans="13:29" x14ac:dyDescent="0.25">
      <c r="W22" s="19" t="s">
        <v>349</v>
      </c>
      <c r="X22" s="2">
        <v>2</v>
      </c>
      <c r="AB22" s="19" t="s">
        <v>349</v>
      </c>
      <c r="AC22" s="2">
        <v>2</v>
      </c>
    </row>
    <row r="23" spans="13:29" x14ac:dyDescent="0.25">
      <c r="W23" s="19" t="s">
        <v>350</v>
      </c>
      <c r="X23" s="2">
        <v>3</v>
      </c>
      <c r="AB23" s="19" t="s">
        <v>350</v>
      </c>
      <c r="AC23" s="2">
        <v>3</v>
      </c>
    </row>
    <row r="24" spans="13:29" x14ac:dyDescent="0.25">
      <c r="W24" s="19" t="s">
        <v>351</v>
      </c>
      <c r="X24" s="2">
        <v>2</v>
      </c>
      <c r="AB24" s="19" t="s">
        <v>351</v>
      </c>
      <c r="AC24" s="2">
        <v>2</v>
      </c>
    </row>
    <row r="25" spans="13:29" x14ac:dyDescent="0.25">
      <c r="W25" s="19" t="s">
        <v>352</v>
      </c>
      <c r="X25" s="2">
        <v>1</v>
      </c>
      <c r="AB25" s="19" t="s">
        <v>352</v>
      </c>
      <c r="AC25" s="2">
        <v>1</v>
      </c>
    </row>
    <row r="26" spans="13:29" x14ac:dyDescent="0.25">
      <c r="W26" s="19" t="s">
        <v>353</v>
      </c>
      <c r="X26" s="2">
        <v>2</v>
      </c>
      <c r="AB26" s="19" t="s">
        <v>353</v>
      </c>
      <c r="AC26" s="2">
        <v>2</v>
      </c>
    </row>
    <row r="27" spans="13:29" x14ac:dyDescent="0.25">
      <c r="W27" s="19" t="s">
        <v>355</v>
      </c>
      <c r="X27" s="2">
        <v>0</v>
      </c>
      <c r="AB27" s="19" t="s">
        <v>355</v>
      </c>
      <c r="AC27" s="2">
        <v>0</v>
      </c>
    </row>
    <row r="28" spans="13:29" x14ac:dyDescent="0.25">
      <c r="W28" s="19" t="s">
        <v>356</v>
      </c>
      <c r="X28" s="2">
        <v>0</v>
      </c>
      <c r="AB28" s="19" t="s">
        <v>356</v>
      </c>
      <c r="AC28" s="2">
        <v>0</v>
      </c>
    </row>
    <row r="29" spans="13:29" x14ac:dyDescent="0.25">
      <c r="W29" s="19" t="s">
        <v>357</v>
      </c>
      <c r="X29" s="2">
        <v>3</v>
      </c>
      <c r="AB29" s="19" t="s">
        <v>357</v>
      </c>
      <c r="AC29" s="2">
        <v>3</v>
      </c>
    </row>
    <row r="30" spans="13:29" x14ac:dyDescent="0.25">
      <c r="W30" s="19" t="s">
        <v>358</v>
      </c>
      <c r="X30" s="2">
        <v>3</v>
      </c>
      <c r="AB30" s="19" t="s">
        <v>358</v>
      </c>
      <c r="AC30" s="2">
        <v>3</v>
      </c>
    </row>
    <row r="31" spans="13:29" x14ac:dyDescent="0.25">
      <c r="W31" s="19" t="s">
        <v>359</v>
      </c>
      <c r="X31" s="2">
        <v>2</v>
      </c>
      <c r="AB31" s="19" t="s">
        <v>359</v>
      </c>
      <c r="AC31" s="2">
        <v>2</v>
      </c>
    </row>
    <row r="32" spans="13:29" x14ac:dyDescent="0.25">
      <c r="W32" s="19" t="s">
        <v>360</v>
      </c>
      <c r="X32" s="2">
        <v>3</v>
      </c>
      <c r="AB32" s="19" t="s">
        <v>360</v>
      </c>
      <c r="AC32" s="2">
        <v>3</v>
      </c>
    </row>
    <row r="33" spans="23:29" x14ac:dyDescent="0.25">
      <c r="W33" s="19" t="s">
        <v>361</v>
      </c>
      <c r="X33" s="2">
        <v>6</v>
      </c>
      <c r="AB33" s="19" t="s">
        <v>361</v>
      </c>
      <c r="AC33" s="2">
        <v>6</v>
      </c>
    </row>
    <row r="34" spans="23:29" x14ac:dyDescent="0.25">
      <c r="W34" s="19" t="s">
        <v>363</v>
      </c>
      <c r="X34" s="2">
        <v>7</v>
      </c>
      <c r="AB34" s="19" t="s">
        <v>363</v>
      </c>
      <c r="AC34" s="2">
        <v>7</v>
      </c>
    </row>
    <row r="35" spans="23:29" x14ac:dyDescent="0.25">
      <c r="W35" s="19" t="s">
        <v>364</v>
      </c>
      <c r="X35" s="2">
        <v>1</v>
      </c>
      <c r="AB35" s="19" t="s">
        <v>364</v>
      </c>
      <c r="AC35" s="2">
        <v>1</v>
      </c>
    </row>
    <row r="36" spans="23:29" x14ac:dyDescent="0.25">
      <c r="W36" s="19" t="s">
        <v>365</v>
      </c>
      <c r="X36" s="2">
        <v>5</v>
      </c>
      <c r="AB36" s="19" t="s">
        <v>365</v>
      </c>
      <c r="AC36" s="2">
        <v>5</v>
      </c>
    </row>
    <row r="37" spans="23:29" x14ac:dyDescent="0.25">
      <c r="W37" s="19" t="s">
        <v>366</v>
      </c>
      <c r="X37" s="2">
        <v>1</v>
      </c>
      <c r="AB37" s="19" t="s">
        <v>366</v>
      </c>
      <c r="AC37" s="2">
        <v>1</v>
      </c>
    </row>
    <row r="38" spans="23:29" x14ac:dyDescent="0.25">
      <c r="W38" s="19" t="s">
        <v>367</v>
      </c>
      <c r="X38" s="2">
        <v>0</v>
      </c>
      <c r="AB38" s="19" t="s">
        <v>367</v>
      </c>
      <c r="AC38" s="2">
        <v>0</v>
      </c>
    </row>
    <row r="39" spans="23:29" x14ac:dyDescent="0.25">
      <c r="W39" s="19" t="s">
        <v>368</v>
      </c>
      <c r="X39" s="2">
        <v>0</v>
      </c>
      <c r="AB39" s="19" t="s">
        <v>368</v>
      </c>
      <c r="AC39" s="2">
        <v>0</v>
      </c>
    </row>
    <row r="40" spans="23:29" x14ac:dyDescent="0.25">
      <c r="W40" s="19" t="s">
        <v>369</v>
      </c>
      <c r="X40" s="2">
        <v>3</v>
      </c>
      <c r="AB40" s="19" t="s">
        <v>369</v>
      </c>
      <c r="AC40" s="2">
        <v>3</v>
      </c>
    </row>
  </sheetData>
  <mergeCells count="4">
    <mergeCell ref="AB1:AE1"/>
    <mergeCell ref="W1:Z1"/>
    <mergeCell ref="B1:C1"/>
    <mergeCell ref="E1:T1"/>
  </mergeCell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I52"/>
  <sheetViews>
    <sheetView topLeftCell="AJ1" zoomScaleNormal="100" workbookViewId="0">
      <selection activeCell="AW27" sqref="AW27"/>
    </sheetView>
  </sheetViews>
  <sheetFormatPr defaultRowHeight="15" x14ac:dyDescent="0.25"/>
  <cols>
    <col min="2" max="2" width="13.140625" bestFit="1" customWidth="1"/>
    <col min="3" max="3" width="10.140625" bestFit="1" customWidth="1"/>
    <col min="4" max="4" width="9.85546875" bestFit="1" customWidth="1"/>
    <col min="5" max="5" width="8" customWidth="1"/>
    <col min="10" max="10" width="5.85546875" customWidth="1"/>
    <col min="12" max="12" width="13.140625" bestFit="1" customWidth="1"/>
    <col min="13" max="13" width="10.140625" bestFit="1" customWidth="1"/>
    <col min="14" max="14" width="9.85546875" bestFit="1" customWidth="1"/>
    <col min="15" max="15" width="6" customWidth="1"/>
    <col min="23" max="23" width="13.140625" bestFit="1" customWidth="1"/>
    <col min="24" max="24" width="16.28515625" bestFit="1" customWidth="1"/>
    <col min="25" max="25" width="9.85546875" bestFit="1" customWidth="1"/>
    <col min="26" max="26" width="7" customWidth="1"/>
    <col min="27" max="27" width="27.85546875" bestFit="1" customWidth="1"/>
    <col min="28" max="28" width="9.85546875" bestFit="1" customWidth="1"/>
    <col min="29" max="29" width="7" customWidth="1"/>
    <col min="30" max="30" width="16" bestFit="1" customWidth="1"/>
    <col min="31" max="31" width="9.85546875" bestFit="1" customWidth="1"/>
    <col min="32" max="32" width="8" customWidth="1"/>
    <col min="33" max="33" width="20.140625" bestFit="1" customWidth="1"/>
    <col min="34" max="34" width="9.85546875" bestFit="1" customWidth="1"/>
    <col min="35" max="35" width="7" customWidth="1"/>
    <col min="36" max="36" width="21.42578125" bestFit="1" customWidth="1"/>
    <col min="37" max="37" width="9.85546875" bestFit="1" customWidth="1"/>
    <col min="38" max="38" width="7" customWidth="1"/>
    <col min="39" max="39" width="10" customWidth="1"/>
    <col min="40" max="40" width="14.85546875" customWidth="1"/>
    <col min="41" max="49" width="10.28515625" customWidth="1"/>
    <col min="50" max="51" width="9.140625" customWidth="1"/>
    <col min="53" max="53" width="13.140625" bestFit="1" customWidth="1"/>
    <col min="54" max="54" width="10.140625" bestFit="1" customWidth="1"/>
    <col min="55" max="55" width="9.85546875" bestFit="1" customWidth="1"/>
    <col min="56" max="56" width="6" customWidth="1"/>
  </cols>
  <sheetData>
    <row r="1" spans="2:61" x14ac:dyDescent="0.25">
      <c r="B1" s="131" t="s">
        <v>301</v>
      </c>
      <c r="C1" s="131"/>
      <c r="D1" s="131"/>
      <c r="E1" s="131"/>
      <c r="F1" s="131"/>
      <c r="G1" s="131"/>
      <c r="H1" s="131"/>
      <c r="I1" s="131"/>
      <c r="J1" s="38"/>
      <c r="K1" s="38"/>
      <c r="L1" s="130" t="s">
        <v>302</v>
      </c>
      <c r="M1" s="130"/>
      <c r="N1" s="130"/>
      <c r="O1" s="130"/>
      <c r="P1" s="130"/>
      <c r="Q1" s="130"/>
      <c r="R1" s="130"/>
      <c r="S1" s="130"/>
      <c r="T1" s="130"/>
      <c r="U1" s="38"/>
      <c r="V1" s="38"/>
      <c r="W1" s="130" t="s">
        <v>306</v>
      </c>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38"/>
    </row>
    <row r="3" spans="2:61" x14ac:dyDescent="0.25">
      <c r="B3" s="18" t="s">
        <v>47</v>
      </c>
      <c r="C3" t="s" vm="2">
        <v>262</v>
      </c>
      <c r="G3" s="132" t="s">
        <v>237</v>
      </c>
      <c r="H3" s="132"/>
      <c r="I3" s="132"/>
      <c r="L3" s="18" t="s">
        <v>47</v>
      </c>
      <c r="M3" t="s" vm="2">
        <v>262</v>
      </c>
      <c r="Q3" s="37" t="s">
        <v>239</v>
      </c>
      <c r="R3" s="35">
        <f>MAX(M6:M1048576)</f>
        <v>93822</v>
      </c>
      <c r="S3" s="35">
        <f>MATCH(R3,M6:M1048576,0)</f>
        <v>5</v>
      </c>
      <c r="T3" s="35" t="str">
        <f>INDEX(L6:L1048576,S3)</f>
        <v>07/12/18</v>
      </c>
      <c r="W3" s="18" t="s">
        <v>47</v>
      </c>
      <c r="X3" t="s" vm="2">
        <v>262</v>
      </c>
    </row>
    <row r="4" spans="2:61" x14ac:dyDescent="0.25">
      <c r="F4" s="43"/>
      <c r="G4" s="43" t="s">
        <v>239</v>
      </c>
      <c r="H4" s="43" t="s">
        <v>241</v>
      </c>
      <c r="I4" s="43" t="s">
        <v>42</v>
      </c>
      <c r="J4" s="10"/>
      <c r="K4" s="43"/>
      <c r="P4" s="43"/>
      <c r="Q4" s="37" t="s">
        <v>241</v>
      </c>
      <c r="R4" s="35">
        <f>MAX(N6:N1048576, 0)</f>
        <v>3623</v>
      </c>
      <c r="S4" s="35">
        <f>MATCH(R4,N6:N1048576,0)</f>
        <v>35</v>
      </c>
      <c r="T4" s="35" t="str">
        <f>INDEX(L6:L1048576,S4)</f>
        <v>06/01/19</v>
      </c>
      <c r="BA4" s="18" t="s">
        <v>47</v>
      </c>
      <c r="BB4" t="s" vm="2">
        <v>262</v>
      </c>
    </row>
    <row r="5" spans="2:61" x14ac:dyDescent="0.25">
      <c r="B5" s="18" t="s">
        <v>44</v>
      </c>
      <c r="C5" t="s">
        <v>239</v>
      </c>
      <c r="D5" t="s">
        <v>241</v>
      </c>
      <c r="E5" t="s">
        <v>42</v>
      </c>
      <c r="F5" s="43"/>
      <c r="G5" s="35">
        <f>C6/4</f>
        <v>163886.75</v>
      </c>
      <c r="H5" s="35">
        <f>D6/4</f>
        <v>4199.75</v>
      </c>
      <c r="I5" s="35">
        <f>E6/4</f>
        <v>168086.5</v>
      </c>
      <c r="J5" s="35"/>
      <c r="K5" s="43"/>
      <c r="L5" s="18" t="s">
        <v>44</v>
      </c>
      <c r="M5" t="s">
        <v>239</v>
      </c>
      <c r="N5" t="s">
        <v>241</v>
      </c>
      <c r="O5" t="s">
        <v>42</v>
      </c>
      <c r="P5" s="43"/>
      <c r="Q5" s="37" t="s">
        <v>42</v>
      </c>
      <c r="R5" s="35">
        <f>MAX(O6:O1048576)</f>
        <v>96892</v>
      </c>
      <c r="S5" s="35">
        <f>MATCH(R5,O6:O1048576,0)</f>
        <v>35</v>
      </c>
      <c r="T5" s="35" t="str">
        <f>INDEX(L6:L1048576,S5)</f>
        <v>06/01/19</v>
      </c>
      <c r="V5" s="43"/>
      <c r="X5" s="18" t="s">
        <v>49</v>
      </c>
      <c r="AR5" t="s">
        <v>303</v>
      </c>
      <c r="AS5" s="43" t="s">
        <v>2</v>
      </c>
      <c r="AT5" s="43" t="s">
        <v>65</v>
      </c>
      <c r="AU5" s="43" t="s">
        <v>3</v>
      </c>
      <c r="AV5" s="43" t="s">
        <v>304</v>
      </c>
      <c r="AW5" s="43" t="s">
        <v>305</v>
      </c>
      <c r="AX5" s="46" t="s">
        <v>298</v>
      </c>
      <c r="AY5" s="43"/>
    </row>
    <row r="6" spans="2:61" x14ac:dyDescent="0.25">
      <c r="B6" s="19" t="s">
        <v>45</v>
      </c>
      <c r="C6" s="2">
        <v>655547</v>
      </c>
      <c r="D6" s="2">
        <v>16799</v>
      </c>
      <c r="E6" s="2">
        <v>672346</v>
      </c>
      <c r="F6" s="35"/>
      <c r="G6" s="35">
        <f>C7/7</f>
        <v>93473.142857142855</v>
      </c>
      <c r="H6" s="35">
        <f t="shared" ref="G6:I8" si="0">D7/7</f>
        <v>2249.5714285714284</v>
      </c>
      <c r="I6" s="35">
        <f>E7/7</f>
        <v>95721.28571428571</v>
      </c>
      <c r="J6" s="35"/>
      <c r="K6" s="35"/>
      <c r="L6" s="19" t="s">
        <v>271</v>
      </c>
      <c r="M6" s="2">
        <v>93702</v>
      </c>
      <c r="N6" s="2">
        <v>2701</v>
      </c>
      <c r="O6" s="2">
        <v>96403</v>
      </c>
      <c r="P6" s="35"/>
      <c r="Q6" s="35"/>
      <c r="R6" s="35"/>
      <c r="S6" s="35"/>
      <c r="V6" s="35"/>
      <c r="X6" t="s">
        <v>2</v>
      </c>
      <c r="AA6" t="s">
        <v>266</v>
      </c>
      <c r="AD6" t="s">
        <v>50</v>
      </c>
      <c r="AG6" t="s">
        <v>267</v>
      </c>
      <c r="AJ6" t="s">
        <v>268</v>
      </c>
      <c r="AM6" t="s">
        <v>238</v>
      </c>
      <c r="AN6" t="s">
        <v>240</v>
      </c>
      <c r="AO6" t="s">
        <v>242</v>
      </c>
      <c r="AQ6" s="43" t="s">
        <v>51</v>
      </c>
      <c r="AR6" s="35">
        <f>(VLOOKUP(AQ6,$W$8:$AO$1048576,17,FALSE))/7</f>
        <v>93649.571428571435</v>
      </c>
      <c r="AS6" s="35">
        <f>(VLOOKUP(AQ6,$W$8:$AO$1048576,2,FALSE))/7</f>
        <v>13416.571428571429</v>
      </c>
      <c r="AT6" s="35">
        <f>(VLOOKUP(AQ6,$W$8:$AO$1048576,5,FALSE))/7</f>
        <v>27132.428571428572</v>
      </c>
      <c r="AU6" s="35">
        <f>(VLOOKUP(AQ6,$W$8:$AO$1048576,8,FALSE))/7</f>
        <v>30921.571428571428</v>
      </c>
      <c r="AV6" s="35">
        <f>(VLOOKUP(AQ6,$W$8:$AO$1048576,11,FALSE))/7</f>
        <v>12909.857142857143</v>
      </c>
      <c r="AW6" s="35">
        <f>(VLOOKUP(AQ6,$W$8:$AO$1048576,14,FALSE))/7</f>
        <v>9269.1428571428569</v>
      </c>
      <c r="AX6" s="35">
        <f>AV6+AW6</f>
        <v>22179</v>
      </c>
      <c r="AY6" s="35"/>
      <c r="BA6" s="18" t="s">
        <v>44</v>
      </c>
      <c r="BB6" t="s">
        <v>239</v>
      </c>
      <c r="BC6" t="s">
        <v>241</v>
      </c>
      <c r="BD6" t="s">
        <v>42</v>
      </c>
      <c r="BF6" s="37" t="s">
        <v>239</v>
      </c>
      <c r="BG6" s="35">
        <f>MAX(BB7:BB1048576)</f>
        <v>93822</v>
      </c>
      <c r="BH6" s="35">
        <f>MATCH(BG6,BB7:BB1048576,0)</f>
        <v>5</v>
      </c>
      <c r="BI6" s="35" t="str">
        <f>INDEX(BA7:BA1048576,BH6)</f>
        <v>07/12/18</v>
      </c>
    </row>
    <row r="7" spans="2:61" x14ac:dyDescent="0.25">
      <c r="B7" s="19" t="s">
        <v>283</v>
      </c>
      <c r="C7" s="2">
        <v>654312</v>
      </c>
      <c r="D7" s="2">
        <v>15747</v>
      </c>
      <c r="E7" s="2">
        <v>670049</v>
      </c>
      <c r="F7" s="35"/>
      <c r="G7" s="35">
        <f t="shared" si="0"/>
        <v>93407.857142857145</v>
      </c>
      <c r="H7" s="35">
        <f t="shared" si="0"/>
        <v>1987.4285714285713</v>
      </c>
      <c r="I7" s="35">
        <f t="shared" si="0"/>
        <v>95395.28571428571</v>
      </c>
      <c r="J7" s="35"/>
      <c r="K7" s="35"/>
      <c r="L7" s="19" t="s">
        <v>272</v>
      </c>
      <c r="M7" s="2">
        <v>93720</v>
      </c>
      <c r="N7" s="2">
        <v>2556</v>
      </c>
      <c r="O7" s="2">
        <v>96276</v>
      </c>
      <c r="P7" s="35"/>
      <c r="Q7" s="35"/>
      <c r="R7" s="35"/>
      <c r="S7" s="35"/>
      <c r="V7" s="35"/>
      <c r="W7" s="18" t="s">
        <v>44</v>
      </c>
      <c r="X7" t="s">
        <v>239</v>
      </c>
      <c r="Y7" t="s">
        <v>241</v>
      </c>
      <c r="Z7" t="s">
        <v>42</v>
      </c>
      <c r="AA7" t="s">
        <v>239</v>
      </c>
      <c r="AB7" t="s">
        <v>241</v>
      </c>
      <c r="AC7" t="s">
        <v>42</v>
      </c>
      <c r="AD7" t="s">
        <v>239</v>
      </c>
      <c r="AE7" t="s">
        <v>241</v>
      </c>
      <c r="AF7" t="s">
        <v>42</v>
      </c>
      <c r="AG7" t="s">
        <v>239</v>
      </c>
      <c r="AH7" t="s">
        <v>241</v>
      </c>
      <c r="AI7" t="s">
        <v>42</v>
      </c>
      <c r="AJ7" t="s">
        <v>239</v>
      </c>
      <c r="AK7" t="s">
        <v>241</v>
      </c>
      <c r="AL7" t="s">
        <v>42</v>
      </c>
      <c r="AQ7" s="43" t="s">
        <v>52</v>
      </c>
      <c r="AR7" s="35">
        <f t="shared" ref="AR7:AR19" si="1">(VLOOKUP(AQ7,$W$8:$AO$1048576,17,FALSE))/7</f>
        <v>93473.142857142855</v>
      </c>
      <c r="AS7" s="35">
        <f t="shared" ref="AS7:AS19" si="2">(VLOOKUP(AQ7,$W$8:$AO$1048576,2,FALSE))/7</f>
        <v>13428.714285714286</v>
      </c>
      <c r="AT7" s="35">
        <f t="shared" ref="AT7:AT19" si="3">(VLOOKUP(AQ7,$W$8:$AO$1048576,5,FALSE))/7</f>
        <v>26999</v>
      </c>
      <c r="AU7" s="35">
        <f t="shared" ref="AU7:AU19" si="4">(VLOOKUP(AQ7,$W$8:$AO$1048576,8,FALSE))/7</f>
        <v>30941.571428571428</v>
      </c>
      <c r="AV7" s="35">
        <f t="shared" ref="AV7:AV19" si="5">(VLOOKUP(AQ7,$W$8:$AO$1048576,11,FALSE))/7</f>
        <v>12873.285714285714</v>
      </c>
      <c r="AW7" s="35">
        <f t="shared" ref="AW7:AW18" si="6">(VLOOKUP(AQ7,$W$8:$AO$1048576,14,FALSE))/7</f>
        <v>9230.5714285714294</v>
      </c>
      <c r="AX7" s="35">
        <f t="shared" ref="AX7:AX19" si="7">AV7+AW7</f>
        <v>22103.857142857145</v>
      </c>
      <c r="AY7" s="35"/>
      <c r="BA7" s="19" t="s">
        <v>271</v>
      </c>
      <c r="BB7" s="2">
        <v>93702</v>
      </c>
      <c r="BC7" s="2">
        <v>2701</v>
      </c>
      <c r="BD7" s="2">
        <v>96403</v>
      </c>
      <c r="BF7" s="37" t="s">
        <v>241</v>
      </c>
      <c r="BG7" s="35">
        <f>MAX(BC7:BC1048576,0)</f>
        <v>3623</v>
      </c>
      <c r="BH7" s="35">
        <f>MATCH(BG7,BC7:BC1048576,0)</f>
        <v>35</v>
      </c>
      <c r="BI7" s="35" t="str">
        <f>INDEX(BA7:BA1048576,BH7)</f>
        <v>06/01/19</v>
      </c>
    </row>
    <row r="8" spans="2:61" x14ac:dyDescent="0.25">
      <c r="B8" s="19" t="s">
        <v>284</v>
      </c>
      <c r="C8" s="2">
        <v>653855</v>
      </c>
      <c r="D8" s="2">
        <v>13912</v>
      </c>
      <c r="E8" s="2">
        <v>667767</v>
      </c>
      <c r="F8" s="35"/>
      <c r="G8" s="35">
        <f t="shared" si="0"/>
        <v>92975.571428571435</v>
      </c>
      <c r="H8" s="35">
        <f t="shared" si="0"/>
        <v>1727.8571428571429</v>
      </c>
      <c r="I8" s="35">
        <f t="shared" si="0"/>
        <v>94648.428571428565</v>
      </c>
      <c r="J8" s="35"/>
      <c r="K8" s="35"/>
      <c r="L8" s="19" t="s">
        <v>273</v>
      </c>
      <c r="M8" s="2">
        <v>93739</v>
      </c>
      <c r="N8" s="2">
        <v>2434</v>
      </c>
      <c r="O8" s="2">
        <v>96173</v>
      </c>
      <c r="P8" s="35"/>
      <c r="Q8" s="35"/>
      <c r="R8" s="35"/>
      <c r="S8" s="35"/>
      <c r="V8" s="35"/>
      <c r="W8" s="19" t="s">
        <v>51</v>
      </c>
      <c r="X8" s="2">
        <v>93916</v>
      </c>
      <c r="Y8" s="2">
        <v>2168</v>
      </c>
      <c r="Z8" s="2">
        <v>96084</v>
      </c>
      <c r="AA8" s="2">
        <v>189927</v>
      </c>
      <c r="AB8" s="2">
        <v>5076</v>
      </c>
      <c r="AC8" s="2">
        <v>195003</v>
      </c>
      <c r="AD8" s="2">
        <v>216451</v>
      </c>
      <c r="AE8" s="2">
        <v>4913</v>
      </c>
      <c r="AF8" s="2">
        <v>221364</v>
      </c>
      <c r="AG8" s="2">
        <v>90369</v>
      </c>
      <c r="AH8" s="2">
        <v>2750</v>
      </c>
      <c r="AI8" s="2">
        <v>93119</v>
      </c>
      <c r="AJ8" s="2">
        <v>64884</v>
      </c>
      <c r="AK8" s="2">
        <v>1892</v>
      </c>
      <c r="AL8" s="2">
        <v>66776</v>
      </c>
      <c r="AM8" s="2">
        <v>655547</v>
      </c>
      <c r="AN8" s="2">
        <v>16799</v>
      </c>
      <c r="AO8" s="2">
        <v>672346</v>
      </c>
      <c r="AP8" s="2"/>
      <c r="AQ8" s="43" t="s">
        <v>53</v>
      </c>
      <c r="AR8" s="35">
        <f t="shared" si="1"/>
        <v>93407.857142857145</v>
      </c>
      <c r="AS8" s="35">
        <f t="shared" si="2"/>
        <v>13430.857142857143</v>
      </c>
      <c r="AT8" s="35">
        <f>(VLOOKUP(AQ8,$W$8:$AO$1048576,5,FALSE))/7</f>
        <v>26957.428571428572</v>
      </c>
      <c r="AU8" s="35">
        <f t="shared" si="4"/>
        <v>30859.571428571428</v>
      </c>
      <c r="AV8" s="35">
        <f t="shared" si="5"/>
        <v>12871.714285714286</v>
      </c>
      <c r="AW8" s="35">
        <f t="shared" si="6"/>
        <v>9288.2857142857138</v>
      </c>
      <c r="AX8" s="35">
        <f t="shared" si="7"/>
        <v>22160</v>
      </c>
      <c r="AY8" s="35"/>
      <c r="BA8" s="19" t="s">
        <v>272</v>
      </c>
      <c r="BB8" s="2">
        <v>93720</v>
      </c>
      <c r="BC8" s="2">
        <v>2556</v>
      </c>
      <c r="BD8" s="2">
        <v>96276</v>
      </c>
      <c r="BF8" s="37" t="s">
        <v>42</v>
      </c>
      <c r="BG8" s="35">
        <f>MAX(BD7:BD1048576)</f>
        <v>96892</v>
      </c>
      <c r="BH8" s="35">
        <f>MATCH(BG8,BD7:BD1048576,0)</f>
        <v>35</v>
      </c>
      <c r="BI8" s="35" t="str">
        <f>INDEX(BA7:BA1048576,BH8)</f>
        <v>06/01/19</v>
      </c>
    </row>
    <row r="9" spans="2:61" x14ac:dyDescent="0.25">
      <c r="B9" s="19" t="s">
        <v>285</v>
      </c>
      <c r="C9" s="2">
        <v>650829</v>
      </c>
      <c r="D9" s="2">
        <v>12095</v>
      </c>
      <c r="E9" s="2">
        <v>662539</v>
      </c>
      <c r="F9" s="35"/>
      <c r="G9" s="35">
        <f t="shared" ref="G9:G18" si="8">C10/7</f>
        <v>93152.428571428565</v>
      </c>
      <c r="H9" s="35">
        <f>D10/7</f>
        <v>3065.8571428571427</v>
      </c>
      <c r="I9" s="35">
        <f t="shared" ref="I9:I18" si="9">E10/7</f>
        <v>96218.28571428571</v>
      </c>
      <c r="J9" s="35"/>
      <c r="K9" s="35"/>
      <c r="L9" s="19" t="s">
        <v>274</v>
      </c>
      <c r="M9" s="2">
        <v>93617</v>
      </c>
      <c r="N9" s="2">
        <v>2389</v>
      </c>
      <c r="O9" s="2">
        <v>96006</v>
      </c>
      <c r="P9" s="35"/>
      <c r="Q9" s="35"/>
      <c r="R9" s="35"/>
      <c r="S9" s="35"/>
      <c r="V9" s="35"/>
      <c r="W9" s="19" t="s">
        <v>52</v>
      </c>
      <c r="X9" s="2">
        <v>94001</v>
      </c>
      <c r="Y9" s="2">
        <v>1984</v>
      </c>
      <c r="Z9" s="2">
        <v>95985</v>
      </c>
      <c r="AA9" s="2">
        <v>188993</v>
      </c>
      <c r="AB9" s="2">
        <v>4787</v>
      </c>
      <c r="AC9" s="2">
        <v>193770</v>
      </c>
      <c r="AD9" s="2">
        <v>216591</v>
      </c>
      <c r="AE9" s="2">
        <v>4766</v>
      </c>
      <c r="AF9" s="2">
        <v>221357</v>
      </c>
      <c r="AG9" s="2">
        <v>90113</v>
      </c>
      <c r="AH9" s="2">
        <v>2551</v>
      </c>
      <c r="AI9" s="2">
        <v>92664</v>
      </c>
      <c r="AJ9" s="2">
        <v>64614</v>
      </c>
      <c r="AK9" s="2">
        <v>1659</v>
      </c>
      <c r="AL9" s="2">
        <v>66273</v>
      </c>
      <c r="AM9" s="2">
        <v>654312</v>
      </c>
      <c r="AN9" s="2">
        <v>15747</v>
      </c>
      <c r="AO9" s="2">
        <v>670049</v>
      </c>
      <c r="AP9" s="2"/>
      <c r="AQ9" s="43" t="s">
        <v>54</v>
      </c>
      <c r="AR9" s="35">
        <f t="shared" si="1"/>
        <v>92975.571428571435</v>
      </c>
      <c r="AS9" s="35">
        <f t="shared" si="2"/>
        <v>13381.142857142857</v>
      </c>
      <c r="AT9" s="35">
        <f t="shared" si="3"/>
        <v>26865.285714285714</v>
      </c>
      <c r="AU9" s="35">
        <f t="shared" si="4"/>
        <v>30747</v>
      </c>
      <c r="AV9" s="35">
        <f t="shared" si="5"/>
        <v>12748.428571428571</v>
      </c>
      <c r="AW9" s="35">
        <f t="shared" si="6"/>
        <v>9233.7142857142862</v>
      </c>
      <c r="AX9" s="35">
        <f t="shared" si="7"/>
        <v>21982.142857142855</v>
      </c>
      <c r="AY9" s="35"/>
      <c r="BA9" s="19" t="s">
        <v>273</v>
      </c>
      <c r="BB9" s="2">
        <v>93739</v>
      </c>
      <c r="BC9" s="2">
        <v>2434</v>
      </c>
      <c r="BD9" s="2">
        <v>96173</v>
      </c>
    </row>
    <row r="10" spans="2:61" x14ac:dyDescent="0.25">
      <c r="B10" s="19" t="s">
        <v>286</v>
      </c>
      <c r="C10" s="2">
        <v>652067</v>
      </c>
      <c r="D10" s="2">
        <v>21461</v>
      </c>
      <c r="E10" s="2">
        <v>673528</v>
      </c>
      <c r="F10" s="35"/>
      <c r="G10" s="35">
        <f t="shared" si="8"/>
        <v>466658.57142857142</v>
      </c>
      <c r="H10" s="35">
        <f>D11/7</f>
        <v>11430.571428571429</v>
      </c>
      <c r="I10" s="35">
        <f t="shared" si="9"/>
        <v>478032.71428571426</v>
      </c>
      <c r="J10" s="35"/>
      <c r="K10" s="35"/>
      <c r="L10" s="19" t="s">
        <v>275</v>
      </c>
      <c r="M10" s="2">
        <v>93822</v>
      </c>
      <c r="N10" s="2">
        <v>2084</v>
      </c>
      <c r="O10" s="2">
        <v>95906</v>
      </c>
      <c r="P10" s="35"/>
      <c r="Q10" s="35"/>
      <c r="R10" s="35"/>
      <c r="S10" s="35"/>
      <c r="V10" s="35"/>
      <c r="W10" s="19" t="s">
        <v>53</v>
      </c>
      <c r="X10" s="2">
        <v>94016</v>
      </c>
      <c r="Y10" s="2">
        <v>1823</v>
      </c>
      <c r="Z10" s="2">
        <v>95839</v>
      </c>
      <c r="AA10" s="2">
        <v>188702</v>
      </c>
      <c r="AB10" s="2">
        <v>4204</v>
      </c>
      <c r="AC10" s="2">
        <v>192906</v>
      </c>
      <c r="AD10" s="2">
        <v>216017</v>
      </c>
      <c r="AE10" s="2">
        <v>4603</v>
      </c>
      <c r="AF10" s="2">
        <v>220620</v>
      </c>
      <c r="AG10" s="2">
        <v>90102</v>
      </c>
      <c r="AH10" s="2">
        <v>2108</v>
      </c>
      <c r="AI10" s="2">
        <v>92210</v>
      </c>
      <c r="AJ10" s="2">
        <v>65018</v>
      </c>
      <c r="AK10" s="2">
        <v>1174</v>
      </c>
      <c r="AL10" s="2">
        <v>66192</v>
      </c>
      <c r="AM10" s="2">
        <v>653855</v>
      </c>
      <c r="AN10" s="2">
        <v>13912</v>
      </c>
      <c r="AO10" s="2">
        <v>667767</v>
      </c>
      <c r="AP10" s="35"/>
      <c r="AQ10" s="20" t="s">
        <v>55</v>
      </c>
      <c r="AR10" s="35">
        <f t="shared" si="1"/>
        <v>93152.428571428565</v>
      </c>
      <c r="AS10" s="35">
        <f t="shared" si="2"/>
        <v>13476.857142857143</v>
      </c>
      <c r="AT10" s="35">
        <f t="shared" si="3"/>
        <v>26566.428571428572</v>
      </c>
      <c r="AU10" s="35">
        <f t="shared" si="4"/>
        <v>30943.142857142859</v>
      </c>
      <c r="AV10" s="35">
        <f t="shared" si="5"/>
        <v>12861.285714285714</v>
      </c>
      <c r="AW10" s="35">
        <f t="shared" si="6"/>
        <v>9304.7142857142862</v>
      </c>
      <c r="AX10" s="35">
        <f t="shared" si="7"/>
        <v>22166</v>
      </c>
      <c r="AY10" s="35"/>
      <c r="BA10" s="19" t="s">
        <v>274</v>
      </c>
      <c r="BB10" s="2">
        <v>93617</v>
      </c>
      <c r="BC10" s="2">
        <v>2389</v>
      </c>
      <c r="BD10" s="2">
        <v>96006</v>
      </c>
    </row>
    <row r="11" spans="2:61" x14ac:dyDescent="0.25">
      <c r="B11" s="19" t="s">
        <v>46</v>
      </c>
      <c r="C11" s="2">
        <v>3266610</v>
      </c>
      <c r="D11" s="2">
        <v>80014</v>
      </c>
      <c r="E11" s="2">
        <v>3346229</v>
      </c>
      <c r="F11" s="35"/>
      <c r="G11" s="35">
        <f t="shared" si="8"/>
        <v>0</v>
      </c>
      <c r="H11" s="35">
        <f t="shared" ref="H11:H18" si="10">D12/7</f>
        <v>0</v>
      </c>
      <c r="I11" s="35">
        <f t="shared" si="9"/>
        <v>0</v>
      </c>
      <c r="J11" s="35"/>
      <c r="K11" s="35"/>
      <c r="L11" s="19" t="s">
        <v>276</v>
      </c>
      <c r="M11" s="2">
        <v>93635</v>
      </c>
      <c r="N11" s="2">
        <v>2191</v>
      </c>
      <c r="O11" s="2">
        <v>95826</v>
      </c>
      <c r="P11" s="35"/>
      <c r="Q11" s="35"/>
      <c r="R11" s="35"/>
      <c r="S11" s="35"/>
      <c r="V11" s="35"/>
      <c r="W11" s="19" t="s">
        <v>54</v>
      </c>
      <c r="X11" s="2">
        <v>93668</v>
      </c>
      <c r="Y11" s="2">
        <v>1360</v>
      </c>
      <c r="Z11" s="2">
        <v>95028</v>
      </c>
      <c r="AA11" s="2">
        <v>188057</v>
      </c>
      <c r="AB11" s="2">
        <v>3973</v>
      </c>
      <c r="AC11" s="2">
        <v>191645</v>
      </c>
      <c r="AD11" s="2">
        <v>215229</v>
      </c>
      <c r="AE11" s="2">
        <v>4185</v>
      </c>
      <c r="AF11" s="2">
        <v>219414</v>
      </c>
      <c r="AG11" s="2">
        <v>89239</v>
      </c>
      <c r="AH11" s="2">
        <v>1775</v>
      </c>
      <c r="AI11" s="2">
        <v>91014</v>
      </c>
      <c r="AJ11" s="2">
        <v>64636</v>
      </c>
      <c r="AK11" s="2">
        <v>802</v>
      </c>
      <c r="AL11" s="2">
        <v>65438</v>
      </c>
      <c r="AM11" s="2">
        <v>650829</v>
      </c>
      <c r="AN11" s="2">
        <v>12095</v>
      </c>
      <c r="AO11" s="2">
        <v>662539</v>
      </c>
      <c r="AP11" s="35"/>
      <c r="AQ11" s="20" t="s">
        <v>56</v>
      </c>
      <c r="AR11" s="35" t="e">
        <f t="shared" si="1"/>
        <v>#N/A</v>
      </c>
      <c r="AS11" s="35" t="e">
        <f t="shared" si="2"/>
        <v>#N/A</v>
      </c>
      <c r="AT11" s="35" t="e">
        <f t="shared" si="3"/>
        <v>#N/A</v>
      </c>
      <c r="AU11" s="35" t="e">
        <f t="shared" si="4"/>
        <v>#N/A</v>
      </c>
      <c r="AV11" s="35" t="e">
        <f t="shared" si="5"/>
        <v>#N/A</v>
      </c>
      <c r="AW11" s="35" t="e">
        <f t="shared" si="6"/>
        <v>#N/A</v>
      </c>
      <c r="AX11" s="35" t="e">
        <f t="shared" si="7"/>
        <v>#N/A</v>
      </c>
      <c r="AY11" s="35"/>
      <c r="BA11" s="19" t="s">
        <v>275</v>
      </c>
      <c r="BB11" s="2">
        <v>93822</v>
      </c>
      <c r="BC11" s="2">
        <v>2084</v>
      </c>
      <c r="BD11" s="2">
        <v>95906</v>
      </c>
    </row>
    <row r="12" spans="2:61" x14ac:dyDescent="0.25">
      <c r="F12" s="35"/>
      <c r="G12" s="35">
        <f t="shared" si="8"/>
        <v>0</v>
      </c>
      <c r="H12" s="35">
        <f>D13/7</f>
        <v>0</v>
      </c>
      <c r="I12" s="35">
        <f t="shared" si="9"/>
        <v>0</v>
      </c>
      <c r="J12" s="35"/>
      <c r="K12" s="35"/>
      <c r="L12" s="19" t="s">
        <v>277</v>
      </c>
      <c r="M12" s="2">
        <v>93312</v>
      </c>
      <c r="N12" s="2">
        <v>2444</v>
      </c>
      <c r="O12" s="2">
        <v>95756</v>
      </c>
      <c r="P12" s="35"/>
      <c r="Q12" s="35"/>
      <c r="R12" s="35"/>
      <c r="S12" s="35"/>
      <c r="V12" s="35"/>
      <c r="W12" s="19" t="s">
        <v>55</v>
      </c>
      <c r="X12" s="2">
        <v>94338</v>
      </c>
      <c r="Y12" s="2">
        <v>2488</v>
      </c>
      <c r="Z12" s="2">
        <v>96826</v>
      </c>
      <c r="AA12" s="2">
        <v>185965</v>
      </c>
      <c r="AB12" s="2">
        <v>7008</v>
      </c>
      <c r="AC12" s="2">
        <v>192973</v>
      </c>
      <c r="AD12" s="2">
        <v>216602</v>
      </c>
      <c r="AE12" s="2">
        <v>6885</v>
      </c>
      <c r="AF12" s="2">
        <v>223487</v>
      </c>
      <c r="AG12" s="2">
        <v>90029</v>
      </c>
      <c r="AH12" s="2">
        <v>3298</v>
      </c>
      <c r="AI12" s="2">
        <v>93327</v>
      </c>
      <c r="AJ12" s="2">
        <v>65133</v>
      </c>
      <c r="AK12" s="2">
        <v>1782</v>
      </c>
      <c r="AL12" s="2">
        <v>66915</v>
      </c>
      <c r="AM12" s="2">
        <v>652067</v>
      </c>
      <c r="AN12" s="2">
        <v>21461</v>
      </c>
      <c r="AO12" s="2">
        <v>673528</v>
      </c>
      <c r="AP12" s="35"/>
      <c r="AQ12" s="20" t="s">
        <v>57</v>
      </c>
      <c r="AR12" s="35" t="e">
        <f t="shared" si="1"/>
        <v>#N/A</v>
      </c>
      <c r="AS12" s="35" t="e">
        <f t="shared" si="2"/>
        <v>#N/A</v>
      </c>
      <c r="AT12" s="35" t="e">
        <f t="shared" si="3"/>
        <v>#N/A</v>
      </c>
      <c r="AU12" s="35" t="e">
        <f t="shared" si="4"/>
        <v>#N/A</v>
      </c>
      <c r="AV12" s="35" t="e">
        <f t="shared" si="5"/>
        <v>#N/A</v>
      </c>
      <c r="AW12" s="35" t="e">
        <f t="shared" si="6"/>
        <v>#N/A</v>
      </c>
      <c r="AX12" s="35" t="e">
        <f t="shared" si="7"/>
        <v>#N/A</v>
      </c>
      <c r="AY12" s="35"/>
      <c r="BA12" s="19" t="s">
        <v>276</v>
      </c>
      <c r="BB12" s="2">
        <v>93635</v>
      </c>
      <c r="BC12" s="2">
        <v>2191</v>
      </c>
      <c r="BD12" s="2">
        <v>95826</v>
      </c>
    </row>
    <row r="13" spans="2:61" x14ac:dyDescent="0.25">
      <c r="F13" s="35"/>
      <c r="G13" s="35">
        <f t="shared" si="8"/>
        <v>0</v>
      </c>
      <c r="H13" s="35">
        <f t="shared" si="10"/>
        <v>0</v>
      </c>
      <c r="I13" s="35">
        <f t="shared" si="9"/>
        <v>0</v>
      </c>
      <c r="J13" s="35"/>
      <c r="K13" s="35"/>
      <c r="L13" s="19" t="s">
        <v>333</v>
      </c>
      <c r="M13" s="2">
        <v>93645</v>
      </c>
      <c r="N13" s="2">
        <v>2645</v>
      </c>
      <c r="O13" s="2">
        <v>96290</v>
      </c>
      <c r="P13" s="35"/>
      <c r="Q13" s="35"/>
      <c r="R13" s="35"/>
      <c r="S13" s="35"/>
      <c r="V13" s="35"/>
      <c r="W13" s="19" t="s">
        <v>46</v>
      </c>
      <c r="X13" s="2">
        <v>469939</v>
      </c>
      <c r="Y13" s="2">
        <v>9823</v>
      </c>
      <c r="Z13" s="2">
        <v>479762</v>
      </c>
      <c r="AA13" s="2">
        <v>941644</v>
      </c>
      <c r="AB13" s="2">
        <v>25048</v>
      </c>
      <c r="AC13" s="2">
        <v>966297</v>
      </c>
      <c r="AD13" s="2">
        <v>1080890</v>
      </c>
      <c r="AE13" s="2">
        <v>25352</v>
      </c>
      <c r="AF13" s="2">
        <v>1106242</v>
      </c>
      <c r="AG13" s="2">
        <v>449852</v>
      </c>
      <c r="AH13" s="2">
        <v>12482</v>
      </c>
      <c r="AI13" s="2">
        <v>462334</v>
      </c>
      <c r="AJ13" s="2">
        <v>324285</v>
      </c>
      <c r="AK13" s="2">
        <v>7309</v>
      </c>
      <c r="AL13" s="2">
        <v>331594</v>
      </c>
      <c r="AM13" s="2">
        <v>3266610</v>
      </c>
      <c r="AN13" s="2">
        <v>80014</v>
      </c>
      <c r="AO13" s="2">
        <v>3346229</v>
      </c>
      <c r="AP13" s="35"/>
      <c r="AQ13" s="20" t="s">
        <v>58</v>
      </c>
      <c r="AR13" s="35" t="e">
        <f t="shared" si="1"/>
        <v>#N/A</v>
      </c>
      <c r="AS13" s="35" t="e">
        <f t="shared" si="2"/>
        <v>#N/A</v>
      </c>
      <c r="AT13" s="35" t="e">
        <f t="shared" si="3"/>
        <v>#N/A</v>
      </c>
      <c r="AU13" s="35" t="e">
        <f t="shared" si="4"/>
        <v>#N/A</v>
      </c>
      <c r="AV13" s="35" t="e">
        <f t="shared" si="5"/>
        <v>#N/A</v>
      </c>
      <c r="AW13" s="35" t="e">
        <f t="shared" si="6"/>
        <v>#N/A</v>
      </c>
      <c r="AX13" s="35" t="e">
        <f t="shared" si="7"/>
        <v>#N/A</v>
      </c>
      <c r="AY13" s="35"/>
      <c r="BA13" s="19" t="s">
        <v>277</v>
      </c>
      <c r="BB13" s="2">
        <v>93312</v>
      </c>
      <c r="BC13" s="2">
        <v>2444</v>
      </c>
      <c r="BD13" s="2">
        <v>95756</v>
      </c>
    </row>
    <row r="14" spans="2:61" x14ac:dyDescent="0.25">
      <c r="F14" s="35"/>
      <c r="G14" s="35">
        <f t="shared" si="8"/>
        <v>0</v>
      </c>
      <c r="H14" s="35">
        <f t="shared" si="10"/>
        <v>0</v>
      </c>
      <c r="I14" s="35">
        <f t="shared" si="9"/>
        <v>0</v>
      </c>
      <c r="J14" s="35"/>
      <c r="K14" s="35"/>
      <c r="L14" s="19" t="s">
        <v>334</v>
      </c>
      <c r="M14" s="2">
        <v>93742</v>
      </c>
      <c r="N14" s="2">
        <v>2553</v>
      </c>
      <c r="O14" s="2">
        <v>96295</v>
      </c>
      <c r="P14" s="35"/>
      <c r="Q14" s="35"/>
      <c r="R14" s="35"/>
      <c r="S14" s="35"/>
      <c r="V14" s="35"/>
      <c r="AM14" s="35"/>
      <c r="AN14" s="35"/>
      <c r="AO14" s="35"/>
      <c r="AP14" s="35"/>
      <c r="AQ14" s="20" t="s">
        <v>59</v>
      </c>
      <c r="AR14" s="35" t="e">
        <f t="shared" si="1"/>
        <v>#N/A</v>
      </c>
      <c r="AS14" s="35" t="e">
        <f t="shared" si="2"/>
        <v>#N/A</v>
      </c>
      <c r="AT14" s="35" t="e">
        <f t="shared" si="3"/>
        <v>#N/A</v>
      </c>
      <c r="AU14" s="35" t="e">
        <f t="shared" si="4"/>
        <v>#N/A</v>
      </c>
      <c r="AV14" s="35" t="e">
        <f t="shared" si="5"/>
        <v>#N/A</v>
      </c>
      <c r="AW14" s="35" t="e">
        <f t="shared" si="6"/>
        <v>#N/A</v>
      </c>
      <c r="AX14" s="35" t="e">
        <f t="shared" si="7"/>
        <v>#N/A</v>
      </c>
      <c r="AY14" s="35"/>
      <c r="BA14" s="19" t="s">
        <v>333</v>
      </c>
      <c r="BB14" s="2">
        <v>93645</v>
      </c>
      <c r="BC14" s="2">
        <v>2645</v>
      </c>
      <c r="BD14" s="2">
        <v>96290</v>
      </c>
    </row>
    <row r="15" spans="2:61" x14ac:dyDescent="0.25">
      <c r="F15" s="35"/>
      <c r="G15" s="35">
        <f t="shared" si="8"/>
        <v>0</v>
      </c>
      <c r="H15" s="35">
        <f t="shared" si="10"/>
        <v>0</v>
      </c>
      <c r="I15" s="35">
        <f t="shared" si="9"/>
        <v>0</v>
      </c>
      <c r="J15" s="35"/>
      <c r="K15" s="35"/>
      <c r="L15" s="19" t="s">
        <v>335</v>
      </c>
      <c r="M15" s="2">
        <v>93762</v>
      </c>
      <c r="N15" s="2">
        <v>2442</v>
      </c>
      <c r="O15" s="2">
        <v>96204</v>
      </c>
      <c r="P15" s="35"/>
      <c r="Q15" s="35"/>
      <c r="R15" s="35"/>
      <c r="S15" s="35"/>
      <c r="V15" s="35"/>
      <c r="AM15" s="35"/>
      <c r="AN15" s="35"/>
      <c r="AO15" s="35"/>
      <c r="AP15" s="35"/>
      <c r="AQ15" s="20" t="s">
        <v>60</v>
      </c>
      <c r="AR15" s="35" t="e">
        <f t="shared" si="1"/>
        <v>#N/A</v>
      </c>
      <c r="AS15" s="35" t="e">
        <f t="shared" si="2"/>
        <v>#N/A</v>
      </c>
      <c r="AT15" s="35" t="e">
        <f t="shared" si="3"/>
        <v>#N/A</v>
      </c>
      <c r="AU15" s="35" t="e">
        <f t="shared" si="4"/>
        <v>#N/A</v>
      </c>
      <c r="AV15" s="35" t="e">
        <f t="shared" si="5"/>
        <v>#N/A</v>
      </c>
      <c r="AW15" s="35" t="e">
        <f t="shared" si="6"/>
        <v>#N/A</v>
      </c>
      <c r="AX15" s="35" t="e">
        <f t="shared" si="7"/>
        <v>#N/A</v>
      </c>
      <c r="AY15" s="35"/>
      <c r="BA15" s="19" t="s">
        <v>334</v>
      </c>
      <c r="BB15" s="2">
        <v>93742</v>
      </c>
      <c r="BC15" s="2">
        <v>2553</v>
      </c>
      <c r="BD15" s="2">
        <v>96295</v>
      </c>
    </row>
    <row r="16" spans="2:61" x14ac:dyDescent="0.25">
      <c r="F16" s="35"/>
      <c r="G16" s="35">
        <f t="shared" si="8"/>
        <v>0</v>
      </c>
      <c r="H16" s="35">
        <f t="shared" si="10"/>
        <v>0</v>
      </c>
      <c r="I16" s="35">
        <f t="shared" si="9"/>
        <v>0</v>
      </c>
      <c r="J16" s="35"/>
      <c r="K16" s="35"/>
      <c r="L16" s="19" t="s">
        <v>336</v>
      </c>
      <c r="M16" s="2">
        <v>93727</v>
      </c>
      <c r="N16" s="2">
        <v>2202</v>
      </c>
      <c r="O16" s="2">
        <v>95929</v>
      </c>
      <c r="P16" s="35"/>
      <c r="Q16" s="35"/>
      <c r="R16" s="35"/>
      <c r="S16" s="35"/>
      <c r="V16" s="35"/>
      <c r="AM16" s="35"/>
      <c r="AN16" s="35"/>
      <c r="AO16" s="35"/>
      <c r="AP16" s="35"/>
      <c r="AQ16" s="20" t="s">
        <v>61</v>
      </c>
      <c r="AR16" s="35" t="e">
        <f t="shared" si="1"/>
        <v>#N/A</v>
      </c>
      <c r="AS16" s="35" t="e">
        <f t="shared" si="2"/>
        <v>#N/A</v>
      </c>
      <c r="AT16" s="35" t="e">
        <f t="shared" si="3"/>
        <v>#N/A</v>
      </c>
      <c r="AU16" s="35" t="e">
        <f t="shared" si="4"/>
        <v>#N/A</v>
      </c>
      <c r="AV16" s="35" t="e">
        <f t="shared" si="5"/>
        <v>#N/A</v>
      </c>
      <c r="AW16" s="35" t="e">
        <f t="shared" si="6"/>
        <v>#N/A</v>
      </c>
      <c r="AX16" s="35" t="e">
        <f t="shared" si="7"/>
        <v>#N/A</v>
      </c>
      <c r="AY16" s="35"/>
      <c r="BA16" s="19" t="s">
        <v>335</v>
      </c>
      <c r="BB16" s="2">
        <v>93762</v>
      </c>
      <c r="BC16" s="2">
        <v>2442</v>
      </c>
      <c r="BD16" s="2">
        <v>96204</v>
      </c>
    </row>
    <row r="17" spans="6:56" x14ac:dyDescent="0.25">
      <c r="F17" s="35"/>
      <c r="G17" s="35">
        <f t="shared" si="8"/>
        <v>0</v>
      </c>
      <c r="H17" s="35">
        <f t="shared" si="10"/>
        <v>0</v>
      </c>
      <c r="I17" s="35">
        <f t="shared" si="9"/>
        <v>0</v>
      </c>
      <c r="J17" s="35"/>
      <c r="K17" s="35"/>
      <c r="L17" s="19" t="s">
        <v>337</v>
      </c>
      <c r="M17" s="2">
        <v>93345</v>
      </c>
      <c r="N17" s="2">
        <v>1940</v>
      </c>
      <c r="O17" s="2">
        <v>95285</v>
      </c>
      <c r="P17" s="35"/>
      <c r="Q17" s="35"/>
      <c r="R17" s="35"/>
      <c r="S17" s="35"/>
      <c r="V17" s="35"/>
      <c r="AM17" s="35"/>
      <c r="AN17" s="35"/>
      <c r="AO17" s="35"/>
      <c r="AP17" s="35"/>
      <c r="AQ17" s="20" t="s">
        <v>62</v>
      </c>
      <c r="AR17" s="35" t="e">
        <f t="shared" si="1"/>
        <v>#N/A</v>
      </c>
      <c r="AS17" s="35" t="e">
        <f t="shared" si="2"/>
        <v>#N/A</v>
      </c>
      <c r="AT17" s="35" t="e">
        <f t="shared" si="3"/>
        <v>#N/A</v>
      </c>
      <c r="AU17" s="35" t="e">
        <f t="shared" si="4"/>
        <v>#N/A</v>
      </c>
      <c r="AV17" s="35" t="e">
        <f t="shared" si="5"/>
        <v>#N/A</v>
      </c>
      <c r="AW17" s="35" t="e">
        <f t="shared" si="6"/>
        <v>#N/A</v>
      </c>
      <c r="AX17" s="35" t="e">
        <f t="shared" si="7"/>
        <v>#N/A</v>
      </c>
      <c r="AY17" s="35"/>
      <c r="BA17" s="19" t="s">
        <v>336</v>
      </c>
      <c r="BB17" s="2">
        <v>93727</v>
      </c>
      <c r="BC17" s="2">
        <v>2202</v>
      </c>
      <c r="BD17" s="2">
        <v>95929</v>
      </c>
    </row>
    <row r="18" spans="6:56" x14ac:dyDescent="0.25">
      <c r="F18" s="35"/>
      <c r="G18" s="35">
        <f t="shared" si="8"/>
        <v>0</v>
      </c>
      <c r="H18" s="35">
        <f t="shared" si="10"/>
        <v>0</v>
      </c>
      <c r="I18" s="35">
        <f t="shared" si="9"/>
        <v>0</v>
      </c>
      <c r="J18" s="35"/>
      <c r="K18" s="35"/>
      <c r="L18" s="19" t="s">
        <v>338</v>
      </c>
      <c r="M18" s="2">
        <v>92602</v>
      </c>
      <c r="N18" s="2">
        <v>1840</v>
      </c>
      <c r="O18" s="2">
        <v>94442</v>
      </c>
      <c r="P18" s="35"/>
      <c r="Q18" s="35"/>
      <c r="R18" s="35"/>
      <c r="S18" s="35"/>
      <c r="V18" s="35"/>
      <c r="AM18" s="35"/>
      <c r="AN18" s="35"/>
      <c r="AO18" s="35"/>
      <c r="AP18" s="35"/>
      <c r="AQ18" s="20" t="s">
        <v>63</v>
      </c>
      <c r="AR18" s="35" t="e">
        <f t="shared" si="1"/>
        <v>#N/A</v>
      </c>
      <c r="AS18" s="35" t="e">
        <f t="shared" si="2"/>
        <v>#N/A</v>
      </c>
      <c r="AT18" s="35" t="e">
        <f t="shared" si="3"/>
        <v>#N/A</v>
      </c>
      <c r="AU18" s="35" t="e">
        <f t="shared" si="4"/>
        <v>#N/A</v>
      </c>
      <c r="AV18" s="35" t="e">
        <f t="shared" si="5"/>
        <v>#N/A</v>
      </c>
      <c r="AW18" s="35" t="e">
        <f t="shared" si="6"/>
        <v>#N/A</v>
      </c>
      <c r="AX18" s="35" t="e">
        <f t="shared" si="7"/>
        <v>#N/A</v>
      </c>
      <c r="AY18" s="35"/>
      <c r="BA18" s="19" t="s">
        <v>337</v>
      </c>
      <c r="BB18" s="2">
        <v>93345</v>
      </c>
      <c r="BC18" s="2">
        <v>1940</v>
      </c>
      <c r="BD18" s="2">
        <v>95285</v>
      </c>
    </row>
    <row r="19" spans="6:56" x14ac:dyDescent="0.25">
      <c r="F19" s="35"/>
      <c r="G19" s="35">
        <f>C20/7</f>
        <v>0</v>
      </c>
      <c r="H19" s="35">
        <f>D20/7</f>
        <v>0</v>
      </c>
      <c r="I19" s="35">
        <f>E20/7</f>
        <v>0</v>
      </c>
      <c r="J19" s="35"/>
      <c r="K19" s="35"/>
      <c r="L19" s="19" t="s">
        <v>339</v>
      </c>
      <c r="M19" s="2">
        <v>93489</v>
      </c>
      <c r="N19" s="2">
        <v>2125</v>
      </c>
      <c r="O19" s="2">
        <v>95604</v>
      </c>
      <c r="P19" s="35"/>
      <c r="Q19" s="35"/>
      <c r="R19" s="35"/>
      <c r="S19" s="35"/>
      <c r="V19" s="35"/>
      <c r="AM19" s="35"/>
      <c r="AN19" s="35"/>
      <c r="AO19" s="35"/>
      <c r="AP19" s="35"/>
      <c r="AQ19" s="20" t="s">
        <v>64</v>
      </c>
      <c r="AR19" s="35" t="e">
        <f t="shared" si="1"/>
        <v>#N/A</v>
      </c>
      <c r="AS19" s="35" t="e">
        <f t="shared" si="2"/>
        <v>#N/A</v>
      </c>
      <c r="AT19" s="35" t="e">
        <f t="shared" si="3"/>
        <v>#N/A</v>
      </c>
      <c r="AU19" s="35" t="e">
        <f t="shared" si="4"/>
        <v>#N/A</v>
      </c>
      <c r="AV19" s="35" t="e">
        <f t="shared" si="5"/>
        <v>#N/A</v>
      </c>
      <c r="AW19" s="35" t="e">
        <f>(VLOOKUP(AQ19,$W$8:$AO$1048576,14,FALSE))/7</f>
        <v>#N/A</v>
      </c>
      <c r="AX19" s="35" t="e">
        <f t="shared" si="7"/>
        <v>#N/A</v>
      </c>
      <c r="AY19" s="35"/>
      <c r="BA19" s="19" t="s">
        <v>338</v>
      </c>
      <c r="BB19" s="2">
        <v>92602</v>
      </c>
      <c r="BC19" s="2">
        <v>1840</v>
      </c>
      <c r="BD19" s="2">
        <v>94442</v>
      </c>
    </row>
    <row r="20" spans="6:56" x14ac:dyDescent="0.25">
      <c r="F20" s="35"/>
      <c r="G20" s="35"/>
      <c r="H20" s="35"/>
      <c r="I20" s="35"/>
      <c r="J20" s="35"/>
      <c r="K20" s="35"/>
      <c r="L20" s="19" t="s">
        <v>347</v>
      </c>
      <c r="M20" s="2">
        <v>93694</v>
      </c>
      <c r="N20" s="2">
        <v>2421</v>
      </c>
      <c r="O20" s="2">
        <v>96115</v>
      </c>
      <c r="P20" s="35"/>
      <c r="Q20" s="35"/>
      <c r="R20" s="35"/>
      <c r="S20" s="35"/>
      <c r="BA20" s="19" t="s">
        <v>339</v>
      </c>
      <c r="BB20" s="2">
        <v>93489</v>
      </c>
      <c r="BC20" s="2">
        <v>2125</v>
      </c>
      <c r="BD20" s="2">
        <v>95604</v>
      </c>
    </row>
    <row r="21" spans="6:56" x14ac:dyDescent="0.25">
      <c r="L21" s="19" t="s">
        <v>348</v>
      </c>
      <c r="M21" s="2">
        <v>93676</v>
      </c>
      <c r="N21" s="2">
        <v>2322</v>
      </c>
      <c r="O21" s="2">
        <v>95998</v>
      </c>
      <c r="V21" s="43"/>
      <c r="AM21" s="43"/>
      <c r="AN21" s="43"/>
      <c r="AO21" s="43"/>
      <c r="AP21" s="43"/>
      <c r="AQ21" s="43"/>
      <c r="AR21" s="43"/>
      <c r="AS21" s="43"/>
      <c r="AT21" s="43"/>
      <c r="AU21" s="43"/>
      <c r="AV21" s="43"/>
      <c r="AW21" s="43"/>
      <c r="AX21" s="43"/>
      <c r="AY21" s="43"/>
      <c r="BA21" s="19" t="s">
        <v>347</v>
      </c>
      <c r="BB21" s="2">
        <v>93694</v>
      </c>
      <c r="BC21" s="2">
        <v>2421</v>
      </c>
      <c r="BD21" s="2">
        <v>96115</v>
      </c>
    </row>
    <row r="22" spans="6:56" x14ac:dyDescent="0.25">
      <c r="L22" s="19" t="s">
        <v>349</v>
      </c>
      <c r="M22" s="2">
        <v>93671</v>
      </c>
      <c r="N22" s="2">
        <v>2258</v>
      </c>
      <c r="O22" s="2">
        <v>95929</v>
      </c>
      <c r="V22" s="35"/>
      <c r="AM22" s="35"/>
      <c r="AN22" s="35"/>
      <c r="AO22" s="35"/>
      <c r="AP22" s="35"/>
      <c r="AQ22" s="36" t="s">
        <v>243</v>
      </c>
      <c r="AR22" t="s">
        <v>303</v>
      </c>
      <c r="AS22" s="43" t="s">
        <v>2</v>
      </c>
      <c r="AT22" s="43" t="s">
        <v>65</v>
      </c>
      <c r="AU22" s="43" t="s">
        <v>3</v>
      </c>
      <c r="AV22" s="43" t="s">
        <v>304</v>
      </c>
      <c r="AW22" s="43" t="s">
        <v>305</v>
      </c>
      <c r="AX22" s="46" t="s">
        <v>298</v>
      </c>
      <c r="AY22" s="35"/>
      <c r="BA22" s="19" t="s">
        <v>348</v>
      </c>
      <c r="BB22" s="2">
        <v>93676</v>
      </c>
      <c r="BC22" s="2">
        <v>2322</v>
      </c>
      <c r="BD22" s="2">
        <v>95998</v>
      </c>
    </row>
    <row r="23" spans="6:56" x14ac:dyDescent="0.25">
      <c r="L23" s="19" t="s">
        <v>350</v>
      </c>
      <c r="M23" s="2">
        <v>93641</v>
      </c>
      <c r="N23" s="2">
        <v>1964</v>
      </c>
      <c r="O23" s="2">
        <v>95605</v>
      </c>
      <c r="V23" s="35"/>
      <c r="W23" s="35"/>
      <c r="X23" s="35"/>
      <c r="Y23" s="35"/>
      <c r="Z23" s="35"/>
      <c r="AA23" s="35"/>
      <c r="AB23" s="35"/>
      <c r="AC23" s="35"/>
      <c r="AD23" s="35"/>
      <c r="AE23" s="35"/>
      <c r="AF23" s="35"/>
      <c r="AG23" s="35"/>
      <c r="AH23" s="35"/>
      <c r="AI23" s="35"/>
      <c r="AJ23" s="35"/>
      <c r="AK23" s="35"/>
      <c r="AL23" s="35"/>
      <c r="AM23" s="35"/>
      <c r="AN23" s="35"/>
      <c r="AO23" s="35"/>
      <c r="AP23" s="35"/>
      <c r="AQ23" s="21" t="s">
        <v>51</v>
      </c>
      <c r="AR23" s="35">
        <f>(VLOOKUP(AQ23,$W$8:$AO$1048576,18,FALSE))/7</f>
        <v>2399.8571428571427</v>
      </c>
      <c r="AS23" s="35">
        <f>(VLOOKUP(AQ23,$W$8:$AO$1048576,3,FALSE))/7</f>
        <v>309.71428571428572</v>
      </c>
      <c r="AT23" s="35">
        <f>(VLOOKUP(AQ23,$W$8:$AO$1048576,6,FALSE))/7</f>
        <v>725.14285714285711</v>
      </c>
      <c r="AU23" s="35">
        <f>(VLOOKUP(AQ23,$W$8:$AO$1048576,9,FALSE))/7</f>
        <v>701.85714285714289</v>
      </c>
      <c r="AV23" s="35">
        <f>(VLOOKUP(AQ23,$W$8:$AO$1048576,12,FALSE))/7</f>
        <v>392.85714285714283</v>
      </c>
      <c r="AW23" s="35">
        <f>(VLOOKUP(AQ23,$W$8:$AO$1048576,15,FALSE))/7</f>
        <v>270.28571428571428</v>
      </c>
      <c r="AX23" s="35">
        <f>AV23+AW23</f>
        <v>663.14285714285711</v>
      </c>
      <c r="AY23" s="35"/>
      <c r="BA23" s="19" t="s">
        <v>349</v>
      </c>
      <c r="BB23" s="2">
        <v>93671</v>
      </c>
      <c r="BC23" s="2">
        <v>2258</v>
      </c>
      <c r="BD23" s="2">
        <v>95929</v>
      </c>
    </row>
    <row r="24" spans="6:56" x14ac:dyDescent="0.25">
      <c r="L24" s="19" t="s">
        <v>351</v>
      </c>
      <c r="M24" s="2">
        <v>93117</v>
      </c>
      <c r="N24" s="2">
        <v>1705</v>
      </c>
      <c r="O24" s="2">
        <v>94822</v>
      </c>
      <c r="V24" s="35"/>
      <c r="W24" s="35"/>
      <c r="X24" s="35"/>
      <c r="Y24" s="35"/>
      <c r="Z24" s="35"/>
      <c r="AA24" s="35"/>
      <c r="AB24" s="35"/>
      <c r="AC24" s="35"/>
      <c r="AD24" s="35"/>
      <c r="AE24" s="35"/>
      <c r="AF24" s="35"/>
      <c r="AG24" s="35"/>
      <c r="AH24" s="35"/>
      <c r="AI24" s="35"/>
      <c r="AJ24" s="35"/>
      <c r="AK24" s="35"/>
      <c r="AL24" s="35"/>
      <c r="AM24" s="35"/>
      <c r="AN24" s="35"/>
      <c r="AO24" s="35"/>
      <c r="AP24" s="35"/>
      <c r="AQ24" s="20" t="s">
        <v>52</v>
      </c>
      <c r="AR24" s="35">
        <f t="shared" ref="AR24:AR36" si="11">(VLOOKUP(AQ24,$W$8:$AO$1048576,18,FALSE))/7</f>
        <v>2249.5714285714284</v>
      </c>
      <c r="AS24" s="35">
        <f t="shared" ref="AS24:AS36" si="12">(VLOOKUP(AQ24,$W$8:$AO$1048576,3,FALSE))/7</f>
        <v>283.42857142857144</v>
      </c>
      <c r="AT24" s="35">
        <f t="shared" ref="AT24:AT36" si="13">(VLOOKUP(AQ24,$W$8:$AO$1048576,6,FALSE))/7</f>
        <v>683.85714285714289</v>
      </c>
      <c r="AU24" s="35">
        <f t="shared" ref="AU24:AU36" si="14">(VLOOKUP(AQ24,$W$8:$AO$1048576,9,FALSE))/7</f>
        <v>680.85714285714289</v>
      </c>
      <c r="AV24" s="35">
        <f t="shared" ref="AV24:AV36" si="15">(VLOOKUP(AQ24,$W$8:$AO$1048576,12,FALSE))/7</f>
        <v>364.42857142857144</v>
      </c>
      <c r="AW24" s="35">
        <f>(VLOOKUP(AQ24,$W$8:$AO$1048576,15,FALSE))/7</f>
        <v>237</v>
      </c>
      <c r="AX24" s="35">
        <f t="shared" ref="AX24:AX36" si="16">AV24+AW24</f>
        <v>601.42857142857144</v>
      </c>
      <c r="AY24" s="35"/>
      <c r="BA24" s="19" t="s">
        <v>350</v>
      </c>
      <c r="BB24" s="2">
        <v>93641</v>
      </c>
      <c r="BC24" s="2">
        <v>1964</v>
      </c>
      <c r="BD24" s="2">
        <v>95605</v>
      </c>
    </row>
    <row r="25" spans="6:56" x14ac:dyDescent="0.25">
      <c r="L25" s="19" t="s">
        <v>352</v>
      </c>
      <c r="M25" s="2">
        <v>92929</v>
      </c>
      <c r="N25" s="2">
        <v>1616</v>
      </c>
      <c r="O25" s="2">
        <v>94545</v>
      </c>
      <c r="V25" s="35"/>
      <c r="W25" s="35"/>
      <c r="X25" s="35"/>
      <c r="Y25" s="35"/>
      <c r="Z25" s="35"/>
      <c r="AA25" s="35"/>
      <c r="AB25" s="35"/>
      <c r="AC25" s="35"/>
      <c r="AD25" s="35"/>
      <c r="AE25" s="35"/>
      <c r="AF25" s="35"/>
      <c r="AG25" s="35"/>
      <c r="AH25" s="35"/>
      <c r="AI25" s="35"/>
      <c r="AJ25" s="35"/>
      <c r="AK25" s="35"/>
      <c r="AL25" s="35"/>
      <c r="AM25" s="35"/>
      <c r="AN25" s="35"/>
      <c r="AO25" s="35"/>
      <c r="AP25" s="35"/>
      <c r="AQ25" s="20" t="s">
        <v>53</v>
      </c>
      <c r="AR25" s="35">
        <f t="shared" si="11"/>
        <v>1987.4285714285713</v>
      </c>
      <c r="AS25" s="35">
        <f t="shared" si="12"/>
        <v>260.42857142857144</v>
      </c>
      <c r="AT25" s="35">
        <f t="shared" si="13"/>
        <v>600.57142857142856</v>
      </c>
      <c r="AU25" s="35">
        <f t="shared" si="14"/>
        <v>657.57142857142856</v>
      </c>
      <c r="AV25" s="35">
        <f t="shared" si="15"/>
        <v>301.14285714285717</v>
      </c>
      <c r="AW25" s="35">
        <f>(VLOOKUP(AQ25,$W$8:$AO$1048576,15,FALSE))/7</f>
        <v>167.71428571428572</v>
      </c>
      <c r="AX25" s="35">
        <f t="shared" si="16"/>
        <v>468.85714285714289</v>
      </c>
      <c r="AY25" s="35"/>
      <c r="BA25" s="19" t="s">
        <v>351</v>
      </c>
      <c r="BB25" s="2">
        <v>93117</v>
      </c>
      <c r="BC25" s="2">
        <v>1705</v>
      </c>
      <c r="BD25" s="2">
        <v>94822</v>
      </c>
    </row>
    <row r="26" spans="6:56" x14ac:dyDescent="0.25">
      <c r="L26" s="19" t="s">
        <v>353</v>
      </c>
      <c r="M26" s="2">
        <v>93127</v>
      </c>
      <c r="N26" s="2">
        <v>1626</v>
      </c>
      <c r="O26" s="2">
        <v>94753</v>
      </c>
      <c r="V26" s="35"/>
      <c r="W26" s="35"/>
      <c r="X26" s="35"/>
      <c r="Y26" s="35"/>
      <c r="Z26" s="35"/>
      <c r="AA26" s="35"/>
      <c r="AB26" s="35"/>
      <c r="AC26" s="35"/>
      <c r="AD26" s="35"/>
      <c r="AE26" s="35"/>
      <c r="AF26" s="35"/>
      <c r="AG26" s="35"/>
      <c r="AH26" s="35"/>
      <c r="AI26" s="35"/>
      <c r="AJ26" s="35"/>
      <c r="AK26" s="35"/>
      <c r="AL26" s="35"/>
      <c r="AM26" s="35"/>
      <c r="AN26" s="35"/>
      <c r="AO26" s="35"/>
      <c r="AP26" s="35"/>
      <c r="AQ26" s="20" t="s">
        <v>54</v>
      </c>
      <c r="AR26" s="35">
        <f t="shared" si="11"/>
        <v>1727.8571428571429</v>
      </c>
      <c r="AS26" s="35">
        <f t="shared" si="12"/>
        <v>194.28571428571428</v>
      </c>
      <c r="AT26" s="35">
        <f t="shared" si="13"/>
        <v>567.57142857142856</v>
      </c>
      <c r="AU26" s="35">
        <f t="shared" si="14"/>
        <v>597.85714285714289</v>
      </c>
      <c r="AV26" s="35">
        <f t="shared" si="15"/>
        <v>253.57142857142858</v>
      </c>
      <c r="AW26" s="35">
        <f>(VLOOKUP(AQ26,$W$8:$AO$1048576,15,FALSE))/7</f>
        <v>114.57142857142857</v>
      </c>
      <c r="AX26" s="35">
        <f t="shared" si="16"/>
        <v>368.14285714285717</v>
      </c>
      <c r="AY26" s="35"/>
      <c r="BA26" s="19" t="s">
        <v>352</v>
      </c>
      <c r="BB26" s="2">
        <v>92929</v>
      </c>
      <c r="BC26" s="2">
        <v>1616</v>
      </c>
      <c r="BD26" s="2">
        <v>94545</v>
      </c>
    </row>
    <row r="27" spans="6:56" x14ac:dyDescent="0.25">
      <c r="L27" s="19" t="s">
        <v>355</v>
      </c>
      <c r="M27" s="2">
        <v>92972</v>
      </c>
      <c r="N27" s="2">
        <v>1364</v>
      </c>
      <c r="O27" s="2">
        <v>94336</v>
      </c>
      <c r="V27" s="35"/>
      <c r="W27" s="35"/>
      <c r="X27" s="35"/>
      <c r="Y27" s="35"/>
      <c r="Z27" s="35"/>
      <c r="AA27" s="35"/>
      <c r="AB27" s="35"/>
      <c r="AC27" s="35"/>
      <c r="AD27" s="35"/>
      <c r="AE27" s="35"/>
      <c r="AF27" s="35"/>
      <c r="AG27" s="35"/>
      <c r="AH27" s="35"/>
      <c r="AI27" s="35"/>
      <c r="AJ27" s="35"/>
      <c r="AK27" s="35"/>
      <c r="AL27" s="35"/>
      <c r="AM27" s="35"/>
      <c r="AN27" s="35"/>
      <c r="AO27" s="35"/>
      <c r="AP27" s="35"/>
      <c r="AQ27" s="20" t="s">
        <v>55</v>
      </c>
      <c r="AR27" s="35">
        <f t="shared" si="11"/>
        <v>3065.8571428571427</v>
      </c>
      <c r="AS27" s="35">
        <f t="shared" si="12"/>
        <v>355.42857142857144</v>
      </c>
      <c r="AT27" s="35">
        <f t="shared" si="13"/>
        <v>1001.1428571428571</v>
      </c>
      <c r="AU27" s="35">
        <f t="shared" si="14"/>
        <v>983.57142857142856</v>
      </c>
      <c r="AV27" s="35">
        <f t="shared" si="15"/>
        <v>471.14285714285717</v>
      </c>
      <c r="AW27" s="35">
        <f t="shared" ref="AW27:AW35" si="17">(VLOOKUP(AQ27,$W$8:$AO$1048576,14,FALSE))/7</f>
        <v>9304.7142857142862</v>
      </c>
      <c r="AX27" s="35">
        <f t="shared" si="16"/>
        <v>9775.8571428571431</v>
      </c>
      <c r="AY27" s="35"/>
      <c r="BA27" s="19" t="s">
        <v>353</v>
      </c>
      <c r="BB27" s="2">
        <v>93127</v>
      </c>
      <c r="BC27" s="2">
        <v>1626</v>
      </c>
      <c r="BD27" s="2">
        <v>94753</v>
      </c>
    </row>
    <row r="28" spans="6:56" x14ac:dyDescent="0.25">
      <c r="L28" s="19" t="s">
        <v>356</v>
      </c>
      <c r="M28" s="2">
        <v>92838</v>
      </c>
      <c r="N28" s="2">
        <v>1244</v>
      </c>
      <c r="O28" s="2">
        <v>94082</v>
      </c>
      <c r="V28" s="35"/>
      <c r="W28" s="35"/>
      <c r="X28" s="35"/>
      <c r="Y28" s="35"/>
      <c r="Z28" s="35"/>
      <c r="AA28" s="35"/>
      <c r="AB28" s="35"/>
      <c r="AC28" s="35"/>
      <c r="AD28" s="35"/>
      <c r="AE28" s="35"/>
      <c r="AF28" s="35"/>
      <c r="AG28" s="35"/>
      <c r="AH28" s="35"/>
      <c r="AI28" s="35"/>
      <c r="AJ28" s="35"/>
      <c r="AK28" s="35"/>
      <c r="AL28" s="35"/>
      <c r="AM28" s="35"/>
      <c r="AN28" s="35"/>
      <c r="AO28" s="35"/>
      <c r="AP28" s="35"/>
      <c r="AQ28" s="20" t="s">
        <v>56</v>
      </c>
      <c r="AR28" s="35" t="e">
        <f t="shared" si="11"/>
        <v>#N/A</v>
      </c>
      <c r="AS28" s="35" t="e">
        <f t="shared" si="12"/>
        <v>#N/A</v>
      </c>
      <c r="AT28" s="35" t="e">
        <f t="shared" si="13"/>
        <v>#N/A</v>
      </c>
      <c r="AU28" s="35" t="e">
        <f t="shared" si="14"/>
        <v>#N/A</v>
      </c>
      <c r="AV28" s="35" t="e">
        <f t="shared" si="15"/>
        <v>#N/A</v>
      </c>
      <c r="AW28" s="35" t="e">
        <f t="shared" si="17"/>
        <v>#N/A</v>
      </c>
      <c r="AX28" s="35" t="e">
        <f t="shared" si="16"/>
        <v>#N/A</v>
      </c>
      <c r="AY28" s="35"/>
      <c r="BA28" s="19" t="s">
        <v>355</v>
      </c>
      <c r="BB28" s="2">
        <v>92972</v>
      </c>
      <c r="BC28" s="2">
        <v>1364</v>
      </c>
      <c r="BD28" s="2">
        <v>94336</v>
      </c>
    </row>
    <row r="29" spans="6:56" x14ac:dyDescent="0.25">
      <c r="L29" s="19" t="s">
        <v>357</v>
      </c>
      <c r="M29" s="2">
        <v>92972</v>
      </c>
      <c r="N29" s="2">
        <v>1412</v>
      </c>
      <c r="O29" s="2">
        <v>94384</v>
      </c>
      <c r="V29" s="35"/>
      <c r="W29" s="35"/>
      <c r="X29" s="35"/>
      <c r="Y29" s="35"/>
      <c r="Z29" s="35"/>
      <c r="AA29" s="35"/>
      <c r="AB29" s="35"/>
      <c r="AC29" s="35"/>
      <c r="AD29" s="35"/>
      <c r="AE29" s="35"/>
      <c r="AF29" s="35"/>
      <c r="AG29" s="35"/>
      <c r="AH29" s="35"/>
      <c r="AI29" s="35"/>
      <c r="AJ29" s="35"/>
      <c r="AK29" s="35"/>
      <c r="AL29" s="35"/>
      <c r="AM29" s="35"/>
      <c r="AN29" s="35"/>
      <c r="AO29" s="35"/>
      <c r="AP29" s="35"/>
      <c r="AQ29" s="20" t="s">
        <v>57</v>
      </c>
      <c r="AR29" s="35" t="e">
        <f t="shared" si="11"/>
        <v>#N/A</v>
      </c>
      <c r="AS29" s="35" t="e">
        <f t="shared" si="12"/>
        <v>#N/A</v>
      </c>
      <c r="AT29" s="35" t="e">
        <f t="shared" si="13"/>
        <v>#N/A</v>
      </c>
      <c r="AU29" s="35" t="e">
        <f t="shared" si="14"/>
        <v>#N/A</v>
      </c>
      <c r="AV29" s="35" t="e">
        <f t="shared" si="15"/>
        <v>#N/A</v>
      </c>
      <c r="AW29" s="35" t="e">
        <f t="shared" si="17"/>
        <v>#N/A</v>
      </c>
      <c r="AX29" s="35" t="e">
        <f t="shared" si="16"/>
        <v>#N/A</v>
      </c>
      <c r="AY29" s="35"/>
      <c r="BA29" s="19" t="s">
        <v>356</v>
      </c>
      <c r="BB29" s="2">
        <v>92838</v>
      </c>
      <c r="BC29" s="2">
        <v>1244</v>
      </c>
      <c r="BD29" s="2">
        <v>94082</v>
      </c>
    </row>
    <row r="30" spans="6:56" x14ac:dyDescent="0.25">
      <c r="L30" s="19" t="s">
        <v>358</v>
      </c>
      <c r="M30" s="2">
        <v>93086</v>
      </c>
      <c r="N30" s="2">
        <v>1778</v>
      </c>
      <c r="O30" s="2">
        <v>94864</v>
      </c>
      <c r="V30" s="35"/>
      <c r="W30" s="35"/>
      <c r="X30" s="35"/>
      <c r="Y30" s="35"/>
      <c r="Z30" s="35"/>
      <c r="AA30" s="35"/>
      <c r="AB30" s="35"/>
      <c r="AC30" s="35"/>
      <c r="AD30" s="35"/>
      <c r="AE30" s="35"/>
      <c r="AF30" s="35"/>
      <c r="AG30" s="35"/>
      <c r="AH30" s="35"/>
      <c r="AI30" s="35"/>
      <c r="AJ30" s="35"/>
      <c r="AK30" s="35"/>
      <c r="AL30" s="35"/>
      <c r="AM30" s="35"/>
      <c r="AN30" s="35"/>
      <c r="AO30" s="35"/>
      <c r="AP30" s="35"/>
      <c r="AQ30" s="20" t="s">
        <v>58</v>
      </c>
      <c r="AR30" s="35" t="e">
        <f t="shared" si="11"/>
        <v>#N/A</v>
      </c>
      <c r="AS30" s="35" t="e">
        <f t="shared" si="12"/>
        <v>#N/A</v>
      </c>
      <c r="AT30" s="35" t="e">
        <f t="shared" si="13"/>
        <v>#N/A</v>
      </c>
      <c r="AU30" s="35" t="e">
        <f t="shared" si="14"/>
        <v>#N/A</v>
      </c>
      <c r="AV30" s="35" t="e">
        <f t="shared" si="15"/>
        <v>#N/A</v>
      </c>
      <c r="AW30" s="35" t="e">
        <f t="shared" si="17"/>
        <v>#N/A</v>
      </c>
      <c r="AX30" s="35" t="e">
        <f t="shared" si="16"/>
        <v>#N/A</v>
      </c>
      <c r="AY30" s="35"/>
      <c r="BA30" s="19" t="s">
        <v>357</v>
      </c>
      <c r="BB30" s="2">
        <v>92972</v>
      </c>
      <c r="BC30" s="2">
        <v>1412</v>
      </c>
      <c r="BD30" s="2">
        <v>94384</v>
      </c>
    </row>
    <row r="31" spans="6:56" x14ac:dyDescent="0.25">
      <c r="L31" s="19" t="s">
        <v>359</v>
      </c>
      <c r="M31" s="2">
        <v>93073</v>
      </c>
      <c r="N31" s="2">
        <v>1836</v>
      </c>
      <c r="O31" s="2">
        <v>94909</v>
      </c>
      <c r="V31" s="35"/>
      <c r="W31" s="35"/>
      <c r="X31" s="35"/>
      <c r="Y31" s="35"/>
      <c r="Z31" s="35"/>
      <c r="AA31" s="35"/>
      <c r="AB31" s="35"/>
      <c r="AC31" s="35"/>
      <c r="AD31" s="35"/>
      <c r="AE31" s="35"/>
      <c r="AF31" s="35"/>
      <c r="AG31" s="35"/>
      <c r="AH31" s="35"/>
      <c r="AI31" s="35"/>
      <c r="AJ31" s="35"/>
      <c r="AK31" s="35"/>
      <c r="AL31" s="35"/>
      <c r="AM31" s="35"/>
      <c r="AN31" s="35"/>
      <c r="AO31" s="35"/>
      <c r="AP31" s="35"/>
      <c r="AQ31" s="20" t="s">
        <v>59</v>
      </c>
      <c r="AR31" s="35" t="e">
        <f t="shared" si="11"/>
        <v>#N/A</v>
      </c>
      <c r="AS31" s="35" t="e">
        <f t="shared" si="12"/>
        <v>#N/A</v>
      </c>
      <c r="AT31" s="35" t="e">
        <f t="shared" si="13"/>
        <v>#N/A</v>
      </c>
      <c r="AU31" s="35" t="e">
        <f t="shared" si="14"/>
        <v>#N/A</v>
      </c>
      <c r="AV31" s="35" t="e">
        <f t="shared" si="15"/>
        <v>#N/A</v>
      </c>
      <c r="AW31" s="35" t="e">
        <f t="shared" si="17"/>
        <v>#N/A</v>
      </c>
      <c r="AX31" s="35" t="e">
        <f t="shared" si="16"/>
        <v>#N/A</v>
      </c>
      <c r="AY31" s="35"/>
      <c r="BA31" s="19" t="s">
        <v>358</v>
      </c>
      <c r="BB31" s="2">
        <v>93086</v>
      </c>
      <c r="BC31" s="2">
        <v>1778</v>
      </c>
      <c r="BD31" s="2">
        <v>94864</v>
      </c>
    </row>
    <row r="32" spans="6:56" x14ac:dyDescent="0.25">
      <c r="L32" s="19" t="s">
        <v>360</v>
      </c>
      <c r="M32" s="2">
        <v>92874</v>
      </c>
      <c r="N32" s="2">
        <v>1986</v>
      </c>
      <c r="O32" s="2">
        <v>94860</v>
      </c>
      <c r="V32" s="35"/>
      <c r="W32" s="35"/>
      <c r="X32" s="35"/>
      <c r="Y32" s="35"/>
      <c r="Z32" s="35"/>
      <c r="AA32" s="35"/>
      <c r="AB32" s="35"/>
      <c r="AC32" s="35"/>
      <c r="AD32" s="35"/>
      <c r="AE32" s="35"/>
      <c r="AF32" s="35"/>
      <c r="AG32" s="35"/>
      <c r="AH32" s="35"/>
      <c r="AI32" s="35"/>
      <c r="AJ32" s="35"/>
      <c r="AK32" s="35"/>
      <c r="AL32" s="35"/>
      <c r="AM32" s="35"/>
      <c r="AN32" s="35"/>
      <c r="AO32" s="35"/>
      <c r="AP32" s="35"/>
      <c r="AQ32" s="20" t="s">
        <v>60</v>
      </c>
      <c r="AR32" s="35" t="e">
        <f t="shared" si="11"/>
        <v>#N/A</v>
      </c>
      <c r="AS32" s="35" t="e">
        <f t="shared" si="12"/>
        <v>#N/A</v>
      </c>
      <c r="AT32" s="35" t="e">
        <f t="shared" si="13"/>
        <v>#N/A</v>
      </c>
      <c r="AU32" s="35" t="e">
        <f t="shared" si="14"/>
        <v>#N/A</v>
      </c>
      <c r="AV32" s="35" t="e">
        <f t="shared" si="15"/>
        <v>#N/A</v>
      </c>
      <c r="AW32" s="35" t="e">
        <f t="shared" si="17"/>
        <v>#N/A</v>
      </c>
      <c r="AX32" s="35" t="e">
        <f t="shared" si="16"/>
        <v>#N/A</v>
      </c>
      <c r="AY32" s="35"/>
      <c r="BA32" s="19" t="s">
        <v>359</v>
      </c>
      <c r="BB32" s="2">
        <v>93073</v>
      </c>
      <c r="BC32" s="2">
        <v>1836</v>
      </c>
      <c r="BD32" s="2">
        <v>94909</v>
      </c>
    </row>
    <row r="33" spans="12:56" x14ac:dyDescent="0.25">
      <c r="L33" s="19" t="s">
        <v>361</v>
      </c>
      <c r="M33" s="2">
        <v>93014</v>
      </c>
      <c r="N33" s="2">
        <v>2475</v>
      </c>
      <c r="O33" s="2">
        <v>95104</v>
      </c>
      <c r="V33" s="35"/>
      <c r="W33" s="35"/>
      <c r="X33" s="35"/>
      <c r="Y33" s="35"/>
      <c r="Z33" s="35"/>
      <c r="AA33" s="35"/>
      <c r="AB33" s="35"/>
      <c r="AC33" s="35"/>
      <c r="AD33" s="35"/>
      <c r="AE33" s="35"/>
      <c r="AF33" s="35"/>
      <c r="AG33" s="35"/>
      <c r="AH33" s="35"/>
      <c r="AI33" s="35"/>
      <c r="AJ33" s="35"/>
      <c r="AK33" s="35"/>
      <c r="AL33" s="35"/>
      <c r="AM33" s="35"/>
      <c r="AN33" s="35"/>
      <c r="AO33" s="35"/>
      <c r="AP33" s="35"/>
      <c r="AQ33" s="20" t="s">
        <v>61</v>
      </c>
      <c r="AR33" s="35" t="e">
        <f t="shared" si="11"/>
        <v>#N/A</v>
      </c>
      <c r="AS33" s="35" t="e">
        <f t="shared" si="12"/>
        <v>#N/A</v>
      </c>
      <c r="AT33" s="35" t="e">
        <f t="shared" si="13"/>
        <v>#N/A</v>
      </c>
      <c r="AU33" s="35" t="e">
        <f t="shared" si="14"/>
        <v>#N/A</v>
      </c>
      <c r="AV33" s="35" t="e">
        <f t="shared" si="15"/>
        <v>#N/A</v>
      </c>
      <c r="AW33" s="35" t="e">
        <f t="shared" si="17"/>
        <v>#N/A</v>
      </c>
      <c r="AX33" s="35" t="e">
        <f t="shared" si="16"/>
        <v>#N/A</v>
      </c>
      <c r="AY33" s="35"/>
      <c r="BA33" s="19" t="s">
        <v>360</v>
      </c>
      <c r="BB33" s="2">
        <v>92874</v>
      </c>
      <c r="BC33" s="2">
        <v>1986</v>
      </c>
      <c r="BD33" s="2">
        <v>94860</v>
      </c>
    </row>
    <row r="34" spans="12:56" x14ac:dyDescent="0.25">
      <c r="L34" s="19" t="s">
        <v>363</v>
      </c>
      <c r="M34" s="2">
        <v>93193</v>
      </c>
      <c r="N34" s="2">
        <v>2579</v>
      </c>
      <c r="O34" s="2">
        <v>95772</v>
      </c>
      <c r="V34" s="35"/>
      <c r="W34" s="35"/>
      <c r="X34" s="35"/>
      <c r="Y34" s="35"/>
      <c r="Z34" s="35"/>
      <c r="AA34" s="35"/>
      <c r="AB34" s="35"/>
      <c r="AC34" s="35"/>
      <c r="AD34" s="35"/>
      <c r="AE34" s="35"/>
      <c r="AF34" s="35"/>
      <c r="AG34" s="35"/>
      <c r="AH34" s="35"/>
      <c r="AI34" s="35"/>
      <c r="AJ34" s="35"/>
      <c r="AK34" s="35"/>
      <c r="AL34" s="35"/>
      <c r="AM34" s="35"/>
      <c r="AN34" s="35"/>
      <c r="AO34" s="35"/>
      <c r="AP34" s="35"/>
      <c r="AQ34" s="20" t="s">
        <v>62</v>
      </c>
      <c r="AR34" s="35" t="e">
        <f t="shared" si="11"/>
        <v>#N/A</v>
      </c>
      <c r="AS34" s="35" t="e">
        <f t="shared" si="12"/>
        <v>#N/A</v>
      </c>
      <c r="AT34" s="35" t="e">
        <f t="shared" si="13"/>
        <v>#N/A</v>
      </c>
      <c r="AU34" s="35" t="e">
        <f t="shared" si="14"/>
        <v>#N/A</v>
      </c>
      <c r="AV34" s="35" t="e">
        <f t="shared" si="15"/>
        <v>#N/A</v>
      </c>
      <c r="AW34" s="35" t="e">
        <f t="shared" si="17"/>
        <v>#N/A</v>
      </c>
      <c r="AX34" s="35" t="e">
        <f t="shared" si="16"/>
        <v>#N/A</v>
      </c>
      <c r="AY34" s="35"/>
      <c r="BA34" s="19" t="s">
        <v>361</v>
      </c>
      <c r="BB34" s="2">
        <v>93014</v>
      </c>
      <c r="BC34" s="2">
        <v>2475</v>
      </c>
      <c r="BD34" s="2">
        <v>95104</v>
      </c>
    </row>
    <row r="35" spans="12:56" x14ac:dyDescent="0.25">
      <c r="L35" s="19" t="s">
        <v>364</v>
      </c>
      <c r="M35" s="2">
        <v>92979</v>
      </c>
      <c r="N35" s="2">
        <v>2813</v>
      </c>
      <c r="O35" s="2">
        <v>95792</v>
      </c>
      <c r="V35" s="35"/>
      <c r="W35" s="35"/>
      <c r="X35" s="35"/>
      <c r="Y35" s="35"/>
      <c r="Z35" s="35"/>
      <c r="AA35" s="35"/>
      <c r="AB35" s="35"/>
      <c r="AC35" s="35"/>
      <c r="AD35" s="35"/>
      <c r="AE35" s="35"/>
      <c r="AF35" s="35"/>
      <c r="AG35" s="35"/>
      <c r="AH35" s="35"/>
      <c r="AI35" s="35"/>
      <c r="AJ35" s="35"/>
      <c r="AK35" s="35"/>
      <c r="AL35" s="35"/>
      <c r="AM35" s="35"/>
      <c r="AN35" s="35"/>
      <c r="AO35" s="35"/>
      <c r="AP35" s="35"/>
      <c r="AQ35" s="20" t="s">
        <v>63</v>
      </c>
      <c r="AR35" s="35" t="e">
        <f t="shared" si="11"/>
        <v>#N/A</v>
      </c>
      <c r="AS35" s="35" t="e">
        <f t="shared" si="12"/>
        <v>#N/A</v>
      </c>
      <c r="AT35" s="35" t="e">
        <f t="shared" si="13"/>
        <v>#N/A</v>
      </c>
      <c r="AU35" s="35" t="e">
        <f t="shared" si="14"/>
        <v>#N/A</v>
      </c>
      <c r="AV35" s="35" t="e">
        <f t="shared" si="15"/>
        <v>#N/A</v>
      </c>
      <c r="AW35" s="35" t="e">
        <f t="shared" si="17"/>
        <v>#N/A</v>
      </c>
      <c r="AX35" s="35" t="e">
        <f t="shared" si="16"/>
        <v>#N/A</v>
      </c>
      <c r="AY35" s="35"/>
      <c r="BA35" s="19" t="s">
        <v>363</v>
      </c>
      <c r="BB35" s="2">
        <v>93193</v>
      </c>
      <c r="BC35" s="2">
        <v>2579</v>
      </c>
      <c r="BD35" s="2">
        <v>95772</v>
      </c>
    </row>
    <row r="36" spans="12:56" x14ac:dyDescent="0.25">
      <c r="L36" s="19" t="s">
        <v>365</v>
      </c>
      <c r="M36" s="2">
        <v>93220</v>
      </c>
      <c r="N36" s="2">
        <v>3146</v>
      </c>
      <c r="O36" s="2">
        <v>96366</v>
      </c>
      <c r="AQ36" s="20" t="s">
        <v>64</v>
      </c>
      <c r="AR36" s="35" t="e">
        <f t="shared" si="11"/>
        <v>#N/A</v>
      </c>
      <c r="AS36" s="35" t="e">
        <f t="shared" si="12"/>
        <v>#N/A</v>
      </c>
      <c r="AT36" s="35" t="e">
        <f t="shared" si="13"/>
        <v>#N/A</v>
      </c>
      <c r="AU36" s="35" t="e">
        <f t="shared" si="14"/>
        <v>#N/A</v>
      </c>
      <c r="AV36" s="35" t="e">
        <f t="shared" si="15"/>
        <v>#N/A</v>
      </c>
      <c r="AW36" s="35" t="e">
        <f>(VLOOKUP(AQ36,$W$8:$AO$1048576,14,FALSE))/7</f>
        <v>#N/A</v>
      </c>
      <c r="AX36" s="35" t="e">
        <f t="shared" si="16"/>
        <v>#N/A</v>
      </c>
      <c r="BA36" s="19" t="s">
        <v>364</v>
      </c>
      <c r="BB36" s="2">
        <v>92979</v>
      </c>
      <c r="BC36" s="2">
        <v>2813</v>
      </c>
      <c r="BD36" s="2">
        <v>95792</v>
      </c>
    </row>
    <row r="37" spans="12:56" x14ac:dyDescent="0.25">
      <c r="L37" s="19" t="s">
        <v>366</v>
      </c>
      <c r="M37" s="2">
        <v>93324</v>
      </c>
      <c r="N37" s="2">
        <v>3236</v>
      </c>
      <c r="O37" s="2">
        <v>96560</v>
      </c>
      <c r="V37" s="43"/>
      <c r="W37" s="43"/>
      <c r="X37" s="43"/>
      <c r="Y37" s="43"/>
      <c r="Z37" s="43"/>
      <c r="AA37" s="43"/>
      <c r="AB37" s="43"/>
      <c r="AC37" s="43"/>
      <c r="AD37" s="43"/>
      <c r="AE37" s="43"/>
      <c r="AF37" s="43"/>
      <c r="AG37" s="43"/>
      <c r="AH37" s="43"/>
      <c r="AI37" s="43"/>
      <c r="AJ37" s="43"/>
      <c r="AK37" s="43"/>
      <c r="AL37" s="43"/>
      <c r="AM37" s="43"/>
      <c r="AN37" s="43"/>
      <c r="AO37" s="43"/>
      <c r="AP37" s="43"/>
      <c r="AW37" s="43"/>
      <c r="AX37" s="43"/>
      <c r="AY37" s="43"/>
      <c r="BA37" s="19" t="s">
        <v>365</v>
      </c>
      <c r="BB37" s="2">
        <v>93220</v>
      </c>
      <c r="BC37" s="2">
        <v>3146</v>
      </c>
      <c r="BD37" s="2">
        <v>96366</v>
      </c>
    </row>
    <row r="38" spans="12:56" x14ac:dyDescent="0.25">
      <c r="L38" s="19" t="s">
        <v>367</v>
      </c>
      <c r="M38" s="2">
        <v>93198</v>
      </c>
      <c r="N38" s="2">
        <v>2966</v>
      </c>
      <c r="O38" s="2">
        <v>96164</v>
      </c>
      <c r="V38" s="35"/>
      <c r="W38" s="35"/>
      <c r="X38" s="35"/>
      <c r="Y38" s="35"/>
      <c r="Z38" s="35"/>
      <c r="AA38" s="35"/>
      <c r="AB38" s="35"/>
      <c r="AC38" s="35"/>
      <c r="AD38" s="35"/>
      <c r="AE38" s="35"/>
      <c r="AF38" s="35"/>
      <c r="AG38" s="35"/>
      <c r="AH38" s="35"/>
      <c r="AI38" s="35"/>
      <c r="AJ38" s="35"/>
      <c r="AK38" s="35"/>
      <c r="AL38" s="35"/>
      <c r="AM38" s="35"/>
      <c r="AN38" s="35"/>
      <c r="AO38" s="35"/>
      <c r="AP38" s="35"/>
      <c r="AQ38" s="36" t="s">
        <v>244</v>
      </c>
      <c r="AR38" t="s">
        <v>303</v>
      </c>
      <c r="AS38" s="43" t="s">
        <v>2</v>
      </c>
      <c r="AT38" s="43" t="s">
        <v>65</v>
      </c>
      <c r="AU38" s="43" t="s">
        <v>3</v>
      </c>
      <c r="AV38" s="43" t="s">
        <v>304</v>
      </c>
      <c r="AW38" s="43" t="s">
        <v>305</v>
      </c>
      <c r="AX38" s="46" t="s">
        <v>298</v>
      </c>
      <c r="AY38" s="35"/>
      <c r="BA38" s="19" t="s">
        <v>366</v>
      </c>
      <c r="BB38" s="2">
        <v>93324</v>
      </c>
      <c r="BC38" s="2">
        <v>3236</v>
      </c>
      <c r="BD38" s="2">
        <v>96560</v>
      </c>
    </row>
    <row r="39" spans="12:56" x14ac:dyDescent="0.25">
      <c r="L39" s="19" t="s">
        <v>368</v>
      </c>
      <c r="M39" s="2">
        <v>92884</v>
      </c>
      <c r="N39" s="2">
        <v>3098</v>
      </c>
      <c r="O39" s="2">
        <v>95982</v>
      </c>
      <c r="V39" s="35"/>
      <c r="W39" s="35"/>
      <c r="X39" s="35"/>
      <c r="Y39" s="35"/>
      <c r="Z39" s="35"/>
      <c r="AA39" s="35"/>
      <c r="AB39" s="35"/>
      <c r="AC39" s="35"/>
      <c r="AD39" s="35"/>
      <c r="AE39" s="35"/>
      <c r="AF39" s="35"/>
      <c r="AG39" s="35"/>
      <c r="AH39" s="35"/>
      <c r="AI39" s="35"/>
      <c r="AJ39" s="35"/>
      <c r="AK39" s="35"/>
      <c r="AL39" s="35"/>
      <c r="AM39" s="35"/>
      <c r="AN39" s="35"/>
      <c r="AO39" s="35"/>
      <c r="AP39" s="35"/>
      <c r="AQ39" s="21" t="s">
        <v>51</v>
      </c>
      <c r="AR39" s="35">
        <f>(VLOOKUP(AQ39,$W$8:$AO$1048576,19,FALSE))/7</f>
        <v>96049.428571428565</v>
      </c>
      <c r="AS39" s="35">
        <f>(VLOOKUP(AQ39,$W$8:$AO$1048576,4,FALSE))/7</f>
        <v>13726.285714285714</v>
      </c>
      <c r="AT39" s="35">
        <f>(VLOOKUP(AQ39,$W$8:$AO$1048576,7,FALSE))/7</f>
        <v>27857.571428571428</v>
      </c>
      <c r="AU39" s="35">
        <f>(VLOOKUP(AQ39,$W$8:$AO$1048576,10,FALSE))/7</f>
        <v>31623.428571428572</v>
      </c>
      <c r="AV39" s="35">
        <f>(VLOOKUP(AQ39,$W$8:$AO$1048576,13,FALSE))/7</f>
        <v>13302.714285714286</v>
      </c>
      <c r="AW39" s="35">
        <f>(VLOOKUP(AQ39,$W$8:$AO$1048576,16,FALSE))/7</f>
        <v>9539.4285714285706</v>
      </c>
      <c r="AX39" s="35">
        <f>AV39+AW39</f>
        <v>22842.142857142855</v>
      </c>
      <c r="AY39" s="35"/>
      <c r="BA39" s="19" t="s">
        <v>367</v>
      </c>
      <c r="BB39" s="2">
        <v>93198</v>
      </c>
      <c r="BC39" s="2">
        <v>2966</v>
      </c>
      <c r="BD39" s="2">
        <v>96164</v>
      </c>
    </row>
    <row r="40" spans="12:56" x14ac:dyDescent="0.25">
      <c r="L40" s="19" t="s">
        <v>369</v>
      </c>
      <c r="M40" s="2">
        <v>93269</v>
      </c>
      <c r="N40" s="2">
        <v>3623</v>
      </c>
      <c r="O40" s="2">
        <v>96892</v>
      </c>
      <c r="V40" s="35"/>
      <c r="W40" s="35"/>
      <c r="X40" s="35"/>
      <c r="Y40" s="35"/>
      <c r="Z40" s="35"/>
      <c r="AA40" s="35"/>
      <c r="AB40" s="35"/>
      <c r="AC40" s="35"/>
      <c r="AD40" s="35"/>
      <c r="AE40" s="35"/>
      <c r="AF40" s="35"/>
      <c r="AG40" s="35"/>
      <c r="AH40" s="35"/>
      <c r="AI40" s="35"/>
      <c r="AJ40" s="35"/>
      <c r="AK40" s="35"/>
      <c r="AL40" s="35"/>
      <c r="AM40" s="35"/>
      <c r="AN40" s="35"/>
      <c r="AO40" s="35"/>
      <c r="AP40" s="35"/>
      <c r="AQ40" s="20" t="s">
        <v>52</v>
      </c>
      <c r="AR40" s="35">
        <f t="shared" ref="AR40:AR52" si="18">(VLOOKUP(AQ40,$W$8:$AO$1048576,19,FALSE))/7</f>
        <v>95721.28571428571</v>
      </c>
      <c r="AS40" s="35">
        <f t="shared" ref="AS40:AS52" si="19">(VLOOKUP(AQ40,$W$8:$AO$1048576,4,FALSE))/7</f>
        <v>13712.142857142857</v>
      </c>
      <c r="AT40" s="35">
        <f t="shared" ref="AT40:AT52" si="20">(VLOOKUP(AQ40,$W$8:$AO$1048576,7,FALSE))/7</f>
        <v>27681.428571428572</v>
      </c>
      <c r="AU40" s="35">
        <f t="shared" ref="AU40:AU52" si="21">(VLOOKUP(AQ40,$W$8:$AO$1048576,10,FALSE))/7</f>
        <v>31622.428571428572</v>
      </c>
      <c r="AV40" s="35">
        <f t="shared" ref="AV40:AV52" si="22">(VLOOKUP(AQ40,$W$8:$AO$1048576,13,FALSE))/7</f>
        <v>13237.714285714286</v>
      </c>
      <c r="AW40" s="35">
        <f t="shared" ref="AW40:AW52" si="23">(VLOOKUP(AQ40,$W$8:$AO$1048576,16,FALSE))/7</f>
        <v>9467.5714285714294</v>
      </c>
      <c r="AX40" s="35">
        <f t="shared" ref="AX40:AX52" si="24">AV40+AW40</f>
        <v>22705.285714285717</v>
      </c>
      <c r="AY40" s="35"/>
      <c r="BA40" s="19" t="s">
        <v>368</v>
      </c>
      <c r="BB40" s="2">
        <v>92884</v>
      </c>
      <c r="BC40" s="2">
        <v>3098</v>
      </c>
      <c r="BD40" s="2">
        <v>95982</v>
      </c>
    </row>
    <row r="41" spans="12:56" x14ac:dyDescent="0.25">
      <c r="V41" s="35"/>
      <c r="W41" s="35"/>
      <c r="X41" s="35"/>
      <c r="Y41" s="35"/>
      <c r="Z41" s="35"/>
      <c r="AA41" s="35"/>
      <c r="AB41" s="35"/>
      <c r="AC41" s="35"/>
      <c r="AD41" s="35"/>
      <c r="AE41" s="35"/>
      <c r="AF41" s="35"/>
      <c r="AG41" s="35"/>
      <c r="AH41" s="35"/>
      <c r="AI41" s="35"/>
      <c r="AJ41" s="35"/>
      <c r="AK41" s="35"/>
      <c r="AL41" s="35"/>
      <c r="AM41" s="35"/>
      <c r="AN41" s="35"/>
      <c r="AO41" s="35"/>
      <c r="AP41" s="35"/>
      <c r="AQ41" s="20" t="s">
        <v>53</v>
      </c>
      <c r="AR41" s="35">
        <f t="shared" si="18"/>
        <v>95395.28571428571</v>
      </c>
      <c r="AS41" s="35">
        <f t="shared" si="19"/>
        <v>13691.285714285714</v>
      </c>
      <c r="AT41" s="35">
        <f t="shared" si="20"/>
        <v>27558</v>
      </c>
      <c r="AU41" s="35">
        <f t="shared" si="21"/>
        <v>31517.142857142859</v>
      </c>
      <c r="AV41" s="35">
        <f t="shared" si="22"/>
        <v>13172.857142857143</v>
      </c>
      <c r="AW41" s="35">
        <f t="shared" si="23"/>
        <v>9456</v>
      </c>
      <c r="AX41" s="35">
        <f t="shared" si="24"/>
        <v>22628.857142857145</v>
      </c>
      <c r="AY41" s="35"/>
      <c r="BA41" s="19" t="s">
        <v>369</v>
      </c>
      <c r="BB41" s="2">
        <v>93269</v>
      </c>
      <c r="BC41" s="2">
        <v>3623</v>
      </c>
      <c r="BD41" s="2">
        <v>96892</v>
      </c>
    </row>
    <row r="42" spans="12:56" x14ac:dyDescent="0.25">
      <c r="V42" s="35"/>
      <c r="W42" s="35"/>
      <c r="X42" s="35"/>
      <c r="Y42" s="35"/>
      <c r="Z42" s="35"/>
      <c r="AA42" s="35"/>
      <c r="AB42" s="35"/>
      <c r="AC42" s="35"/>
      <c r="AD42" s="35"/>
      <c r="AE42" s="35"/>
      <c r="AF42" s="35"/>
      <c r="AG42" s="35"/>
      <c r="AH42" s="35"/>
      <c r="AI42" s="35"/>
      <c r="AJ42" s="35"/>
      <c r="AK42" s="35"/>
      <c r="AL42" s="35"/>
      <c r="AM42" s="35"/>
      <c r="AN42" s="35"/>
      <c r="AO42" s="35"/>
      <c r="AP42" s="35"/>
      <c r="AQ42" s="20" t="s">
        <v>54</v>
      </c>
      <c r="AR42" s="35">
        <f t="shared" si="18"/>
        <v>94648.428571428565</v>
      </c>
      <c r="AS42" s="35">
        <f t="shared" si="19"/>
        <v>13575.428571428571</v>
      </c>
      <c r="AT42" s="35">
        <f t="shared" si="20"/>
        <v>27377.857142857141</v>
      </c>
      <c r="AU42" s="35">
        <f t="shared" si="21"/>
        <v>31344.857142857141</v>
      </c>
      <c r="AV42" s="35">
        <f t="shared" si="22"/>
        <v>13002</v>
      </c>
      <c r="AW42" s="35">
        <f t="shared" si="23"/>
        <v>9348.2857142857138</v>
      </c>
      <c r="AX42" s="35">
        <f t="shared" si="24"/>
        <v>22350.285714285714</v>
      </c>
      <c r="AY42" s="35"/>
    </row>
    <row r="43" spans="12:56" x14ac:dyDescent="0.25">
      <c r="V43" s="35"/>
      <c r="W43" s="35"/>
      <c r="X43" s="35"/>
      <c r="Y43" s="35"/>
      <c r="Z43" s="35"/>
      <c r="AA43" s="35"/>
      <c r="AB43" s="35"/>
      <c r="AC43" s="35"/>
      <c r="AD43" s="35"/>
      <c r="AE43" s="35"/>
      <c r="AF43" s="35"/>
      <c r="AG43" s="35"/>
      <c r="AH43" s="35"/>
      <c r="AI43" s="35"/>
      <c r="AJ43" s="35"/>
      <c r="AK43" s="35"/>
      <c r="AL43" s="35"/>
      <c r="AM43" s="35"/>
      <c r="AN43" s="35"/>
      <c r="AO43" s="35"/>
      <c r="AP43" s="35"/>
      <c r="AQ43" s="20" t="s">
        <v>55</v>
      </c>
      <c r="AR43" s="35">
        <f t="shared" si="18"/>
        <v>96218.28571428571</v>
      </c>
      <c r="AS43" s="35">
        <f t="shared" si="19"/>
        <v>13832.285714285714</v>
      </c>
      <c r="AT43" s="35">
        <f t="shared" si="20"/>
        <v>27567.571428571428</v>
      </c>
      <c r="AU43" s="35">
        <f t="shared" si="21"/>
        <v>31926.714285714286</v>
      </c>
      <c r="AV43" s="35">
        <f t="shared" si="22"/>
        <v>13332.428571428571</v>
      </c>
      <c r="AW43" s="35">
        <f t="shared" si="23"/>
        <v>9559.2857142857138</v>
      </c>
      <c r="AX43" s="35">
        <f t="shared" si="24"/>
        <v>22891.714285714283</v>
      </c>
      <c r="AY43" s="35"/>
    </row>
    <row r="44" spans="12:56" x14ac:dyDescent="0.25">
      <c r="V44" s="35"/>
      <c r="W44" s="35"/>
      <c r="X44" s="35"/>
      <c r="Y44" s="35"/>
      <c r="Z44" s="35"/>
      <c r="AA44" s="35"/>
      <c r="AB44" s="35"/>
      <c r="AC44" s="35"/>
      <c r="AD44" s="35"/>
      <c r="AE44" s="35"/>
      <c r="AF44" s="35"/>
      <c r="AG44" s="35"/>
      <c r="AH44" s="35"/>
      <c r="AI44" s="35"/>
      <c r="AJ44" s="35"/>
      <c r="AK44" s="35"/>
      <c r="AL44" s="35"/>
      <c r="AM44" s="35"/>
      <c r="AN44" s="35"/>
      <c r="AO44" s="35"/>
      <c r="AP44" s="35"/>
      <c r="AQ44" s="20" t="s">
        <v>56</v>
      </c>
      <c r="AR44" s="35" t="e">
        <f t="shared" si="18"/>
        <v>#N/A</v>
      </c>
      <c r="AS44" s="35" t="e">
        <f t="shared" si="19"/>
        <v>#N/A</v>
      </c>
      <c r="AT44" s="35" t="e">
        <f t="shared" si="20"/>
        <v>#N/A</v>
      </c>
      <c r="AU44" s="35" t="e">
        <f t="shared" si="21"/>
        <v>#N/A</v>
      </c>
      <c r="AV44" s="35" t="e">
        <f t="shared" si="22"/>
        <v>#N/A</v>
      </c>
      <c r="AW44" s="35" t="e">
        <f t="shared" si="23"/>
        <v>#N/A</v>
      </c>
      <c r="AX44" s="35" t="e">
        <f t="shared" si="24"/>
        <v>#N/A</v>
      </c>
      <c r="AY44" s="35"/>
    </row>
    <row r="45" spans="12:56" x14ac:dyDescent="0.25">
      <c r="V45" s="35"/>
      <c r="W45" s="35"/>
      <c r="X45" s="35"/>
      <c r="Y45" s="35"/>
      <c r="Z45" s="35"/>
      <c r="AA45" s="35"/>
      <c r="AB45" s="35"/>
      <c r="AC45" s="35"/>
      <c r="AD45" s="35"/>
      <c r="AE45" s="35"/>
      <c r="AF45" s="35"/>
      <c r="AG45" s="35"/>
      <c r="AH45" s="35"/>
      <c r="AI45" s="35"/>
      <c r="AJ45" s="35"/>
      <c r="AK45" s="35"/>
      <c r="AL45" s="35"/>
      <c r="AM45" s="35"/>
      <c r="AN45" s="35"/>
      <c r="AO45" s="35"/>
      <c r="AP45" s="35"/>
      <c r="AQ45" s="20" t="s">
        <v>57</v>
      </c>
      <c r="AR45" s="35" t="e">
        <f t="shared" si="18"/>
        <v>#N/A</v>
      </c>
      <c r="AS45" s="35" t="e">
        <f t="shared" si="19"/>
        <v>#N/A</v>
      </c>
      <c r="AT45" s="35" t="e">
        <f t="shared" si="20"/>
        <v>#N/A</v>
      </c>
      <c r="AU45" s="35" t="e">
        <f t="shared" si="21"/>
        <v>#N/A</v>
      </c>
      <c r="AV45" s="35" t="e">
        <f t="shared" si="22"/>
        <v>#N/A</v>
      </c>
      <c r="AW45" s="35" t="e">
        <f t="shared" si="23"/>
        <v>#N/A</v>
      </c>
      <c r="AX45" s="35" t="e">
        <f t="shared" si="24"/>
        <v>#N/A</v>
      </c>
      <c r="AY45" s="35"/>
    </row>
    <row r="46" spans="12:56" x14ac:dyDescent="0.25">
      <c r="V46" s="35"/>
      <c r="W46" s="35"/>
      <c r="X46" s="35"/>
      <c r="Y46" s="35"/>
      <c r="Z46" s="35"/>
      <c r="AA46" s="35"/>
      <c r="AB46" s="35"/>
      <c r="AC46" s="35"/>
      <c r="AD46" s="35"/>
      <c r="AE46" s="35"/>
      <c r="AF46" s="35"/>
      <c r="AG46" s="35"/>
      <c r="AH46" s="35"/>
      <c r="AI46" s="35"/>
      <c r="AJ46" s="35"/>
      <c r="AK46" s="35"/>
      <c r="AL46" s="35"/>
      <c r="AM46" s="35"/>
      <c r="AN46" s="35"/>
      <c r="AO46" s="35"/>
      <c r="AP46" s="35"/>
      <c r="AQ46" s="20" t="s">
        <v>58</v>
      </c>
      <c r="AR46" s="35" t="e">
        <f t="shared" si="18"/>
        <v>#N/A</v>
      </c>
      <c r="AS46" s="35" t="e">
        <f t="shared" si="19"/>
        <v>#N/A</v>
      </c>
      <c r="AT46" s="35" t="e">
        <f t="shared" si="20"/>
        <v>#N/A</v>
      </c>
      <c r="AU46" s="35" t="e">
        <f t="shared" si="21"/>
        <v>#N/A</v>
      </c>
      <c r="AV46" s="35" t="e">
        <f t="shared" si="22"/>
        <v>#N/A</v>
      </c>
      <c r="AW46" s="35" t="e">
        <f t="shared" si="23"/>
        <v>#N/A</v>
      </c>
      <c r="AX46" s="35" t="e">
        <f t="shared" si="24"/>
        <v>#N/A</v>
      </c>
      <c r="AY46" s="35"/>
    </row>
    <row r="47" spans="12:56" x14ac:dyDescent="0.25">
      <c r="V47" s="35"/>
      <c r="W47" s="35"/>
      <c r="X47" s="35"/>
      <c r="Y47" s="35"/>
      <c r="Z47" s="35"/>
      <c r="AA47" s="35"/>
      <c r="AB47" s="35"/>
      <c r="AC47" s="35"/>
      <c r="AD47" s="35"/>
      <c r="AE47" s="35"/>
      <c r="AF47" s="35"/>
      <c r="AG47" s="35"/>
      <c r="AH47" s="35"/>
      <c r="AI47" s="35"/>
      <c r="AJ47" s="35"/>
      <c r="AK47" s="35"/>
      <c r="AL47" s="35"/>
      <c r="AM47" s="35"/>
      <c r="AN47" s="35"/>
      <c r="AO47" s="35"/>
      <c r="AP47" s="35"/>
      <c r="AQ47" s="20" t="s">
        <v>59</v>
      </c>
      <c r="AR47" s="35" t="e">
        <f t="shared" si="18"/>
        <v>#N/A</v>
      </c>
      <c r="AS47" s="35" t="e">
        <f t="shared" si="19"/>
        <v>#N/A</v>
      </c>
      <c r="AT47" s="35" t="e">
        <f t="shared" si="20"/>
        <v>#N/A</v>
      </c>
      <c r="AU47" s="35" t="e">
        <f t="shared" si="21"/>
        <v>#N/A</v>
      </c>
      <c r="AV47" s="35" t="e">
        <f t="shared" si="22"/>
        <v>#N/A</v>
      </c>
      <c r="AW47" s="35" t="e">
        <f t="shared" si="23"/>
        <v>#N/A</v>
      </c>
      <c r="AX47" s="35" t="e">
        <f t="shared" si="24"/>
        <v>#N/A</v>
      </c>
      <c r="AY47" s="35"/>
    </row>
    <row r="48" spans="12:56" x14ac:dyDescent="0.25">
      <c r="V48" s="35"/>
      <c r="W48" s="35"/>
      <c r="X48" s="35"/>
      <c r="Y48" s="35"/>
      <c r="Z48" s="35"/>
      <c r="AA48" s="35"/>
      <c r="AB48" s="35"/>
      <c r="AC48" s="35"/>
      <c r="AD48" s="35"/>
      <c r="AE48" s="35"/>
      <c r="AF48" s="35"/>
      <c r="AG48" s="35"/>
      <c r="AH48" s="35"/>
      <c r="AI48" s="35"/>
      <c r="AJ48" s="35"/>
      <c r="AK48" s="35"/>
      <c r="AL48" s="35"/>
      <c r="AM48" s="35"/>
      <c r="AN48" s="35"/>
      <c r="AO48" s="35"/>
      <c r="AP48" s="35"/>
      <c r="AQ48" s="20" t="s">
        <v>60</v>
      </c>
      <c r="AR48" s="35" t="e">
        <f t="shared" si="18"/>
        <v>#N/A</v>
      </c>
      <c r="AS48" s="35" t="e">
        <f t="shared" si="19"/>
        <v>#N/A</v>
      </c>
      <c r="AT48" s="35" t="e">
        <f t="shared" si="20"/>
        <v>#N/A</v>
      </c>
      <c r="AU48" s="35" t="e">
        <f t="shared" si="21"/>
        <v>#N/A</v>
      </c>
      <c r="AV48" s="35" t="e">
        <f t="shared" si="22"/>
        <v>#N/A</v>
      </c>
      <c r="AW48" s="35" t="e">
        <f t="shared" si="23"/>
        <v>#N/A</v>
      </c>
      <c r="AX48" s="35" t="e">
        <f t="shared" si="24"/>
        <v>#N/A</v>
      </c>
      <c r="AY48" s="35"/>
    </row>
    <row r="49" spans="22:51" x14ac:dyDescent="0.25">
      <c r="V49" s="35"/>
      <c r="W49" s="35"/>
      <c r="X49" s="35"/>
      <c r="Y49" s="35"/>
      <c r="Z49" s="35"/>
      <c r="AA49" s="35"/>
      <c r="AB49" s="35"/>
      <c r="AC49" s="35"/>
      <c r="AD49" s="35"/>
      <c r="AE49" s="35"/>
      <c r="AF49" s="35"/>
      <c r="AG49" s="35"/>
      <c r="AH49" s="35"/>
      <c r="AI49" s="35"/>
      <c r="AJ49" s="35"/>
      <c r="AK49" s="35"/>
      <c r="AL49" s="35"/>
      <c r="AM49" s="35"/>
      <c r="AN49" s="35"/>
      <c r="AO49" s="35"/>
      <c r="AP49" s="35"/>
      <c r="AQ49" s="20" t="s">
        <v>61</v>
      </c>
      <c r="AR49" s="35" t="e">
        <f t="shared" si="18"/>
        <v>#N/A</v>
      </c>
      <c r="AS49" s="35" t="e">
        <f t="shared" si="19"/>
        <v>#N/A</v>
      </c>
      <c r="AT49" s="35" t="e">
        <f t="shared" si="20"/>
        <v>#N/A</v>
      </c>
      <c r="AU49" s="35" t="e">
        <f t="shared" si="21"/>
        <v>#N/A</v>
      </c>
      <c r="AV49" s="35" t="e">
        <f t="shared" si="22"/>
        <v>#N/A</v>
      </c>
      <c r="AW49" s="35" t="e">
        <f t="shared" si="23"/>
        <v>#N/A</v>
      </c>
      <c r="AX49" s="35" t="e">
        <f t="shared" si="24"/>
        <v>#N/A</v>
      </c>
      <c r="AY49" s="35"/>
    </row>
    <row r="50" spans="22:51" x14ac:dyDescent="0.25">
      <c r="V50" s="35"/>
      <c r="W50" s="35"/>
      <c r="X50" s="35"/>
      <c r="Y50" s="35"/>
      <c r="Z50" s="35"/>
      <c r="AA50" s="35"/>
      <c r="AB50" s="35"/>
      <c r="AC50" s="35"/>
      <c r="AD50" s="35"/>
      <c r="AE50" s="35"/>
      <c r="AF50" s="35"/>
      <c r="AG50" s="35"/>
      <c r="AH50" s="35"/>
      <c r="AI50" s="35"/>
      <c r="AJ50" s="35"/>
      <c r="AK50" s="35"/>
      <c r="AL50" s="35"/>
      <c r="AM50" s="35"/>
      <c r="AN50" s="35"/>
      <c r="AO50" s="35"/>
      <c r="AP50" s="35"/>
      <c r="AQ50" s="20" t="s">
        <v>62</v>
      </c>
      <c r="AR50" s="35" t="e">
        <f t="shared" si="18"/>
        <v>#N/A</v>
      </c>
      <c r="AS50" s="35" t="e">
        <f t="shared" si="19"/>
        <v>#N/A</v>
      </c>
      <c r="AT50" s="35" t="e">
        <f t="shared" si="20"/>
        <v>#N/A</v>
      </c>
      <c r="AU50" s="35" t="e">
        <f t="shared" si="21"/>
        <v>#N/A</v>
      </c>
      <c r="AV50" s="35" t="e">
        <f t="shared" si="22"/>
        <v>#N/A</v>
      </c>
      <c r="AW50" s="35" t="e">
        <f t="shared" si="23"/>
        <v>#N/A</v>
      </c>
      <c r="AX50" s="35" t="e">
        <f t="shared" si="24"/>
        <v>#N/A</v>
      </c>
      <c r="AY50" s="35"/>
    </row>
    <row r="51" spans="22:51" x14ac:dyDescent="0.25">
      <c r="V51" s="35"/>
      <c r="W51" s="35"/>
      <c r="X51" s="35"/>
      <c r="Y51" s="35"/>
      <c r="Z51" s="35"/>
      <c r="AA51" s="35"/>
      <c r="AB51" s="35"/>
      <c r="AC51" s="35"/>
      <c r="AD51" s="35"/>
      <c r="AE51" s="35"/>
      <c r="AF51" s="35"/>
      <c r="AG51" s="35"/>
      <c r="AH51" s="35"/>
      <c r="AI51" s="35"/>
      <c r="AJ51" s="35"/>
      <c r="AK51" s="35"/>
      <c r="AL51" s="35"/>
      <c r="AM51" s="35"/>
      <c r="AN51" s="35"/>
      <c r="AO51" s="35"/>
      <c r="AP51" s="35"/>
      <c r="AQ51" s="20" t="s">
        <v>63</v>
      </c>
      <c r="AR51" s="35" t="e">
        <f t="shared" si="18"/>
        <v>#N/A</v>
      </c>
      <c r="AS51" s="35" t="e">
        <f t="shared" si="19"/>
        <v>#N/A</v>
      </c>
      <c r="AT51" s="35" t="e">
        <f t="shared" si="20"/>
        <v>#N/A</v>
      </c>
      <c r="AU51" s="35" t="e">
        <f t="shared" si="21"/>
        <v>#N/A</v>
      </c>
      <c r="AV51" s="35" t="e">
        <f t="shared" si="22"/>
        <v>#N/A</v>
      </c>
      <c r="AW51" s="35" t="e">
        <f t="shared" si="23"/>
        <v>#N/A</v>
      </c>
      <c r="AX51" s="35" t="e">
        <f t="shared" si="24"/>
        <v>#N/A</v>
      </c>
      <c r="AY51" s="35"/>
    </row>
    <row r="52" spans="22:51" x14ac:dyDescent="0.25">
      <c r="AQ52" s="20" t="s">
        <v>64</v>
      </c>
      <c r="AR52" s="35" t="e">
        <f t="shared" si="18"/>
        <v>#N/A</v>
      </c>
      <c r="AS52" s="35" t="e">
        <f t="shared" si="19"/>
        <v>#N/A</v>
      </c>
      <c r="AT52" s="35" t="e">
        <f t="shared" si="20"/>
        <v>#N/A</v>
      </c>
      <c r="AU52" s="35" t="e">
        <f t="shared" si="21"/>
        <v>#N/A</v>
      </c>
      <c r="AV52" s="35" t="e">
        <f t="shared" si="22"/>
        <v>#N/A</v>
      </c>
      <c r="AW52" s="35" t="e">
        <f t="shared" si="23"/>
        <v>#N/A</v>
      </c>
      <c r="AX52" s="35" t="e">
        <f t="shared" si="24"/>
        <v>#N/A</v>
      </c>
    </row>
  </sheetData>
  <mergeCells count="4">
    <mergeCell ref="W1:AX1"/>
    <mergeCell ref="G3:I3"/>
    <mergeCell ref="B1:I1"/>
    <mergeCell ref="L1:T1"/>
  </mergeCells>
  <pageMargins left="0.7" right="0.7" top="0.75" bottom="0.75" header="0.3" footer="0.3"/>
  <pageSetup paperSize="9"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V569"/>
  <sheetViews>
    <sheetView topLeftCell="AD129" zoomScale="90" zoomScaleNormal="90" workbookViewId="0">
      <selection activeCell="AM150" sqref="AM150"/>
    </sheetView>
  </sheetViews>
  <sheetFormatPr defaultRowHeight="15" x14ac:dyDescent="0.25"/>
  <cols>
    <col min="1" max="1" width="3.7109375" customWidth="1"/>
    <col min="2" max="2" width="13.28515625" bestFit="1" customWidth="1"/>
    <col min="3" max="3" width="11.140625" bestFit="1" customWidth="1"/>
    <col min="4" max="4" width="9.28515625" bestFit="1" customWidth="1"/>
    <col min="9" max="9" width="13.28515625" bestFit="1" customWidth="1"/>
    <col min="10" max="10" width="16.28515625" bestFit="1" customWidth="1"/>
    <col min="11" max="11" width="9.28515625" bestFit="1" customWidth="1"/>
    <col min="12" max="12" width="27.85546875" bestFit="1" customWidth="1"/>
    <col min="13" max="13" width="9.28515625" bestFit="1" customWidth="1"/>
    <col min="14" max="14" width="16" bestFit="1" customWidth="1"/>
    <col min="15" max="15" width="9.28515625" bestFit="1" customWidth="1"/>
    <col min="16" max="16" width="20.140625" bestFit="1" customWidth="1"/>
    <col min="17" max="17" width="9.28515625" bestFit="1" customWidth="1"/>
    <col min="18" max="18" width="21.42578125" bestFit="1" customWidth="1"/>
    <col min="19" max="19" width="9.28515625" bestFit="1" customWidth="1"/>
    <col min="20" max="20" width="14.28515625" customWidth="1"/>
    <col min="21" max="21" width="14.28515625" bestFit="1" customWidth="1"/>
    <col min="33" max="33" width="78.140625" bestFit="1" customWidth="1"/>
    <col min="34" max="34" width="16.28515625" bestFit="1" customWidth="1"/>
    <col min="35" max="35" width="8.28515625" customWidth="1"/>
    <col min="36" max="36" width="8.7109375" customWidth="1"/>
    <col min="37" max="37" width="7.42578125" customWidth="1"/>
    <col min="38" max="38" width="9" customWidth="1"/>
    <col min="39" max="39" width="8.28515625" customWidth="1"/>
    <col min="40" max="40" width="11.5703125" bestFit="1" customWidth="1"/>
    <col min="41" max="41" width="12.5703125" bestFit="1" customWidth="1"/>
    <col min="42" max="42" width="9.5703125" customWidth="1"/>
    <col min="43" max="43" width="8.28515625" customWidth="1"/>
    <col min="44" max="44" width="8.7109375" customWidth="1"/>
    <col min="45" max="45" width="7.42578125" customWidth="1"/>
    <col min="46" max="46" width="9" customWidth="1"/>
    <col min="47" max="47" width="8.28515625" customWidth="1"/>
    <col min="48" max="48" width="11.5703125" bestFit="1" customWidth="1"/>
    <col min="49" max="49" width="12.5703125" bestFit="1" customWidth="1"/>
    <col min="50" max="50" width="9.5703125" customWidth="1"/>
    <col min="51" max="51" width="8.28515625" customWidth="1"/>
    <col min="52" max="52" width="8.7109375" customWidth="1"/>
    <col min="53" max="53" width="7.42578125" customWidth="1"/>
    <col min="54" max="54" width="9" customWidth="1"/>
    <col min="55" max="55" width="8.28515625" customWidth="1"/>
    <col min="56" max="56" width="11.5703125" bestFit="1" customWidth="1"/>
    <col min="57" max="57" width="12.5703125" bestFit="1" customWidth="1"/>
    <col min="58" max="58" width="9.5703125" customWidth="1"/>
    <col min="59" max="59" width="8.28515625" customWidth="1"/>
    <col min="60" max="60" width="8.7109375" customWidth="1"/>
    <col min="61" max="61" width="7.42578125" customWidth="1"/>
    <col min="62" max="62" width="9" customWidth="1"/>
    <col min="63" max="63" width="8.28515625" customWidth="1"/>
    <col min="64" max="64" width="11.5703125" bestFit="1" customWidth="1"/>
    <col min="65" max="65" width="12.5703125" bestFit="1" customWidth="1"/>
    <col min="66" max="66" width="9.5703125" customWidth="1"/>
    <col min="67" max="67" width="8.28515625" customWidth="1"/>
    <col min="68" max="68" width="8.7109375" customWidth="1"/>
    <col min="69" max="69" width="7.42578125" customWidth="1"/>
    <col min="70" max="70" width="9" customWidth="1"/>
    <col min="71" max="71" width="8.28515625" customWidth="1"/>
    <col min="72" max="72" width="11.5703125" bestFit="1" customWidth="1"/>
    <col min="73" max="73" width="12.5703125" bestFit="1" customWidth="1"/>
    <col min="74" max="74" width="11.28515625" bestFit="1" customWidth="1"/>
  </cols>
  <sheetData>
    <row r="1" spans="2:74" s="17" customFormat="1" ht="14.45" customHeight="1" x14ac:dyDescent="0.25">
      <c r="B1" s="45" t="s">
        <v>307</v>
      </c>
      <c r="C1" s="42"/>
      <c r="D1" s="42"/>
      <c r="E1" s="42"/>
      <c r="F1" s="42"/>
      <c r="G1" s="42"/>
      <c r="H1" s="38"/>
      <c r="I1" s="130" t="s">
        <v>312</v>
      </c>
      <c r="J1" s="130"/>
      <c r="K1" s="130"/>
      <c r="L1" s="130"/>
      <c r="M1" s="130"/>
      <c r="N1" s="130"/>
      <c r="O1" s="130"/>
      <c r="P1" s="130"/>
      <c r="Q1" s="130"/>
      <c r="R1" s="130"/>
      <c r="S1" s="130"/>
      <c r="T1" s="130"/>
      <c r="U1" s="130"/>
      <c r="V1" s="130"/>
      <c r="W1" s="130"/>
      <c r="X1" s="130"/>
      <c r="Y1" s="130"/>
      <c r="Z1" s="130"/>
      <c r="AA1" s="48"/>
      <c r="AB1" s="48"/>
      <c r="AC1" s="48"/>
      <c r="AD1" s="48"/>
    </row>
    <row r="3" spans="2:74" x14ac:dyDescent="0.25">
      <c r="B3" s="18" t="s">
        <v>47</v>
      </c>
      <c r="C3" t="s" vm="2">
        <v>262</v>
      </c>
      <c r="I3" s="18" t="s">
        <v>47</v>
      </c>
      <c r="J3" t="s" vm="2">
        <v>262</v>
      </c>
      <c r="X3" t="s">
        <v>48</v>
      </c>
      <c r="Y3" t="s">
        <v>2</v>
      </c>
      <c r="Z3" t="s">
        <v>65</v>
      </c>
      <c r="AA3" t="s">
        <v>3</v>
      </c>
      <c r="AB3" t="s">
        <v>304</v>
      </c>
      <c r="AC3" t="s">
        <v>305</v>
      </c>
      <c r="AD3" t="s">
        <v>298</v>
      </c>
      <c r="AG3" s="18" t="s">
        <v>47</v>
      </c>
      <c r="AH3" t="s" vm="2">
        <v>262</v>
      </c>
    </row>
    <row r="4" spans="2:74" x14ac:dyDescent="0.25">
      <c r="W4" s="43" t="s">
        <v>51</v>
      </c>
      <c r="X4" s="3">
        <f>(VLOOKUP($W4,$I$8:$U$1048576,13,FALSE)/VLOOKUP($W4,$I$8:$U$1048576,12,FALSE))</f>
        <v>0.94153307969408606</v>
      </c>
      <c r="Y4" s="3">
        <f>(VLOOKUP($W4,$I$8:$U$1048576,3,FALSE)/VLOOKUP($W4,$I$8:$U$1048576,2,FALSE))</f>
        <v>0.95124058115815324</v>
      </c>
      <c r="Z4" s="3">
        <f>(VLOOKUP($W4,$I$8:$U$1048576,5,FALSE)/VLOOKUP($W4,$I$8:$U$1048576,4,FALSE))</f>
        <v>0.9432470269688159</v>
      </c>
      <c r="AA4" s="3">
        <f>(VLOOKUP($W4,$I$8:$U$1048576,7,FALSE)/VLOOKUP($W4,$I$8:$U$1048576,6,FALSE))</f>
        <v>0.9320395366906995</v>
      </c>
      <c r="AB4" s="3">
        <f>(VLOOKUP($W4,$I$8:$U$1048576,9,FALSE)/VLOOKUP($W4,$I$8:$U$1048576,8,FALSE))</f>
        <v>0.950944490383273</v>
      </c>
      <c r="AC4" s="3">
        <f>(VLOOKUP($W4,$I$8:$U$1048576,11,FALSE)/VLOOKUP($W4,$I$8:$U$1048576,10,FALSE))</f>
        <v>0.94090691266323234</v>
      </c>
      <c r="AD4" s="32">
        <f>(AB4+AC4)/2</f>
        <v>0.94592570152325273</v>
      </c>
    </row>
    <row r="5" spans="2:74" x14ac:dyDescent="0.25">
      <c r="B5" s="18" t="s">
        <v>44</v>
      </c>
      <c r="C5" t="s">
        <v>67</v>
      </c>
      <c r="D5" t="s">
        <v>69</v>
      </c>
      <c r="H5" s="3"/>
      <c r="J5" s="18" t="s">
        <v>49</v>
      </c>
      <c r="V5" s="3"/>
      <c r="W5" s="43" t="s">
        <v>52</v>
      </c>
      <c r="X5" s="3">
        <f>(VLOOKUP($W5,$I$8:$U$1048576,13,FALSE)/VLOOKUP($W5,$I$8:$U$1048576,12,FALSE))</f>
        <v>0.93393915967339702</v>
      </c>
      <c r="Y5" s="3">
        <f>(VLOOKUP($W5,$I$8:$U$1048576,3,FALSE)/VLOOKUP($W5,$I$8:$U$1048576,2,FALSE))</f>
        <v>0.94419961452310253</v>
      </c>
      <c r="Z5" s="3">
        <f t="shared" ref="Z5:Z17" si="0">(VLOOKUP($W5,$I$8:$U$1048576,5,FALSE)/VLOOKUP($W5,$I$8:$U$1048576,4,FALSE))</f>
        <v>0.93814832017340144</v>
      </c>
      <c r="AA5" s="3">
        <f t="shared" ref="AA5:AA17" si="1">(VLOOKUP($W5,$I$8:$U$1048576,7,FALSE)/VLOOKUP($W5,$I$8:$U$1048576,6,FALSE))</f>
        <v>0.92271760097941335</v>
      </c>
      <c r="AB5" s="3">
        <f t="shared" ref="AB5:AB17" si="2">(VLOOKUP($W5,$I$8:$U$1048576,9,FALSE)/VLOOKUP($W5,$I$8:$U$1048576,8,FALSE))</f>
        <v>0.94618190451523787</v>
      </c>
      <c r="AC5" s="3">
        <f t="shared" ref="AC5:AC17" si="3">(VLOOKUP($W5,$I$8:$U$1048576,11,FALSE)/VLOOKUP($W5,$I$8:$U$1048576,10,FALSE))</f>
        <v>0.92713473058409912</v>
      </c>
      <c r="AD5" s="32">
        <f t="shared" ref="AD5:AD17" si="4">(AB5+AC5)/2</f>
        <v>0.93665831754966855</v>
      </c>
      <c r="AG5" s="18" t="s">
        <v>233</v>
      </c>
      <c r="AH5" s="18" t="s">
        <v>49</v>
      </c>
    </row>
    <row r="6" spans="2:74" x14ac:dyDescent="0.25">
      <c r="B6" s="19" t="s">
        <v>45</v>
      </c>
      <c r="C6" s="2">
        <v>672346</v>
      </c>
      <c r="D6" s="2">
        <v>633036</v>
      </c>
      <c r="E6" s="3"/>
      <c r="F6" s="3">
        <f>D6/C6</f>
        <v>0.94153307969408606</v>
      </c>
      <c r="G6" s="3"/>
      <c r="H6" s="3"/>
      <c r="J6" t="s">
        <v>2</v>
      </c>
      <c r="L6" t="s">
        <v>266</v>
      </c>
      <c r="N6" t="s">
        <v>50</v>
      </c>
      <c r="P6" t="s">
        <v>267</v>
      </c>
      <c r="R6" t="s">
        <v>268</v>
      </c>
      <c r="T6" t="s">
        <v>66</v>
      </c>
      <c r="U6" t="s">
        <v>68</v>
      </c>
      <c r="V6" s="3"/>
      <c r="W6" s="43" t="s">
        <v>53</v>
      </c>
      <c r="X6" s="3">
        <f t="shared" ref="X6:X17" si="5">(VLOOKUP($W6,$I$8:$U$1048576,13,FALSE)/VLOOKUP($W6,$I$8:$U$1048576,12,FALSE))</f>
        <v>0.91231222866658579</v>
      </c>
      <c r="Y6" s="3">
        <f t="shared" ref="Y6:Y16" si="6">(VLOOKUP($W6,$I$8:$U$1048576,3,FALSE)/VLOOKUP($W6,$I$8:$U$1048576,2,FALSE))</f>
        <v>0.92656434228236939</v>
      </c>
      <c r="Z6" s="3">
        <f t="shared" si="0"/>
        <v>0.91894497838325406</v>
      </c>
      <c r="AA6" s="3">
        <f t="shared" si="1"/>
        <v>0.89719427069168711</v>
      </c>
      <c r="AB6" s="3">
        <f t="shared" si="2"/>
        <v>0.92816397353866176</v>
      </c>
      <c r="AC6" s="3">
        <f t="shared" si="3"/>
        <v>0.90065264684554025</v>
      </c>
      <c r="AD6" s="32">
        <f t="shared" si="4"/>
        <v>0.914408310192101</v>
      </c>
      <c r="AH6" t="s">
        <v>51</v>
      </c>
      <c r="AO6" t="s">
        <v>232</v>
      </c>
      <c r="AP6" t="s">
        <v>52</v>
      </c>
      <c r="AW6" t="s">
        <v>340</v>
      </c>
      <c r="AX6" t="s">
        <v>53</v>
      </c>
      <c r="BE6" t="s">
        <v>354</v>
      </c>
      <c r="BF6" t="s">
        <v>54</v>
      </c>
      <c r="BM6" t="s">
        <v>362</v>
      </c>
      <c r="BN6" t="s">
        <v>55</v>
      </c>
      <c r="BU6" t="s">
        <v>370</v>
      </c>
      <c r="BV6" t="s">
        <v>46</v>
      </c>
    </row>
    <row r="7" spans="2:74" x14ac:dyDescent="0.25">
      <c r="B7" s="19" t="s">
        <v>283</v>
      </c>
      <c r="C7" s="2">
        <v>670049</v>
      </c>
      <c r="D7" s="2">
        <v>625785</v>
      </c>
      <c r="E7" s="3"/>
      <c r="F7" s="3">
        <f>D7/C7</f>
        <v>0.93393915967339702</v>
      </c>
      <c r="G7" s="3"/>
      <c r="H7" s="3"/>
      <c r="I7" s="18" t="s">
        <v>44</v>
      </c>
      <c r="J7" t="s">
        <v>67</v>
      </c>
      <c r="K7" t="s">
        <v>69</v>
      </c>
      <c r="L7" t="s">
        <v>67</v>
      </c>
      <c r="M7" t="s">
        <v>69</v>
      </c>
      <c r="N7" t="s">
        <v>67</v>
      </c>
      <c r="O7" t="s">
        <v>69</v>
      </c>
      <c r="P7" t="s">
        <v>67</v>
      </c>
      <c r="Q7" t="s">
        <v>69</v>
      </c>
      <c r="R7" t="s">
        <v>67</v>
      </c>
      <c r="S7" t="s">
        <v>69</v>
      </c>
      <c r="V7" s="3"/>
      <c r="W7" s="43" t="s">
        <v>54</v>
      </c>
      <c r="X7" s="3">
        <f t="shared" si="5"/>
        <v>0.87478774834387107</v>
      </c>
      <c r="Y7" s="3">
        <f t="shared" si="6"/>
        <v>0.87722565980553102</v>
      </c>
      <c r="Z7" s="3">
        <f t="shared" si="0"/>
        <v>0.88934227347439276</v>
      </c>
      <c r="AA7" s="3">
        <f t="shared" si="1"/>
        <v>0.85858240586288936</v>
      </c>
      <c r="AB7" s="3">
        <f t="shared" si="2"/>
        <v>0.90046586239479642</v>
      </c>
      <c r="AC7" s="3">
        <f t="shared" si="3"/>
        <v>0.84724472019315988</v>
      </c>
      <c r="AD7" s="32">
        <f t="shared" si="4"/>
        <v>0.8738552912939781</v>
      </c>
      <c r="AG7" s="18" t="s">
        <v>44</v>
      </c>
      <c r="AH7" t="s">
        <v>225</v>
      </c>
      <c r="AI7" t="s">
        <v>226</v>
      </c>
      <c r="AJ7" t="s">
        <v>227</v>
      </c>
      <c r="AK7" t="s">
        <v>228</v>
      </c>
      <c r="AL7" t="s">
        <v>229</v>
      </c>
      <c r="AM7" t="s">
        <v>230</v>
      </c>
      <c r="AN7" t="s">
        <v>231</v>
      </c>
      <c r="AP7" t="s">
        <v>225</v>
      </c>
      <c r="AQ7" t="s">
        <v>226</v>
      </c>
      <c r="AR7" t="s">
        <v>227</v>
      </c>
      <c r="AS7" t="s">
        <v>228</v>
      </c>
      <c r="AT7" t="s">
        <v>229</v>
      </c>
      <c r="AU7" t="s">
        <v>230</v>
      </c>
      <c r="AV7" t="s">
        <v>231</v>
      </c>
      <c r="AX7" t="s">
        <v>225</v>
      </c>
      <c r="AY7" t="s">
        <v>226</v>
      </c>
      <c r="AZ7" t="s">
        <v>227</v>
      </c>
      <c r="BA7" t="s">
        <v>228</v>
      </c>
      <c r="BB7" t="s">
        <v>229</v>
      </c>
      <c r="BC7" t="s">
        <v>230</v>
      </c>
      <c r="BD7" t="s">
        <v>231</v>
      </c>
      <c r="BF7" t="s">
        <v>225</v>
      </c>
      <c r="BG7" t="s">
        <v>226</v>
      </c>
      <c r="BH7" t="s">
        <v>227</v>
      </c>
      <c r="BI7" t="s">
        <v>228</v>
      </c>
      <c r="BJ7" t="s">
        <v>229</v>
      </c>
      <c r="BK7" t="s">
        <v>230</v>
      </c>
      <c r="BL7" t="s">
        <v>231</v>
      </c>
      <c r="BN7" t="s">
        <v>225</v>
      </c>
      <c r="BO7" t="s">
        <v>226</v>
      </c>
      <c r="BP7" t="s">
        <v>227</v>
      </c>
      <c r="BQ7" t="s">
        <v>228</v>
      </c>
      <c r="BR7" t="s">
        <v>229</v>
      </c>
      <c r="BS7" t="s">
        <v>230</v>
      </c>
      <c r="BT7" t="s">
        <v>231</v>
      </c>
    </row>
    <row r="8" spans="2:74" x14ac:dyDescent="0.25">
      <c r="B8" s="19" t="s">
        <v>284</v>
      </c>
      <c r="C8" s="2">
        <v>667767</v>
      </c>
      <c r="D8" s="2">
        <v>609212</v>
      </c>
      <c r="E8" s="3"/>
      <c r="F8" s="3">
        <f>D8/C8</f>
        <v>0.91231222866658579</v>
      </c>
      <c r="G8" s="3"/>
      <c r="H8" s="3"/>
      <c r="I8" s="19" t="s">
        <v>51</v>
      </c>
      <c r="J8" s="2">
        <v>96084</v>
      </c>
      <c r="K8" s="2">
        <v>91399</v>
      </c>
      <c r="L8" s="2">
        <v>195003</v>
      </c>
      <c r="M8" s="2">
        <v>183936</v>
      </c>
      <c r="N8" s="2">
        <v>221364</v>
      </c>
      <c r="O8" s="2">
        <v>206320</v>
      </c>
      <c r="P8" s="2">
        <v>93119</v>
      </c>
      <c r="Q8" s="2">
        <v>88551</v>
      </c>
      <c r="R8" s="2">
        <v>66776</v>
      </c>
      <c r="S8" s="2">
        <v>62830</v>
      </c>
      <c r="T8" s="2">
        <v>672346</v>
      </c>
      <c r="U8" s="2">
        <v>633036</v>
      </c>
      <c r="V8" s="3"/>
      <c r="W8" s="43" t="s">
        <v>55</v>
      </c>
      <c r="X8" s="3">
        <f t="shared" si="5"/>
        <v>0.93198946443206521</v>
      </c>
      <c r="Y8" s="3">
        <f t="shared" si="6"/>
        <v>0.92734389523475103</v>
      </c>
      <c r="Z8" s="3">
        <f t="shared" si="0"/>
        <v>0.94385224876018925</v>
      </c>
      <c r="AA8" s="3">
        <f t="shared" si="1"/>
        <v>0.91638439819765805</v>
      </c>
      <c r="AB8" s="3">
        <f t="shared" si="2"/>
        <v>0.94993946017765496</v>
      </c>
      <c r="AC8" s="3">
        <f t="shared" si="3"/>
        <v>0.93158484644698503</v>
      </c>
      <c r="AD8" s="32">
        <f t="shared" si="4"/>
        <v>0.94076215331232005</v>
      </c>
      <c r="AG8" s="19" t="s">
        <v>73</v>
      </c>
      <c r="AH8" s="32">
        <v>0.95700245700245701</v>
      </c>
      <c r="AI8" s="32">
        <v>0.94993894993894989</v>
      </c>
      <c r="AJ8" s="32">
        <v>0.96097560975609753</v>
      </c>
      <c r="AK8" s="32">
        <v>0.95960832313341493</v>
      </c>
      <c r="AL8" s="32">
        <v>0.95700245700245701</v>
      </c>
      <c r="AM8" s="32">
        <v>0.96459096459096461</v>
      </c>
      <c r="AN8" s="32">
        <v>0.94993894993894989</v>
      </c>
      <c r="AO8" s="32">
        <v>0.95700824448047006</v>
      </c>
      <c r="AP8" s="32">
        <v>0.94627594627594624</v>
      </c>
      <c r="AQ8" s="32">
        <v>0.97083839611178613</v>
      </c>
      <c r="AR8" s="32">
        <v>0.89010989010989006</v>
      </c>
      <c r="AS8" s="32">
        <v>0.88766788766788762</v>
      </c>
      <c r="AT8" s="32">
        <v>0.96476306196840822</v>
      </c>
      <c r="AU8" s="32">
        <v>0.95048309178743962</v>
      </c>
      <c r="AV8" s="32">
        <v>0.96</v>
      </c>
      <c r="AW8" s="32">
        <v>0.93859118198876546</v>
      </c>
      <c r="AX8" s="32">
        <v>0.904126213592233</v>
      </c>
      <c r="AY8" s="32">
        <v>0.91575091575091572</v>
      </c>
      <c r="AZ8" s="32">
        <v>0.87439024390243902</v>
      </c>
      <c r="BA8" s="32">
        <v>0.86797066014669921</v>
      </c>
      <c r="BB8" s="32">
        <v>0.95945945945945943</v>
      </c>
      <c r="BC8" s="32">
        <v>0.91154791154791159</v>
      </c>
      <c r="BD8" s="32">
        <v>0.93980343980343983</v>
      </c>
      <c r="BE8" s="32">
        <v>0.91043554917187108</v>
      </c>
      <c r="BF8" s="32">
        <v>0.91563275434243174</v>
      </c>
      <c r="BG8" s="32">
        <v>0.84963325183374083</v>
      </c>
      <c r="BH8" s="32">
        <v>0.91481481481481486</v>
      </c>
      <c r="BI8" s="32">
        <v>0.90717821782178221</v>
      </c>
      <c r="BJ8" s="32">
        <v>0.82258064516129037</v>
      </c>
      <c r="BK8" s="32">
        <v>0.78606356968215163</v>
      </c>
      <c r="BL8" s="32">
        <v>0.75062034739454098</v>
      </c>
      <c r="BM8" s="32">
        <v>0.84950337157867895</v>
      </c>
      <c r="BN8" s="32">
        <v>0.92665036674816625</v>
      </c>
      <c r="BO8" s="32">
        <v>0.92742927429274291</v>
      </c>
      <c r="BP8" s="32">
        <v>0.9205378973105135</v>
      </c>
      <c r="BQ8" s="32">
        <v>0.92298288508557458</v>
      </c>
      <c r="BR8" s="32">
        <v>0.91299019607843135</v>
      </c>
      <c r="BS8" s="32">
        <v>0.91256157635467983</v>
      </c>
      <c r="BT8" s="32">
        <v>0.90808823529411764</v>
      </c>
      <c r="BU8" s="32">
        <v>0.91874863302346088</v>
      </c>
      <c r="BV8" s="32">
        <v>0.91485739604864957</v>
      </c>
    </row>
    <row r="9" spans="2:74" x14ac:dyDescent="0.25">
      <c r="B9" s="19" t="s">
        <v>285</v>
      </c>
      <c r="C9" s="2">
        <v>662539</v>
      </c>
      <c r="D9" s="2">
        <v>579581</v>
      </c>
      <c r="E9" s="3"/>
      <c r="F9" s="3">
        <f t="shared" ref="F9:F20" si="7">D9/C9</f>
        <v>0.87478774834387107</v>
      </c>
      <c r="G9" s="3"/>
      <c r="H9" s="3"/>
      <c r="I9" s="19" t="s">
        <v>52</v>
      </c>
      <c r="J9" s="2">
        <v>95985</v>
      </c>
      <c r="K9" s="2">
        <v>90629</v>
      </c>
      <c r="L9" s="2">
        <v>193770</v>
      </c>
      <c r="M9" s="2">
        <v>181785</v>
      </c>
      <c r="N9" s="2">
        <v>221357</v>
      </c>
      <c r="O9" s="2">
        <v>204250</v>
      </c>
      <c r="P9" s="2">
        <v>92664</v>
      </c>
      <c r="Q9" s="2">
        <v>87677</v>
      </c>
      <c r="R9" s="2">
        <v>66273</v>
      </c>
      <c r="S9" s="2">
        <v>61444</v>
      </c>
      <c r="T9" s="2">
        <v>670049</v>
      </c>
      <c r="U9" s="2">
        <v>625785</v>
      </c>
      <c r="V9" s="3"/>
      <c r="W9" s="20" t="s">
        <v>56</v>
      </c>
      <c r="X9" s="3" t="e">
        <f t="shared" si="5"/>
        <v>#N/A</v>
      </c>
      <c r="Y9" s="3" t="e">
        <f t="shared" si="6"/>
        <v>#N/A</v>
      </c>
      <c r="Z9" s="3" t="e">
        <f t="shared" si="0"/>
        <v>#N/A</v>
      </c>
      <c r="AA9" s="3" t="e">
        <f t="shared" si="1"/>
        <v>#N/A</v>
      </c>
      <c r="AB9" s="3" t="e">
        <f t="shared" si="2"/>
        <v>#N/A</v>
      </c>
      <c r="AC9" s="3" t="e">
        <f t="shared" si="3"/>
        <v>#N/A</v>
      </c>
      <c r="AD9" s="32" t="e">
        <f t="shared" si="4"/>
        <v>#N/A</v>
      </c>
      <c r="AG9" s="19" t="s">
        <v>74</v>
      </c>
      <c r="AH9" s="32">
        <v>0.96060606060606057</v>
      </c>
      <c r="AI9" s="32">
        <v>0.9802816901408451</v>
      </c>
      <c r="AJ9" s="32">
        <v>0.99137931034482762</v>
      </c>
      <c r="AK9" s="32">
        <v>0.98097826086956519</v>
      </c>
      <c r="AL9" s="32">
        <v>0.96176470588235297</v>
      </c>
      <c r="AM9" s="32">
        <v>0.97733711048158645</v>
      </c>
      <c r="AN9" s="32">
        <v>0.97478991596638653</v>
      </c>
      <c r="AO9" s="32">
        <v>0.97530529347023209</v>
      </c>
      <c r="AP9" s="32">
        <v>0.91793313069908811</v>
      </c>
      <c r="AQ9" s="32">
        <v>0.96892655367231639</v>
      </c>
      <c r="AR9" s="32">
        <v>0.94752186588921283</v>
      </c>
      <c r="AS9" s="32">
        <v>0.97733711048158645</v>
      </c>
      <c r="AT9" s="32">
        <v>0.91291291291291288</v>
      </c>
      <c r="AU9" s="32">
        <v>0.9526627218934911</v>
      </c>
      <c r="AV9" s="32">
        <v>0.94362017804154308</v>
      </c>
      <c r="AW9" s="32">
        <v>0.94584492479859306</v>
      </c>
      <c r="AX9" s="32">
        <v>0.9349112426035503</v>
      </c>
      <c r="AY9" s="32">
        <v>0.98571428571428577</v>
      </c>
      <c r="AZ9" s="32">
        <v>0.9088235294117647</v>
      </c>
      <c r="BA9" s="32">
        <v>0.94169096209912539</v>
      </c>
      <c r="BB9" s="32">
        <v>0.97101449275362317</v>
      </c>
      <c r="BC9" s="32">
        <v>0.98039215686274506</v>
      </c>
      <c r="BD9" s="32">
        <v>0.96901408450704229</v>
      </c>
      <c r="BE9" s="32">
        <v>0.955937250564591</v>
      </c>
      <c r="BF9" s="32">
        <v>0.93043478260869561</v>
      </c>
      <c r="BG9" s="32">
        <v>0.94169096209912539</v>
      </c>
      <c r="BH9" s="32">
        <v>0.95492957746478868</v>
      </c>
      <c r="BI9" s="32">
        <v>0.98898071625344353</v>
      </c>
      <c r="BJ9" s="32">
        <v>0.96501457725947526</v>
      </c>
      <c r="BK9" s="32">
        <v>0.9</v>
      </c>
      <c r="BL9" s="32">
        <v>0.94428152492668627</v>
      </c>
      <c r="BM9" s="32">
        <v>0.94647602008745935</v>
      </c>
      <c r="BN9" s="32">
        <v>0.96408839779005528</v>
      </c>
      <c r="BO9" s="32">
        <v>0.95480225988700562</v>
      </c>
      <c r="BP9" s="32">
        <v>0.96961325966850831</v>
      </c>
      <c r="BQ9" s="32">
        <v>0.99186991869918695</v>
      </c>
      <c r="BR9" s="32">
        <v>0.98356164383561639</v>
      </c>
      <c r="BS9" s="32">
        <v>0.95798319327731096</v>
      </c>
      <c r="BT9" s="32">
        <v>0.96408839779005528</v>
      </c>
      <c r="BU9" s="32">
        <v>0.96942958156396286</v>
      </c>
      <c r="BV9" s="32">
        <v>0.95859861409696767</v>
      </c>
    </row>
    <row r="10" spans="2:74" x14ac:dyDescent="0.25">
      <c r="B10" s="19" t="s">
        <v>286</v>
      </c>
      <c r="C10" s="2">
        <v>673528</v>
      </c>
      <c r="D10" s="2">
        <v>627721</v>
      </c>
      <c r="E10" s="3"/>
      <c r="F10" s="3">
        <f t="shared" si="7"/>
        <v>0.93198946443206521</v>
      </c>
      <c r="G10" s="3"/>
      <c r="H10" s="3"/>
      <c r="I10" s="19" t="s">
        <v>53</v>
      </c>
      <c r="J10" s="2">
        <v>95839</v>
      </c>
      <c r="K10" s="2">
        <v>88801</v>
      </c>
      <c r="L10" s="2">
        <v>192906</v>
      </c>
      <c r="M10" s="2">
        <v>177270</v>
      </c>
      <c r="N10" s="2">
        <v>220620</v>
      </c>
      <c r="O10" s="2">
        <v>197939</v>
      </c>
      <c r="P10" s="2">
        <v>92210</v>
      </c>
      <c r="Q10" s="2">
        <v>85586</v>
      </c>
      <c r="R10" s="2">
        <v>66192</v>
      </c>
      <c r="S10" s="2">
        <v>59616</v>
      </c>
      <c r="T10" s="2">
        <v>667767</v>
      </c>
      <c r="U10" s="2">
        <v>609212</v>
      </c>
      <c r="V10" s="3"/>
      <c r="W10" s="20" t="s">
        <v>57</v>
      </c>
      <c r="X10" s="3" t="e">
        <f t="shared" si="5"/>
        <v>#N/A</v>
      </c>
      <c r="Y10" s="3" t="e">
        <f t="shared" si="6"/>
        <v>#N/A</v>
      </c>
      <c r="Z10" s="3" t="e">
        <f t="shared" si="0"/>
        <v>#N/A</v>
      </c>
      <c r="AA10" s="3" t="e">
        <f t="shared" si="1"/>
        <v>#N/A</v>
      </c>
      <c r="AB10" s="3" t="e">
        <f t="shared" si="2"/>
        <v>#N/A</v>
      </c>
      <c r="AC10" s="3" t="e">
        <f t="shared" si="3"/>
        <v>#N/A</v>
      </c>
      <c r="AD10" s="32" t="e">
        <f t="shared" si="4"/>
        <v>#N/A</v>
      </c>
      <c r="AG10" s="19" t="s">
        <v>75</v>
      </c>
      <c r="AH10" s="32">
        <v>0.83838383838383834</v>
      </c>
      <c r="AI10" s="32">
        <v>0.8159203980099502</v>
      </c>
      <c r="AJ10" s="32">
        <v>0.86111111111111116</v>
      </c>
      <c r="AK10" s="32">
        <v>0.83888888888888891</v>
      </c>
      <c r="AL10" s="32">
        <v>0.84924623115577891</v>
      </c>
      <c r="AM10" s="32">
        <v>0.79104477611940294</v>
      </c>
      <c r="AN10" s="32">
        <v>0.82089552238805974</v>
      </c>
      <c r="AO10" s="32">
        <v>0.83078439515100422</v>
      </c>
      <c r="AP10" s="32">
        <v>0.84848484848484851</v>
      </c>
      <c r="AQ10" s="32">
        <v>0.78606965174129351</v>
      </c>
      <c r="AR10" s="32">
        <v>0.92222222222222228</v>
      </c>
      <c r="AS10" s="32">
        <v>0.92222222222222228</v>
      </c>
      <c r="AT10" s="32">
        <v>0.86567164179104472</v>
      </c>
      <c r="AU10" s="32">
        <v>0.82089552238805974</v>
      </c>
      <c r="AV10" s="32">
        <v>0.86567164179104472</v>
      </c>
      <c r="AW10" s="32">
        <v>0.86160539294867655</v>
      </c>
      <c r="AX10" s="32">
        <v>0.69191919191919193</v>
      </c>
      <c r="AY10" s="32">
        <v>0.68656716417910446</v>
      </c>
      <c r="AZ10" s="32">
        <v>0.65</v>
      </c>
      <c r="BA10" s="32">
        <v>0.59444444444444444</v>
      </c>
      <c r="BB10" s="32">
        <v>0.68341708542713564</v>
      </c>
      <c r="BC10" s="32">
        <v>0.83582089552238803</v>
      </c>
      <c r="BD10" s="32">
        <v>0.74129353233830841</v>
      </c>
      <c r="BE10" s="32">
        <v>0.69763747340436755</v>
      </c>
      <c r="BF10" s="32">
        <v>0.46969696969696972</v>
      </c>
      <c r="BG10" s="32">
        <v>0.54726368159203975</v>
      </c>
      <c r="BH10" s="32">
        <v>0.60555555555555551</v>
      </c>
      <c r="BI10" s="32">
        <v>0.53333333333333333</v>
      </c>
      <c r="BJ10" s="32">
        <v>0.38190954773869346</v>
      </c>
      <c r="BK10" s="32">
        <v>0.34825870646766172</v>
      </c>
      <c r="BL10" s="32">
        <v>0.3383084577114428</v>
      </c>
      <c r="BM10" s="32">
        <v>0.46061803601367091</v>
      </c>
      <c r="BN10" s="32">
        <v>0.58585858585858586</v>
      </c>
      <c r="BO10" s="32">
        <v>0.48756218905472637</v>
      </c>
      <c r="BP10" s="32">
        <v>0.58333333333333337</v>
      </c>
      <c r="BQ10" s="32">
        <v>0.52222222222222225</v>
      </c>
      <c r="BR10" s="32">
        <v>0.50753768844221103</v>
      </c>
      <c r="BS10" s="32">
        <v>0.44278606965174128</v>
      </c>
      <c r="BT10" s="32">
        <v>0.46766169154228854</v>
      </c>
      <c r="BU10" s="32">
        <v>0.51385168287215832</v>
      </c>
      <c r="BV10" s="32">
        <v>0.67289939607797555</v>
      </c>
    </row>
    <row r="11" spans="2:74" x14ac:dyDescent="0.25">
      <c r="B11" s="19" t="s">
        <v>46</v>
      </c>
      <c r="C11" s="2">
        <v>3346229</v>
      </c>
      <c r="D11" s="2">
        <v>3075335</v>
      </c>
      <c r="E11" s="3"/>
      <c r="F11" s="3">
        <f t="shared" si="7"/>
        <v>0.91904499064469292</v>
      </c>
      <c r="G11" s="3"/>
      <c r="H11" s="3"/>
      <c r="I11" s="19" t="s">
        <v>54</v>
      </c>
      <c r="J11" s="2">
        <v>95028</v>
      </c>
      <c r="K11" s="2">
        <v>83361</v>
      </c>
      <c r="L11" s="2">
        <v>191645</v>
      </c>
      <c r="M11" s="2">
        <v>170438</v>
      </c>
      <c r="N11" s="2">
        <v>219414</v>
      </c>
      <c r="O11" s="2">
        <v>188385</v>
      </c>
      <c r="P11" s="2">
        <v>91014</v>
      </c>
      <c r="Q11" s="2">
        <v>81955</v>
      </c>
      <c r="R11" s="2">
        <v>65438</v>
      </c>
      <c r="S11" s="2">
        <v>55442</v>
      </c>
      <c r="T11" s="2">
        <v>662539</v>
      </c>
      <c r="U11" s="2">
        <v>579581</v>
      </c>
      <c r="V11" s="3"/>
      <c r="W11" s="20" t="s">
        <v>58</v>
      </c>
      <c r="X11" s="3" t="e">
        <f>(VLOOKUP($W11,$I$8:$U$1048576,13,FALSE)/VLOOKUP($W11,$I$8:$U$1048576,12,FALSE))</f>
        <v>#N/A</v>
      </c>
      <c r="Y11" s="3" t="e">
        <f t="shared" si="6"/>
        <v>#N/A</v>
      </c>
      <c r="Z11" s="3" t="e">
        <f t="shared" si="0"/>
        <v>#N/A</v>
      </c>
      <c r="AA11" s="3" t="e">
        <f t="shared" si="1"/>
        <v>#N/A</v>
      </c>
      <c r="AB11" s="3" t="e">
        <f t="shared" si="2"/>
        <v>#N/A</v>
      </c>
      <c r="AC11" s="3" t="e">
        <f t="shared" si="3"/>
        <v>#N/A</v>
      </c>
      <c r="AD11" s="32" t="e">
        <f t="shared" si="4"/>
        <v>#N/A</v>
      </c>
      <c r="AG11" s="19" t="s">
        <v>76</v>
      </c>
      <c r="AH11" s="32">
        <v>0.90156599552572703</v>
      </c>
      <c r="AI11" s="32">
        <v>0.95525727069351229</v>
      </c>
      <c r="AJ11" s="32">
        <v>0.89485458612975388</v>
      </c>
      <c r="AK11" s="32">
        <v>0.88814317673378074</v>
      </c>
      <c r="AL11" s="32">
        <v>0.94481236203090513</v>
      </c>
      <c r="AM11" s="32">
        <v>0.9261744966442953</v>
      </c>
      <c r="AN11" s="32">
        <v>0.93736017897091728</v>
      </c>
      <c r="AO11" s="32">
        <v>0.92116686667555603</v>
      </c>
      <c r="AP11" s="32">
        <v>0.8970917225950783</v>
      </c>
      <c r="AQ11" s="32">
        <v>0.93512304250559286</v>
      </c>
      <c r="AR11" s="32">
        <v>0.91275167785234901</v>
      </c>
      <c r="AS11" s="32">
        <v>0.94183445190156601</v>
      </c>
      <c r="AT11" s="32">
        <v>0.91722595078299773</v>
      </c>
      <c r="AU11" s="32">
        <v>0.9261744966442953</v>
      </c>
      <c r="AV11" s="32">
        <v>0.92393736017897088</v>
      </c>
      <c r="AW11" s="32">
        <v>0.92201981463726423</v>
      </c>
      <c r="AX11" s="32">
        <v>0.89485458612975388</v>
      </c>
      <c r="AY11" s="32">
        <v>0.94407158836689042</v>
      </c>
      <c r="AZ11" s="32">
        <v>0.90604026845637586</v>
      </c>
      <c r="BA11" s="32">
        <v>0.92699115044247793</v>
      </c>
      <c r="BB11" s="32">
        <v>0.9261744966442953</v>
      </c>
      <c r="BC11" s="32">
        <v>0.94630872483221473</v>
      </c>
      <c r="BD11" s="32">
        <v>0.93512304250559286</v>
      </c>
      <c r="BE11" s="32">
        <v>0.92565197962537149</v>
      </c>
      <c r="BF11" s="32">
        <v>0.94630872483221473</v>
      </c>
      <c r="BG11" s="32">
        <v>0.85682326621923932</v>
      </c>
      <c r="BH11" s="32">
        <v>0.95796460176991149</v>
      </c>
      <c r="BI11" s="32">
        <v>0.96436525612472157</v>
      </c>
      <c r="BJ11" s="32">
        <v>0.93512304250559286</v>
      </c>
      <c r="BK11" s="32">
        <v>0.93064876957494402</v>
      </c>
      <c r="BL11" s="32">
        <v>0.88366890380313201</v>
      </c>
      <c r="BM11" s="32">
        <v>0.92498608068996513</v>
      </c>
      <c r="BN11" s="32">
        <v>0.94335511982570808</v>
      </c>
      <c r="BO11" s="32">
        <v>0.96213808463251671</v>
      </c>
      <c r="BP11" s="32">
        <v>0.96710526315789469</v>
      </c>
      <c r="BQ11" s="32">
        <v>0.96703296703296704</v>
      </c>
      <c r="BR11" s="32">
        <v>0.94782608695652171</v>
      </c>
      <c r="BS11" s="32">
        <v>0.97608695652173916</v>
      </c>
      <c r="BT11" s="32">
        <v>0.94565217391304346</v>
      </c>
      <c r="BU11" s="32">
        <v>0.95845666457719869</v>
      </c>
      <c r="BV11" s="32">
        <v>0.93045628124107127</v>
      </c>
    </row>
    <row r="12" spans="2:74" x14ac:dyDescent="0.25">
      <c r="E12" s="3"/>
      <c r="F12" s="3" t="e">
        <f t="shared" si="7"/>
        <v>#DIV/0!</v>
      </c>
      <c r="G12" s="3"/>
      <c r="H12" s="3"/>
      <c r="I12" s="19" t="s">
        <v>55</v>
      </c>
      <c r="J12" s="2">
        <v>96826</v>
      </c>
      <c r="K12" s="2">
        <v>89791</v>
      </c>
      <c r="L12" s="2">
        <v>192973</v>
      </c>
      <c r="M12" s="2">
        <v>182138</v>
      </c>
      <c r="N12" s="2">
        <v>223487</v>
      </c>
      <c r="O12" s="2">
        <v>204800</v>
      </c>
      <c r="P12" s="2">
        <v>93327</v>
      </c>
      <c r="Q12" s="2">
        <v>88655</v>
      </c>
      <c r="R12" s="2">
        <v>66915</v>
      </c>
      <c r="S12" s="2">
        <v>62337</v>
      </c>
      <c r="T12" s="2">
        <v>673528</v>
      </c>
      <c r="U12" s="2">
        <v>627721</v>
      </c>
      <c r="V12" s="3"/>
      <c r="W12" s="20" t="s">
        <v>59</v>
      </c>
      <c r="X12" s="3" t="e">
        <f t="shared" si="5"/>
        <v>#N/A</v>
      </c>
      <c r="Y12" s="3" t="e">
        <f t="shared" si="6"/>
        <v>#N/A</v>
      </c>
      <c r="Z12" s="3" t="e">
        <f t="shared" si="0"/>
        <v>#N/A</v>
      </c>
      <c r="AA12" s="3" t="e">
        <f t="shared" si="1"/>
        <v>#N/A</v>
      </c>
      <c r="AB12" s="3" t="e">
        <f t="shared" si="2"/>
        <v>#N/A</v>
      </c>
      <c r="AC12" s="3" t="e">
        <f t="shared" si="3"/>
        <v>#N/A</v>
      </c>
      <c r="AD12" s="32" t="e">
        <f t="shared" si="4"/>
        <v>#N/A</v>
      </c>
      <c r="AG12" s="19" t="s">
        <v>77</v>
      </c>
      <c r="AH12" s="32">
        <v>0.96600877192982459</v>
      </c>
      <c r="AI12" s="32">
        <v>0.99451754385964908</v>
      </c>
      <c r="AJ12" s="32">
        <v>0.95833333333333337</v>
      </c>
      <c r="AK12" s="32">
        <v>0.95833333333333337</v>
      </c>
      <c r="AL12" s="32">
        <v>0.97916666666666663</v>
      </c>
      <c r="AM12" s="32">
        <v>0.99561403508771928</v>
      </c>
      <c r="AN12" s="32">
        <v>0.98245614035087714</v>
      </c>
      <c r="AO12" s="32">
        <v>0.97634711779448635</v>
      </c>
      <c r="AP12" s="32">
        <v>0.92543859649122806</v>
      </c>
      <c r="AQ12" s="32">
        <v>0.96600877192982459</v>
      </c>
      <c r="AR12" s="32">
        <v>0.93421052631578949</v>
      </c>
      <c r="AS12" s="32">
        <v>0.98135964912280704</v>
      </c>
      <c r="AT12" s="32">
        <v>0.92434210526315785</v>
      </c>
      <c r="AU12" s="32">
        <v>0.95833333333333337</v>
      </c>
      <c r="AV12" s="32">
        <v>0.92434210526315785</v>
      </c>
      <c r="AW12" s="32">
        <v>0.94486215538847129</v>
      </c>
      <c r="AX12" s="32">
        <v>0.92434210526315785</v>
      </c>
      <c r="AY12" s="32">
        <v>0.98026315789473684</v>
      </c>
      <c r="AZ12" s="32">
        <v>0.92763157894736847</v>
      </c>
      <c r="BA12" s="32">
        <v>0.92763157894736847</v>
      </c>
      <c r="BB12" s="32">
        <v>0.97039473684210531</v>
      </c>
      <c r="BC12" s="32">
        <v>0.95942982456140347</v>
      </c>
      <c r="BD12" s="32">
        <v>0.97478070175438591</v>
      </c>
      <c r="BE12" s="32">
        <v>0.95206766917293228</v>
      </c>
      <c r="BF12" s="32">
        <v>0.9353070175438597</v>
      </c>
      <c r="BG12" s="32">
        <v>0.86842105263157898</v>
      </c>
      <c r="BH12" s="32">
        <v>0.98135964912280704</v>
      </c>
      <c r="BI12" s="32">
        <v>0.99122807017543857</v>
      </c>
      <c r="BJ12" s="32">
        <v>0.91776315789473684</v>
      </c>
      <c r="BK12" s="32">
        <v>0.85964912280701755</v>
      </c>
      <c r="BL12" s="32">
        <v>0.86403508771929827</v>
      </c>
      <c r="BM12" s="32">
        <v>0.91682330827067671</v>
      </c>
      <c r="BN12" s="32">
        <v>0.98135964912280704</v>
      </c>
      <c r="BO12" s="32">
        <v>0.97587719298245612</v>
      </c>
      <c r="BP12" s="32">
        <v>0.97149122807017541</v>
      </c>
      <c r="BQ12" s="32">
        <v>0.99013157894736847</v>
      </c>
      <c r="BR12" s="32">
        <v>0.99342105263157898</v>
      </c>
      <c r="BS12" s="32">
        <v>0.98574561403508776</v>
      </c>
      <c r="BT12" s="32">
        <v>0.99013157894736847</v>
      </c>
      <c r="BU12" s="32">
        <v>0.98402255639097747</v>
      </c>
      <c r="BV12" s="32">
        <v>0.9548245614035088</v>
      </c>
    </row>
    <row r="13" spans="2:74" x14ac:dyDescent="0.25">
      <c r="E13" s="3"/>
      <c r="F13" s="3" t="e">
        <f t="shared" si="7"/>
        <v>#DIV/0!</v>
      </c>
      <c r="G13" s="3"/>
      <c r="H13" s="3"/>
      <c r="I13" s="19" t="s">
        <v>46</v>
      </c>
      <c r="J13" s="2">
        <v>479762</v>
      </c>
      <c r="K13" s="2">
        <v>443981</v>
      </c>
      <c r="L13" s="2">
        <v>966297</v>
      </c>
      <c r="M13" s="2">
        <v>895567</v>
      </c>
      <c r="N13" s="2">
        <v>1106242</v>
      </c>
      <c r="O13" s="2">
        <v>1001694</v>
      </c>
      <c r="P13" s="2">
        <v>462334</v>
      </c>
      <c r="Q13" s="2">
        <v>432424</v>
      </c>
      <c r="R13" s="2">
        <v>331594</v>
      </c>
      <c r="S13" s="2">
        <v>301669</v>
      </c>
      <c r="T13" s="2">
        <v>3346229</v>
      </c>
      <c r="U13" s="2">
        <v>3075335</v>
      </c>
      <c r="V13" s="3"/>
      <c r="W13" s="20" t="s">
        <v>60</v>
      </c>
      <c r="X13" s="3" t="e">
        <f t="shared" si="5"/>
        <v>#N/A</v>
      </c>
      <c r="Y13" s="3" t="e">
        <f t="shared" si="6"/>
        <v>#N/A</v>
      </c>
      <c r="Z13" s="3" t="e">
        <f t="shared" si="0"/>
        <v>#N/A</v>
      </c>
      <c r="AA13" s="3" t="e">
        <f t="shared" si="1"/>
        <v>#N/A</v>
      </c>
      <c r="AB13" s="3" t="e">
        <f t="shared" si="2"/>
        <v>#N/A</v>
      </c>
      <c r="AC13" s="3" t="e">
        <f t="shared" si="3"/>
        <v>#N/A</v>
      </c>
      <c r="AD13" s="32" t="e">
        <f t="shared" si="4"/>
        <v>#N/A</v>
      </c>
      <c r="AG13" s="19" t="s">
        <v>78</v>
      </c>
      <c r="AH13" s="32">
        <v>0.93023255813953487</v>
      </c>
      <c r="AI13" s="32">
        <v>0.98191214470284238</v>
      </c>
      <c r="AJ13" s="32">
        <v>0.93281653746770021</v>
      </c>
      <c r="AK13" s="32">
        <v>0.96124031007751942</v>
      </c>
      <c r="AL13" s="32">
        <v>0.96899224806201545</v>
      </c>
      <c r="AM13" s="32">
        <v>0.93540051679586567</v>
      </c>
      <c r="AN13" s="32">
        <v>0.95865633074935397</v>
      </c>
      <c r="AO13" s="32">
        <v>0.95275009228497598</v>
      </c>
      <c r="AP13" s="32">
        <v>0.89147286821705429</v>
      </c>
      <c r="AQ13" s="32">
        <v>0.9948320413436692</v>
      </c>
      <c r="AR13" s="32">
        <v>0.86046511627906974</v>
      </c>
      <c r="AS13" s="32">
        <v>0.97932816537467704</v>
      </c>
      <c r="AT13" s="32">
        <v>0.94573643410852715</v>
      </c>
      <c r="AU13" s="32">
        <v>0.96382428940568476</v>
      </c>
      <c r="AV13" s="32">
        <v>0.97674418604651159</v>
      </c>
      <c r="AW13" s="32">
        <v>0.9446290143964563</v>
      </c>
      <c r="AX13" s="32">
        <v>0.90956072351421191</v>
      </c>
      <c r="AY13" s="32">
        <v>0.94832041343669249</v>
      </c>
      <c r="AZ13" s="32">
        <v>0.90956072351421191</v>
      </c>
      <c r="BA13" s="32">
        <v>0.90180878552971577</v>
      </c>
      <c r="BB13" s="32">
        <v>0.98191214470284238</v>
      </c>
      <c r="BC13" s="32">
        <v>0.94056847545219635</v>
      </c>
      <c r="BD13" s="32">
        <v>0.95865633074935397</v>
      </c>
      <c r="BE13" s="32">
        <v>0.93576965669988932</v>
      </c>
      <c r="BF13" s="32">
        <v>0.9431524547803618</v>
      </c>
      <c r="BG13" s="32">
        <v>0.83462532299741599</v>
      </c>
      <c r="BH13" s="32">
        <v>0.96899224806201545</v>
      </c>
      <c r="BI13" s="32">
        <v>0.9948320413436692</v>
      </c>
      <c r="BJ13" s="32">
        <v>0.97932816537467704</v>
      </c>
      <c r="BK13" s="32">
        <v>0.90439276485788112</v>
      </c>
      <c r="BL13" s="32">
        <v>0.95865633074935397</v>
      </c>
      <c r="BM13" s="32">
        <v>0.94056847545219635</v>
      </c>
      <c r="BN13" s="32">
        <v>0.96899224806201545</v>
      </c>
      <c r="BO13" s="32">
        <v>0.95348837209302328</v>
      </c>
      <c r="BP13" s="32">
        <v>0.97674418604651159</v>
      </c>
      <c r="BQ13" s="32">
        <v>1</v>
      </c>
      <c r="BR13" s="32">
        <v>1</v>
      </c>
      <c r="BS13" s="32">
        <v>0.99741602067183466</v>
      </c>
      <c r="BT13" s="32">
        <v>1</v>
      </c>
      <c r="BU13" s="32">
        <v>0.98523440383905503</v>
      </c>
      <c r="BV13" s="32">
        <v>0.95179032853451462</v>
      </c>
    </row>
    <row r="14" spans="2:74" x14ac:dyDescent="0.25">
      <c r="E14" s="3"/>
      <c r="F14" s="3" t="e">
        <f t="shared" si="7"/>
        <v>#DIV/0!</v>
      </c>
      <c r="G14" s="3"/>
      <c r="H14" s="3"/>
      <c r="T14" s="3"/>
      <c r="U14" s="3"/>
      <c r="V14" s="3"/>
      <c r="W14" s="20" t="s">
        <v>61</v>
      </c>
      <c r="X14" s="3" t="e">
        <f t="shared" si="5"/>
        <v>#N/A</v>
      </c>
      <c r="Y14" s="3" t="e">
        <f>(VLOOKUP($W14,$I$8:$U$1048576,3,FALSE)/VLOOKUP($W14,$I$8:$U$1048576,2,FALSE))</f>
        <v>#N/A</v>
      </c>
      <c r="Z14" s="3" t="e">
        <f t="shared" si="0"/>
        <v>#N/A</v>
      </c>
      <c r="AA14" s="3" t="e">
        <f t="shared" si="1"/>
        <v>#N/A</v>
      </c>
      <c r="AB14" s="3" t="e">
        <f t="shared" si="2"/>
        <v>#N/A</v>
      </c>
      <c r="AC14" s="3" t="e">
        <f t="shared" si="3"/>
        <v>#N/A</v>
      </c>
      <c r="AD14" s="32" t="e">
        <f t="shared" si="4"/>
        <v>#N/A</v>
      </c>
      <c r="AG14" s="19" t="s">
        <v>79</v>
      </c>
      <c r="AH14" s="32">
        <v>0.93161814488828709</v>
      </c>
      <c r="AI14" s="32">
        <v>0.97384305835010065</v>
      </c>
      <c r="AJ14" s="32">
        <v>0.94312796208530802</v>
      </c>
      <c r="AK14" s="32">
        <v>0.95959595959595956</v>
      </c>
      <c r="AL14" s="32">
        <v>0.96024258760107817</v>
      </c>
      <c r="AM14" s="32">
        <v>0.95687331536388143</v>
      </c>
      <c r="AN14" s="32">
        <v>0.97506738544474392</v>
      </c>
      <c r="AO14" s="32">
        <v>0.95719548761847995</v>
      </c>
      <c r="AP14" s="32">
        <v>0.94113667117726663</v>
      </c>
      <c r="AQ14" s="32">
        <v>0.96228956228956231</v>
      </c>
      <c r="AR14" s="32">
        <v>0.92459239130434778</v>
      </c>
      <c r="AS14" s="32">
        <v>0.94169491525423732</v>
      </c>
      <c r="AT14" s="32">
        <v>0.93880295897780763</v>
      </c>
      <c r="AU14" s="32">
        <v>0.96366083445491246</v>
      </c>
      <c r="AV14" s="32">
        <v>0.9439946018893387</v>
      </c>
      <c r="AW14" s="32">
        <v>0.94516741933535331</v>
      </c>
      <c r="AX14" s="32">
        <v>0.90434192672998648</v>
      </c>
      <c r="AY14" s="32">
        <v>0.94939271255060731</v>
      </c>
      <c r="AZ14" s="32">
        <v>0.86013513513513518</v>
      </c>
      <c r="BA14" s="32">
        <v>0.87886944818304169</v>
      </c>
      <c r="BB14" s="32">
        <v>0.96691424713031737</v>
      </c>
      <c r="BC14" s="32">
        <v>0.96959459459459463</v>
      </c>
      <c r="BD14" s="32">
        <v>0.96556380823767729</v>
      </c>
      <c r="BE14" s="32">
        <v>0.92783026750876574</v>
      </c>
      <c r="BF14" s="32">
        <v>0.92062415196743552</v>
      </c>
      <c r="BG14" s="32">
        <v>0.83040540540540542</v>
      </c>
      <c r="BH14" s="32">
        <v>0.90363881401617252</v>
      </c>
      <c r="BI14" s="32">
        <v>0.93720459149223501</v>
      </c>
      <c r="BJ14" s="32">
        <v>0.91351351351351351</v>
      </c>
      <c r="BK14" s="32">
        <v>0.84797297297297303</v>
      </c>
      <c r="BL14" s="32">
        <v>0.88941655359565808</v>
      </c>
      <c r="BM14" s="32">
        <v>0.89182514328048479</v>
      </c>
      <c r="BN14" s="32">
        <v>0.94425789120214909</v>
      </c>
      <c r="BO14" s="32">
        <v>0.942450914014895</v>
      </c>
      <c r="BP14" s="32">
        <v>0.948959032907992</v>
      </c>
      <c r="BQ14" s="32">
        <v>0.94627266621893891</v>
      </c>
      <c r="BR14" s="32">
        <v>0.95788770053475936</v>
      </c>
      <c r="BS14" s="32">
        <v>0.94041976980365605</v>
      </c>
      <c r="BT14" s="32">
        <v>0.93771157752200407</v>
      </c>
      <c r="BU14" s="32">
        <v>0.94542279317205646</v>
      </c>
      <c r="BV14" s="32">
        <v>0.93348822218302818</v>
      </c>
    </row>
    <row r="15" spans="2:74" x14ac:dyDescent="0.25">
      <c r="E15" s="3"/>
      <c r="F15" s="3" t="e">
        <f t="shared" si="7"/>
        <v>#DIV/0!</v>
      </c>
      <c r="G15" s="3"/>
      <c r="H15" s="3"/>
      <c r="T15" s="3"/>
      <c r="U15" s="3"/>
      <c r="V15" s="3"/>
      <c r="W15" s="20" t="s">
        <v>62</v>
      </c>
      <c r="X15" s="3" t="e">
        <f t="shared" si="5"/>
        <v>#N/A</v>
      </c>
      <c r="Y15" s="3" t="e">
        <f>(VLOOKUP($W15,$I$8:$U$1048576,3,FALSE)/VLOOKUP($W15,$I$8:$U$1048576,2,FALSE))</f>
        <v>#N/A</v>
      </c>
      <c r="Z15" s="3" t="e">
        <f t="shared" si="0"/>
        <v>#N/A</v>
      </c>
      <c r="AA15" s="3" t="e">
        <f t="shared" si="1"/>
        <v>#N/A</v>
      </c>
      <c r="AB15" s="3" t="e">
        <f t="shared" si="2"/>
        <v>#N/A</v>
      </c>
      <c r="AC15" s="3" t="e">
        <f t="shared" si="3"/>
        <v>#N/A</v>
      </c>
      <c r="AD15" s="32" t="e">
        <f t="shared" si="4"/>
        <v>#N/A</v>
      </c>
      <c r="AG15" s="19" t="s">
        <v>80</v>
      </c>
      <c r="AH15" s="32">
        <v>0.9727011494252874</v>
      </c>
      <c r="AI15" s="32">
        <v>0.99148936170212765</v>
      </c>
      <c r="AJ15" s="32">
        <v>0.97829232995658466</v>
      </c>
      <c r="AK15" s="32">
        <v>0.98163841807909602</v>
      </c>
      <c r="AL15" s="32">
        <v>0.98019801980198018</v>
      </c>
      <c r="AM15" s="32">
        <v>0.97304964539007088</v>
      </c>
      <c r="AN15" s="32">
        <v>0.99426111908177905</v>
      </c>
      <c r="AO15" s="32">
        <v>0.98166143477670365</v>
      </c>
      <c r="AP15" s="32">
        <v>0.95803183791606372</v>
      </c>
      <c r="AQ15" s="32">
        <v>0.9871428571428571</v>
      </c>
      <c r="AR15" s="32">
        <v>0.95797101449275357</v>
      </c>
      <c r="AS15" s="32">
        <v>0.95645863570391876</v>
      </c>
      <c r="AT15" s="32">
        <v>0.97525473071324598</v>
      </c>
      <c r="AU15" s="32">
        <v>0.99135446685878958</v>
      </c>
      <c r="AV15" s="32">
        <v>0.95079594790159194</v>
      </c>
      <c r="AW15" s="32">
        <v>0.96814421296131725</v>
      </c>
      <c r="AX15" s="32">
        <v>0.97097242380261251</v>
      </c>
      <c r="AY15" s="32">
        <v>0.95809248554913296</v>
      </c>
      <c r="AZ15" s="32">
        <v>0.95620437956204385</v>
      </c>
      <c r="BA15" s="32">
        <v>0.91386861313868617</v>
      </c>
      <c r="BB15" s="32">
        <v>0.97080291970802923</v>
      </c>
      <c r="BC15" s="32">
        <v>0.97101449275362317</v>
      </c>
      <c r="BD15" s="32">
        <v>0.98554913294797686</v>
      </c>
      <c r="BE15" s="32">
        <v>0.96092920678030069</v>
      </c>
      <c r="BF15" s="32">
        <v>0.95203488372093026</v>
      </c>
      <c r="BG15" s="32">
        <v>0.83357664233576645</v>
      </c>
      <c r="BH15" s="32">
        <v>0.98405797101449277</v>
      </c>
      <c r="BI15" s="32">
        <v>0.97982708933717577</v>
      </c>
      <c r="BJ15" s="32">
        <v>0.98405797101449277</v>
      </c>
      <c r="BK15" s="32">
        <v>0.86277372262773722</v>
      </c>
      <c r="BL15" s="32">
        <v>0.85693430656934311</v>
      </c>
      <c r="BM15" s="32">
        <v>0.92189465523141967</v>
      </c>
      <c r="BN15" s="32">
        <v>0.9757834757834758</v>
      </c>
      <c r="BO15" s="32">
        <v>0.98991354466858794</v>
      </c>
      <c r="BP15" s="32">
        <v>0.99713467048710602</v>
      </c>
      <c r="BQ15" s="32">
        <v>0.98444130127298446</v>
      </c>
      <c r="BR15" s="32">
        <v>0.9786324786324786</v>
      </c>
      <c r="BS15" s="32">
        <v>0.99712643678160917</v>
      </c>
      <c r="BT15" s="32">
        <v>0.98860398860398857</v>
      </c>
      <c r="BU15" s="32">
        <v>0.98737655660431867</v>
      </c>
      <c r="BV15" s="32">
        <v>0.96400121327081201</v>
      </c>
    </row>
    <row r="16" spans="2:74" x14ac:dyDescent="0.25">
      <c r="E16" s="3"/>
      <c r="F16" s="3" t="e">
        <f t="shared" si="7"/>
        <v>#DIV/0!</v>
      </c>
      <c r="G16" s="3"/>
      <c r="H16" s="3"/>
      <c r="T16" s="3"/>
      <c r="U16" s="3"/>
      <c r="V16" s="3"/>
      <c r="W16" s="20" t="s">
        <v>63</v>
      </c>
      <c r="X16" s="3" t="e">
        <f t="shared" si="5"/>
        <v>#N/A</v>
      </c>
      <c r="Y16" s="3" t="e">
        <f t="shared" si="6"/>
        <v>#N/A</v>
      </c>
      <c r="Z16" s="3" t="e">
        <f t="shared" si="0"/>
        <v>#N/A</v>
      </c>
      <c r="AA16" s="3" t="e">
        <f t="shared" si="1"/>
        <v>#N/A</v>
      </c>
      <c r="AB16" s="3" t="e">
        <f t="shared" si="2"/>
        <v>#N/A</v>
      </c>
      <c r="AC16" s="3" t="e">
        <f t="shared" si="3"/>
        <v>#N/A</v>
      </c>
      <c r="AD16" s="32" t="e">
        <f t="shared" si="4"/>
        <v>#N/A</v>
      </c>
      <c r="AG16" s="19" t="s">
        <v>81</v>
      </c>
      <c r="AH16" s="32">
        <v>0.84741144414168934</v>
      </c>
      <c r="AI16" s="32">
        <v>0.89600000000000002</v>
      </c>
      <c r="AJ16" s="32">
        <v>0.86885245901639341</v>
      </c>
      <c r="AK16" s="32">
        <v>0.88524590163934425</v>
      </c>
      <c r="AL16" s="32">
        <v>0.91803278688524592</v>
      </c>
      <c r="AM16" s="32">
        <v>0.85286103542234337</v>
      </c>
      <c r="AN16" s="32">
        <v>0.87738419618528607</v>
      </c>
      <c r="AO16" s="32">
        <v>0.87796968904147177</v>
      </c>
      <c r="AP16" s="32">
        <v>0.9073569482288828</v>
      </c>
      <c r="AQ16" s="32">
        <v>0.85792349726775952</v>
      </c>
      <c r="AR16" s="32">
        <v>0.9098360655737705</v>
      </c>
      <c r="AS16" s="32">
        <v>0.84972677595628421</v>
      </c>
      <c r="AT16" s="32">
        <v>0.9073569482288828</v>
      </c>
      <c r="AU16" s="32">
        <v>0.91280653950953683</v>
      </c>
      <c r="AV16" s="32">
        <v>0.9287598944591029</v>
      </c>
      <c r="AW16" s="32">
        <v>0.89625238131774565</v>
      </c>
      <c r="AX16" s="32">
        <v>0.91621621621621618</v>
      </c>
      <c r="AY16" s="32">
        <v>0.90190735694822888</v>
      </c>
      <c r="AZ16" s="32">
        <v>0.89890710382513661</v>
      </c>
      <c r="BA16" s="32">
        <v>0.8797814207650273</v>
      </c>
      <c r="BB16" s="32">
        <v>0.90591397849462363</v>
      </c>
      <c r="BC16" s="32">
        <v>0.89918256130790186</v>
      </c>
      <c r="BD16" s="32">
        <v>0.9164420485175202</v>
      </c>
      <c r="BE16" s="32">
        <v>0.9026215265820936</v>
      </c>
      <c r="BF16" s="32">
        <v>0.953125</v>
      </c>
      <c r="BG16" s="32">
        <v>0.84699453551912574</v>
      </c>
      <c r="BH16" s="32">
        <v>0.9762532981530343</v>
      </c>
      <c r="BI16" s="32">
        <v>0.93048128342245995</v>
      </c>
      <c r="BJ16" s="32">
        <v>0.93495934959349591</v>
      </c>
      <c r="BK16" s="32">
        <v>0.93715846994535523</v>
      </c>
      <c r="BL16" s="32">
        <v>0.87704918032786883</v>
      </c>
      <c r="BM16" s="32">
        <v>0.92228873099447728</v>
      </c>
      <c r="BN16" s="32">
        <v>0.99226804123711343</v>
      </c>
      <c r="BO16" s="32">
        <v>0.99744897959183676</v>
      </c>
      <c r="BP16" s="32">
        <v>0.97674418604651159</v>
      </c>
      <c r="BQ16" s="32">
        <v>0.93798449612403101</v>
      </c>
      <c r="BR16" s="32">
        <v>0.95465994962216627</v>
      </c>
      <c r="BS16" s="32">
        <v>0.9285714285714286</v>
      </c>
      <c r="BT16" s="32">
        <v>1</v>
      </c>
      <c r="BU16" s="32">
        <v>0.96966815445615528</v>
      </c>
      <c r="BV16" s="32">
        <v>0.91376009647838863</v>
      </c>
    </row>
    <row r="17" spans="2:74" x14ac:dyDescent="0.25">
      <c r="E17" s="3"/>
      <c r="F17" s="3" t="e">
        <f t="shared" si="7"/>
        <v>#DIV/0!</v>
      </c>
      <c r="G17" s="3"/>
      <c r="H17" s="3"/>
      <c r="T17" s="3"/>
      <c r="U17" s="3"/>
      <c r="V17" s="3"/>
      <c r="W17" s="20" t="s">
        <v>64</v>
      </c>
      <c r="X17" s="3" t="e">
        <f t="shared" si="5"/>
        <v>#N/A</v>
      </c>
      <c r="Y17" s="3" t="e">
        <f>(VLOOKUP($W17,$I$8:$U$1048576,3,FALSE)/VLOOKUP($W17,$I$8:$U$1048576,2,FALSE))</f>
        <v>#N/A</v>
      </c>
      <c r="Z17" s="3" t="e">
        <f t="shared" si="0"/>
        <v>#N/A</v>
      </c>
      <c r="AA17" s="3" t="e">
        <f t="shared" si="1"/>
        <v>#N/A</v>
      </c>
      <c r="AB17" s="3" t="e">
        <f t="shared" si="2"/>
        <v>#N/A</v>
      </c>
      <c r="AC17" s="3" t="e">
        <f t="shared" si="3"/>
        <v>#N/A</v>
      </c>
      <c r="AD17" s="32" t="e">
        <f t="shared" si="4"/>
        <v>#N/A</v>
      </c>
      <c r="AG17" s="19" t="s">
        <v>82</v>
      </c>
      <c r="AH17" s="32">
        <v>0.88212927756653992</v>
      </c>
      <c r="AI17" s="32">
        <v>0.91911764705882348</v>
      </c>
      <c r="AJ17" s="32">
        <v>0.83396226415094343</v>
      </c>
      <c r="AK17" s="32">
        <v>0.83520599250936334</v>
      </c>
      <c r="AL17" s="32">
        <v>0.91941391941391937</v>
      </c>
      <c r="AM17" s="32">
        <v>0.91605839416058399</v>
      </c>
      <c r="AN17" s="32">
        <v>0.8876811594202898</v>
      </c>
      <c r="AO17" s="32">
        <v>0.88479552204006606</v>
      </c>
      <c r="AP17" s="32">
        <v>0.88416988416988418</v>
      </c>
      <c r="AQ17" s="32">
        <v>0.89169675090252709</v>
      </c>
      <c r="AR17" s="32">
        <v>0.8226415094339623</v>
      </c>
      <c r="AS17" s="32">
        <v>0.70503597122302153</v>
      </c>
      <c r="AT17" s="32">
        <v>0.9051094890510949</v>
      </c>
      <c r="AU17" s="32">
        <v>0.91007194244604317</v>
      </c>
      <c r="AV17" s="32">
        <v>0.90459363957597172</v>
      </c>
      <c r="AW17" s="32">
        <v>0.86047416954321498</v>
      </c>
      <c r="AX17" s="32">
        <v>0.9375</v>
      </c>
      <c r="AY17" s="32">
        <v>0.79136690647482011</v>
      </c>
      <c r="AZ17" s="32">
        <v>0.84705882352941175</v>
      </c>
      <c r="BA17" s="32">
        <v>0.73790322580645162</v>
      </c>
      <c r="BB17" s="32">
        <v>0.92727272727272725</v>
      </c>
      <c r="BC17" s="32">
        <v>0.79211469534050183</v>
      </c>
      <c r="BD17" s="32">
        <v>0.81003584229390679</v>
      </c>
      <c r="BE17" s="32">
        <v>0.83475031724540283</v>
      </c>
      <c r="BF17" s="32">
        <v>0.81224489795918364</v>
      </c>
      <c r="BG17" s="32">
        <v>0.67400881057268724</v>
      </c>
      <c r="BH17" s="32">
        <v>0.78969957081545061</v>
      </c>
      <c r="BI17" s="32">
        <v>0.84051724137931039</v>
      </c>
      <c r="BJ17" s="32">
        <v>0.81376518218623484</v>
      </c>
      <c r="BK17" s="32">
        <v>0.68464730290456433</v>
      </c>
      <c r="BL17" s="32">
        <v>0.74688796680497926</v>
      </c>
      <c r="BM17" s="32">
        <v>0.76596728180320162</v>
      </c>
      <c r="BN17" s="32">
        <v>0.85328185328185324</v>
      </c>
      <c r="BO17" s="32">
        <v>0.82157676348547715</v>
      </c>
      <c r="BP17" s="32">
        <v>0.81746031746031744</v>
      </c>
      <c r="BQ17" s="32">
        <v>0.77611940298507465</v>
      </c>
      <c r="BR17" s="32">
        <v>0.81318681318681318</v>
      </c>
      <c r="BS17" s="32">
        <v>0.69741697416974169</v>
      </c>
      <c r="BT17" s="32">
        <v>0.81132075471698117</v>
      </c>
      <c r="BU17" s="32">
        <v>0.79862326846946541</v>
      </c>
      <c r="BV17" s="32">
        <v>0.82892211182027009</v>
      </c>
    </row>
    <row r="18" spans="2:74" x14ac:dyDescent="0.25">
      <c r="E18" s="3"/>
      <c r="F18" s="3" t="e">
        <f t="shared" si="7"/>
        <v>#DIV/0!</v>
      </c>
      <c r="G18" s="3"/>
      <c r="H18" s="3"/>
      <c r="T18" s="3"/>
      <c r="U18" s="3"/>
      <c r="V18" s="3"/>
      <c r="W18" s="3"/>
      <c r="X18" s="3"/>
      <c r="Y18" s="3"/>
      <c r="Z18" s="3"/>
      <c r="AA18" s="3"/>
      <c r="AB18" s="3"/>
      <c r="AC18" s="3"/>
      <c r="AD18" s="3"/>
      <c r="AG18" s="19" t="s">
        <v>83</v>
      </c>
      <c r="AH18" s="32">
        <v>0.86741889985895626</v>
      </c>
      <c r="AI18" s="32">
        <v>0.91114245416078987</v>
      </c>
      <c r="AJ18" s="32">
        <v>0.86459802538787023</v>
      </c>
      <c r="AK18" s="32">
        <v>0.88011283497884341</v>
      </c>
      <c r="AL18" s="32">
        <v>0.87870239774330039</v>
      </c>
      <c r="AM18" s="32">
        <v>0.89562764456981669</v>
      </c>
      <c r="AN18" s="32">
        <v>0.88152327221438642</v>
      </c>
      <c r="AO18" s="32">
        <v>0.88273221841628036</v>
      </c>
      <c r="AP18" s="32">
        <v>0.85190409026798308</v>
      </c>
      <c r="AQ18" s="32">
        <v>0.90832157968970384</v>
      </c>
      <c r="AR18" s="32">
        <v>0.82933709449929482</v>
      </c>
      <c r="AS18" s="32">
        <v>0.84767277856135403</v>
      </c>
      <c r="AT18" s="32">
        <v>0.8533145275035261</v>
      </c>
      <c r="AU18" s="32">
        <v>0.91255289139633289</v>
      </c>
      <c r="AV18" s="32">
        <v>0.90550070521861781</v>
      </c>
      <c r="AW18" s="32">
        <v>0.87265766673383038</v>
      </c>
      <c r="AX18" s="32">
        <v>0.82087447108603662</v>
      </c>
      <c r="AY18" s="32">
        <v>0.90267983074753178</v>
      </c>
      <c r="AZ18" s="32">
        <v>0.77856135401974613</v>
      </c>
      <c r="BA18" s="32">
        <v>0.77433004231311708</v>
      </c>
      <c r="BB18" s="32">
        <v>0.8617771509167842</v>
      </c>
      <c r="BC18" s="32">
        <v>0.90691114245416082</v>
      </c>
      <c r="BD18" s="32">
        <v>0.86882933709449928</v>
      </c>
      <c r="BE18" s="32">
        <v>0.844851904090268</v>
      </c>
      <c r="BF18" s="32">
        <v>0.8617771509167842</v>
      </c>
      <c r="BG18" s="32">
        <v>0.73060648801128347</v>
      </c>
      <c r="BH18" s="32">
        <v>0.85754583921015515</v>
      </c>
      <c r="BI18" s="32">
        <v>0.89139633286318753</v>
      </c>
      <c r="BJ18" s="32">
        <v>0.82792665726375181</v>
      </c>
      <c r="BK18" s="32">
        <v>0.73060648801128347</v>
      </c>
      <c r="BL18" s="32">
        <v>0.76304654442877295</v>
      </c>
      <c r="BM18" s="32">
        <v>0.80898650010074546</v>
      </c>
      <c r="BN18" s="32">
        <v>0.90550070521861781</v>
      </c>
      <c r="BO18" s="32">
        <v>0.87306064880112833</v>
      </c>
      <c r="BP18" s="32">
        <v>0.90267983074753178</v>
      </c>
      <c r="BQ18" s="32">
        <v>0.89421720733427368</v>
      </c>
      <c r="BR18" s="32">
        <v>0.90267983074753178</v>
      </c>
      <c r="BS18" s="32">
        <v>0.89280677009873055</v>
      </c>
      <c r="BT18" s="32">
        <v>0.89985895627644574</v>
      </c>
      <c r="BU18" s="32">
        <v>0.89582913560346555</v>
      </c>
      <c r="BV18" s="32">
        <v>0.861011484988918</v>
      </c>
    </row>
    <row r="19" spans="2:74" x14ac:dyDescent="0.25">
      <c r="E19" s="3"/>
      <c r="F19" s="3" t="e">
        <f t="shared" si="7"/>
        <v>#DIV/0!</v>
      </c>
      <c r="G19" s="3"/>
      <c r="AG19" s="19" t="s">
        <v>84</v>
      </c>
      <c r="AH19" s="32">
        <v>0.92657342657342656</v>
      </c>
      <c r="AI19" s="32">
        <v>0.96360485268630847</v>
      </c>
      <c r="AJ19" s="32">
        <v>0.89672977624784855</v>
      </c>
      <c r="AK19" s="32">
        <v>0.92736486486486491</v>
      </c>
      <c r="AL19" s="32">
        <v>0.9075043630017452</v>
      </c>
      <c r="AM19" s="32">
        <v>0.93728222996515675</v>
      </c>
      <c r="AN19" s="32">
        <v>0.95470383275261328</v>
      </c>
      <c r="AO19" s="32">
        <v>0.93053762087028058</v>
      </c>
      <c r="AP19" s="32">
        <v>0.88391376451077941</v>
      </c>
      <c r="AQ19" s="32">
        <v>0.92385786802030456</v>
      </c>
      <c r="AR19" s="32">
        <v>0.87689713322091067</v>
      </c>
      <c r="AS19" s="32">
        <v>0.88907563025210079</v>
      </c>
      <c r="AT19" s="32">
        <v>0.94727891156462585</v>
      </c>
      <c r="AU19" s="32">
        <v>0.97133220910623941</v>
      </c>
      <c r="AV19" s="32">
        <v>0.97108843537414968</v>
      </c>
      <c r="AW19" s="32">
        <v>0.92334913600701563</v>
      </c>
      <c r="AX19" s="32">
        <v>0.96376811594202894</v>
      </c>
      <c r="AY19" s="32">
        <v>0.91595197255574612</v>
      </c>
      <c r="AZ19" s="32">
        <v>1</v>
      </c>
      <c r="BA19" s="32">
        <v>1</v>
      </c>
      <c r="BB19" s="32">
        <v>0.95914742451154533</v>
      </c>
      <c r="BC19" s="32">
        <v>0.97845601436265706</v>
      </c>
      <c r="BD19" s="32">
        <v>0.95017793594306055</v>
      </c>
      <c r="BE19" s="32">
        <v>0.96678592333071989</v>
      </c>
      <c r="BF19" s="32">
        <v>0.90086956521739125</v>
      </c>
      <c r="BG19" s="32">
        <v>0.91477272727272729</v>
      </c>
      <c r="BH19" s="32">
        <v>0.95390070921985815</v>
      </c>
      <c r="BI19" s="32">
        <v>0.98059964726631388</v>
      </c>
      <c r="BJ19" s="32">
        <v>0.86111111111111116</v>
      </c>
      <c r="BK19" s="32">
        <v>0.84644913627639151</v>
      </c>
      <c r="BL19" s="32">
        <v>0.86405959031657353</v>
      </c>
      <c r="BM19" s="32">
        <v>0.90310892666862397</v>
      </c>
      <c r="BN19" s="32">
        <v>0.869639794168096</v>
      </c>
      <c r="BO19" s="32">
        <v>0.93684210526315792</v>
      </c>
      <c r="BP19" s="32">
        <v>0.89590443686006827</v>
      </c>
      <c r="BQ19" s="32">
        <v>0.85932203389830508</v>
      </c>
      <c r="BR19" s="32">
        <v>0.92972972972972978</v>
      </c>
      <c r="BS19" s="32">
        <v>0.89617486338797814</v>
      </c>
      <c r="BT19" s="32">
        <v>0.90552584670231728</v>
      </c>
      <c r="BU19" s="32">
        <v>0.89901983000137886</v>
      </c>
      <c r="BV19" s="32">
        <v>0.92456028737560381</v>
      </c>
    </row>
    <row r="20" spans="2:74" x14ac:dyDescent="0.25">
      <c r="E20" s="3"/>
      <c r="F20" s="3" t="e">
        <f t="shared" si="7"/>
        <v>#DIV/0!</v>
      </c>
      <c r="G20" s="3"/>
      <c r="AG20" s="19" t="s">
        <v>85</v>
      </c>
      <c r="AH20" s="32">
        <v>0.94825174825174829</v>
      </c>
      <c r="AI20" s="32">
        <v>0.97486033519553073</v>
      </c>
      <c r="AJ20" s="32">
        <v>0.95397489539748959</v>
      </c>
      <c r="AK20" s="32">
        <v>0.94273743016759781</v>
      </c>
      <c r="AL20" s="32">
        <v>0.93994413407821231</v>
      </c>
      <c r="AM20" s="32">
        <v>0.9539106145251397</v>
      </c>
      <c r="AN20" s="32">
        <v>0.94986072423398327</v>
      </c>
      <c r="AO20" s="32">
        <v>0.95193426883567167</v>
      </c>
      <c r="AP20" s="32">
        <v>0.90717299578059074</v>
      </c>
      <c r="AQ20" s="32">
        <v>0.92887029288702927</v>
      </c>
      <c r="AR20" s="32">
        <v>0.91279887482419131</v>
      </c>
      <c r="AS20" s="32">
        <v>0.93943661971830983</v>
      </c>
      <c r="AT20" s="32">
        <v>0.92394366197183098</v>
      </c>
      <c r="AU20" s="32">
        <v>0.96508379888268159</v>
      </c>
      <c r="AV20" s="32">
        <v>0.94507042253521123</v>
      </c>
      <c r="AW20" s="32">
        <v>0.93176809522854931</v>
      </c>
      <c r="AX20" s="32">
        <v>0.92665726375176305</v>
      </c>
      <c r="AY20" s="32">
        <v>0.97605633802816905</v>
      </c>
      <c r="AZ20" s="32">
        <v>0.93191489361702129</v>
      </c>
      <c r="BA20" s="32">
        <v>0.92340425531914894</v>
      </c>
      <c r="BB20" s="32">
        <v>0.95211267605633798</v>
      </c>
      <c r="BC20" s="32">
        <v>0.97042253521126765</v>
      </c>
      <c r="BD20" s="32">
        <v>0.97615708274894808</v>
      </c>
      <c r="BE20" s="32">
        <v>0.95096072067609361</v>
      </c>
      <c r="BF20" s="32">
        <v>0.9731638418079096</v>
      </c>
      <c r="BG20" s="32">
        <v>0.87092198581560287</v>
      </c>
      <c r="BH20" s="32">
        <v>0.95056497175141241</v>
      </c>
      <c r="BI20" s="32">
        <v>0.94350282485875703</v>
      </c>
      <c r="BJ20" s="32">
        <v>0.94342291371994347</v>
      </c>
      <c r="BK20" s="32">
        <v>0.85673758865248228</v>
      </c>
      <c r="BL20" s="32">
        <v>0.92067988668555245</v>
      </c>
      <c r="BM20" s="32">
        <v>0.92271343047023713</v>
      </c>
      <c r="BN20" s="32">
        <v>0.96755994358251063</v>
      </c>
      <c r="BO20" s="32">
        <v>0.92535211267605633</v>
      </c>
      <c r="BP20" s="32">
        <v>0.97896213183730718</v>
      </c>
      <c r="BQ20" s="32">
        <v>0.95804195804195802</v>
      </c>
      <c r="BR20" s="32">
        <v>0.98171589310829821</v>
      </c>
      <c r="BS20" s="32">
        <v>0.90973201692524686</v>
      </c>
      <c r="BT20" s="32">
        <v>0.94922425952045131</v>
      </c>
      <c r="BU20" s="32">
        <v>0.9529411879559756</v>
      </c>
      <c r="BV20" s="32">
        <v>0.94206354063330566</v>
      </c>
    </row>
    <row r="21" spans="2:74" x14ac:dyDescent="0.25">
      <c r="F21" s="3"/>
      <c r="AG21" s="19" t="s">
        <v>86</v>
      </c>
      <c r="AH21" s="32">
        <v>0.9881936245572609</v>
      </c>
      <c r="AI21" s="32">
        <v>0.98490127758420443</v>
      </c>
      <c r="AJ21" s="32">
        <v>0.97399527186761226</v>
      </c>
      <c r="AK21" s="32">
        <v>0.97331786542923437</v>
      </c>
      <c r="AL21" s="32">
        <v>0.98477751756440279</v>
      </c>
      <c r="AM21" s="32">
        <v>0.98837209302325579</v>
      </c>
      <c r="AN21" s="32">
        <v>0.98245614035087714</v>
      </c>
      <c r="AO21" s="32">
        <v>0.98228768433954972</v>
      </c>
      <c r="AP21" s="32">
        <v>0.95058823529411762</v>
      </c>
      <c r="AQ21" s="32">
        <v>0.99076212471131642</v>
      </c>
      <c r="AR21" s="32">
        <v>0.93009478672985779</v>
      </c>
      <c r="AS21" s="32">
        <v>0.94248826291079812</v>
      </c>
      <c r="AT21" s="32">
        <v>0.97169811320754718</v>
      </c>
      <c r="AU21" s="32">
        <v>0.99301513387660068</v>
      </c>
      <c r="AV21" s="32">
        <v>0.98484848484848486</v>
      </c>
      <c r="AW21" s="32">
        <v>0.96621359165410325</v>
      </c>
      <c r="AX21" s="32">
        <v>0.93483412322274884</v>
      </c>
      <c r="AY21" s="32">
        <v>0.96365767878077369</v>
      </c>
      <c r="AZ21" s="32">
        <v>0.90402843601895733</v>
      </c>
      <c r="BA21" s="32">
        <v>0.9372037914691943</v>
      </c>
      <c r="BB21" s="32">
        <v>0.96099290780141844</v>
      </c>
      <c r="BC21" s="32">
        <v>0.99064327485380121</v>
      </c>
      <c r="BD21" s="32">
        <v>0.97549591598599772</v>
      </c>
      <c r="BE21" s="32">
        <v>0.95240801830469868</v>
      </c>
      <c r="BF21" s="32">
        <v>0.9441805225653207</v>
      </c>
      <c r="BG21" s="32">
        <v>0.87410926365795727</v>
      </c>
      <c r="BH21" s="32">
        <v>0.95249406175771967</v>
      </c>
      <c r="BI21" s="32">
        <v>0.96819787985865724</v>
      </c>
      <c r="BJ21" s="32">
        <v>0.96080760095011875</v>
      </c>
      <c r="BK21" s="32">
        <v>0.88571428571428568</v>
      </c>
      <c r="BL21" s="32">
        <v>0.92627824019024974</v>
      </c>
      <c r="BM21" s="32">
        <v>0.93025455067061569</v>
      </c>
      <c r="BN21" s="32">
        <v>0.97649823736780261</v>
      </c>
      <c r="BO21" s="32">
        <v>0.96085409252669041</v>
      </c>
      <c r="BP21" s="32">
        <v>0.97429906542056077</v>
      </c>
      <c r="BQ21" s="32">
        <v>0.98509174311926606</v>
      </c>
      <c r="BR21" s="32">
        <v>0.98944900351699883</v>
      </c>
      <c r="BS21" s="32">
        <v>0.96912114014251782</v>
      </c>
      <c r="BT21" s="32">
        <v>0.97303634232121927</v>
      </c>
      <c r="BU21" s="32">
        <v>0.97547851777357941</v>
      </c>
      <c r="BV21" s="32">
        <v>0.96132847254850928</v>
      </c>
    </row>
    <row r="22" spans="2:74" x14ac:dyDescent="0.25">
      <c r="B22" s="21"/>
      <c r="C22" s="21"/>
      <c r="D22" s="21"/>
      <c r="E22" s="21"/>
      <c r="F22" s="21"/>
      <c r="G22" s="21"/>
      <c r="AG22" s="19" t="s">
        <v>87</v>
      </c>
      <c r="AH22" s="32">
        <v>0.948943661971831</v>
      </c>
      <c r="AI22" s="32">
        <v>0.94395796847635727</v>
      </c>
      <c r="AJ22" s="32">
        <v>0.95422535211267601</v>
      </c>
      <c r="AK22" s="32">
        <v>0.97719298245614039</v>
      </c>
      <c r="AL22" s="32">
        <v>0.9472759226713533</v>
      </c>
      <c r="AM22" s="32">
        <v>0.97894736842105268</v>
      </c>
      <c r="AN22" s="32">
        <v>0.98063380281690138</v>
      </c>
      <c r="AO22" s="32">
        <v>0.96159672270375884</v>
      </c>
      <c r="AP22" s="32">
        <v>0.96996466431095407</v>
      </c>
      <c r="AQ22" s="32">
        <v>0.98429319371727753</v>
      </c>
      <c r="AR22" s="32">
        <v>0.93298059964726632</v>
      </c>
      <c r="AS22" s="32">
        <v>0.98415492957746475</v>
      </c>
      <c r="AT22" s="32">
        <v>0.96654929577464788</v>
      </c>
      <c r="AU22" s="32">
        <v>0.98076923076923073</v>
      </c>
      <c r="AV22" s="32">
        <v>0.98426573426573427</v>
      </c>
      <c r="AW22" s="32">
        <v>0.97185394972322503</v>
      </c>
      <c r="AX22" s="32">
        <v>0.89107142857142863</v>
      </c>
      <c r="AY22" s="32">
        <v>0.971830985915493</v>
      </c>
      <c r="AZ22" s="32">
        <v>0.87678571428571428</v>
      </c>
      <c r="BA22" s="32">
        <v>0.92490842490842495</v>
      </c>
      <c r="BB22" s="32">
        <v>0.94821428571428568</v>
      </c>
      <c r="BC22" s="32">
        <v>0.94169611307420498</v>
      </c>
      <c r="BD22" s="32">
        <v>0.95575221238938057</v>
      </c>
      <c r="BE22" s="32">
        <v>0.93003702355127604</v>
      </c>
      <c r="BF22" s="32">
        <v>0.93284936479128855</v>
      </c>
      <c r="BG22" s="32">
        <v>0.93956043956043955</v>
      </c>
      <c r="BH22" s="32">
        <v>0.93727598566308246</v>
      </c>
      <c r="BI22" s="32">
        <v>0.95053003533568903</v>
      </c>
      <c r="BJ22" s="32">
        <v>0.9505494505494505</v>
      </c>
      <c r="BK22" s="32">
        <v>0.88095238095238093</v>
      </c>
      <c r="BL22" s="32">
        <v>0.90476190476190477</v>
      </c>
      <c r="BM22" s="32">
        <v>0.92806850880203362</v>
      </c>
      <c r="BN22" s="32">
        <v>0.96466431095406358</v>
      </c>
      <c r="BO22" s="32">
        <v>0.93992932862190814</v>
      </c>
      <c r="BP22" s="32">
        <v>0.94035087719298249</v>
      </c>
      <c r="BQ22" s="32">
        <v>0.98239436619718312</v>
      </c>
      <c r="BR22" s="32">
        <v>0.97345132743362828</v>
      </c>
      <c r="BS22" s="32">
        <v>0.96643109540636041</v>
      </c>
      <c r="BT22" s="32">
        <v>0.97535211267605637</v>
      </c>
      <c r="BU22" s="32">
        <v>0.96322477406888318</v>
      </c>
      <c r="BV22" s="32">
        <v>0.95095619576983548</v>
      </c>
    </row>
    <row r="23" spans="2:74" x14ac:dyDescent="0.25">
      <c r="B23" s="20"/>
      <c r="C23" s="20"/>
      <c r="D23" s="20"/>
      <c r="E23" s="20"/>
      <c r="F23" s="20"/>
      <c r="G23" s="20"/>
      <c r="AG23" s="19" t="s">
        <v>88</v>
      </c>
      <c r="AH23" s="32">
        <v>0.86801242236024845</v>
      </c>
      <c r="AI23" s="32">
        <v>0.89002932551319647</v>
      </c>
      <c r="AJ23" s="32">
        <v>0.85416666666666663</v>
      </c>
      <c r="AK23" s="32">
        <v>0.89433384379785608</v>
      </c>
      <c r="AL23" s="32">
        <v>0.88527131782945734</v>
      </c>
      <c r="AM23" s="32">
        <v>0.90210843373493976</v>
      </c>
      <c r="AN23" s="32">
        <v>0.89209726443769</v>
      </c>
      <c r="AO23" s="32">
        <v>0.88371703919143652</v>
      </c>
      <c r="AP23" s="32">
        <v>0.88432267884322679</v>
      </c>
      <c r="AQ23" s="32">
        <v>0.92656249999999996</v>
      </c>
      <c r="AR23" s="32">
        <v>0.88432267884322679</v>
      </c>
      <c r="AS23" s="32">
        <v>0.92563291139240511</v>
      </c>
      <c r="AT23" s="32">
        <v>0.86576168929110109</v>
      </c>
      <c r="AU23" s="32">
        <v>0.92031249999999998</v>
      </c>
      <c r="AV23" s="32">
        <v>0.92823712948517945</v>
      </c>
      <c r="AW23" s="32">
        <v>0.90502172683644844</v>
      </c>
      <c r="AX23" s="32">
        <v>0.8667687595712098</v>
      </c>
      <c r="AY23" s="32">
        <v>0.94582043343653255</v>
      </c>
      <c r="AZ23" s="32">
        <v>0.85303030303030303</v>
      </c>
      <c r="BA23" s="32">
        <v>0.83658170914542729</v>
      </c>
      <c r="BB23" s="32">
        <v>0.88323353293413176</v>
      </c>
      <c r="BC23" s="32">
        <v>0.9056047197640118</v>
      </c>
      <c r="BD23" s="32">
        <v>0.88041853512705526</v>
      </c>
      <c r="BE23" s="32">
        <v>0.88163685614409604</v>
      </c>
      <c r="BF23" s="32">
        <v>0.88030303030303025</v>
      </c>
      <c r="BG23" s="32">
        <v>0.77727272727272723</v>
      </c>
      <c r="BH23" s="32">
        <v>0.87708649468892264</v>
      </c>
      <c r="BI23" s="32">
        <v>0.91424196018376724</v>
      </c>
      <c r="BJ23" s="32">
        <v>0.89696969696969697</v>
      </c>
      <c r="BK23" s="32">
        <v>0.83282674772036469</v>
      </c>
      <c r="BL23" s="32">
        <v>0.86342943854324739</v>
      </c>
      <c r="BM23" s="32">
        <v>0.86316144224025115</v>
      </c>
      <c r="BN23" s="32">
        <v>0.90317700453857797</v>
      </c>
      <c r="BO23" s="32">
        <v>0.89076923076923076</v>
      </c>
      <c r="BP23" s="32">
        <v>0.89561270801815429</v>
      </c>
      <c r="BQ23" s="32">
        <v>0.93655589123867067</v>
      </c>
      <c r="BR23" s="32">
        <v>0.91830559757942509</v>
      </c>
      <c r="BS23" s="32">
        <v>0.90557275541795668</v>
      </c>
      <c r="BT23" s="32">
        <v>0.89393939393939392</v>
      </c>
      <c r="BU23" s="32">
        <v>0.90627608307162988</v>
      </c>
      <c r="BV23" s="32">
        <v>0.88796262949677229</v>
      </c>
    </row>
    <row r="24" spans="2:74" x14ac:dyDescent="0.25">
      <c r="B24" s="20"/>
      <c r="C24" s="20"/>
      <c r="D24" s="20"/>
      <c r="E24" s="20"/>
      <c r="F24" s="20"/>
      <c r="G24" s="20"/>
      <c r="AG24" s="19" t="s">
        <v>89</v>
      </c>
      <c r="AH24" s="32">
        <v>0.89989462592202318</v>
      </c>
      <c r="AI24" s="32">
        <v>0.94753410283315842</v>
      </c>
      <c r="AJ24" s="32">
        <v>0.886411889596603</v>
      </c>
      <c r="AK24" s="32">
        <v>0.89479277364505849</v>
      </c>
      <c r="AL24" s="32">
        <v>0.93860561914672214</v>
      </c>
      <c r="AM24" s="32">
        <v>0.9464469618949537</v>
      </c>
      <c r="AN24" s="32">
        <v>0.93820803295571575</v>
      </c>
      <c r="AO24" s="32">
        <v>0.92169914371346207</v>
      </c>
      <c r="AP24" s="32">
        <v>0.87160751565762007</v>
      </c>
      <c r="AQ24" s="32">
        <v>0.89004149377593356</v>
      </c>
      <c r="AR24" s="32">
        <v>0.85983263598326365</v>
      </c>
      <c r="AS24" s="32">
        <v>0.86392405063291144</v>
      </c>
      <c r="AT24" s="32">
        <v>0.86526315789473685</v>
      </c>
      <c r="AU24" s="32">
        <v>0.90322580645161288</v>
      </c>
      <c r="AV24" s="32">
        <v>0.85952133194588964</v>
      </c>
      <c r="AW24" s="32">
        <v>0.87334514176313827</v>
      </c>
      <c r="AX24" s="32">
        <v>0.84371700105596625</v>
      </c>
      <c r="AY24" s="32">
        <v>0.90946930280957339</v>
      </c>
      <c r="AZ24" s="32">
        <v>0.82515991471215355</v>
      </c>
      <c r="BA24" s="32">
        <v>0.82817502668089649</v>
      </c>
      <c r="BB24" s="32">
        <v>0.9190325972660357</v>
      </c>
      <c r="BC24" s="32">
        <v>0.92805005213764336</v>
      </c>
      <c r="BD24" s="32">
        <v>0.92991631799163177</v>
      </c>
      <c r="BE24" s="32">
        <v>0.88336003037912847</v>
      </c>
      <c r="BF24" s="32">
        <v>0.78891257995735609</v>
      </c>
      <c r="BG24" s="32">
        <v>0.69569892473118278</v>
      </c>
      <c r="BH24" s="32">
        <v>0.79893048128342248</v>
      </c>
      <c r="BI24" s="32">
        <v>0.8113612004287245</v>
      </c>
      <c r="BJ24" s="32">
        <v>0.78502673796791445</v>
      </c>
      <c r="BK24" s="32">
        <v>0.70043103448275867</v>
      </c>
      <c r="BL24" s="32">
        <v>0.73593073593073588</v>
      </c>
      <c r="BM24" s="32">
        <v>0.75947024211172776</v>
      </c>
      <c r="BN24" s="32">
        <v>0.90552016985138006</v>
      </c>
      <c r="BO24" s="32">
        <v>0.83333333333333337</v>
      </c>
      <c r="BP24" s="32">
        <v>0.88759278897136795</v>
      </c>
      <c r="BQ24" s="32">
        <v>0.93551797040169138</v>
      </c>
      <c r="BR24" s="32">
        <v>0.91388589881593107</v>
      </c>
      <c r="BS24" s="32">
        <v>0.86802575107296143</v>
      </c>
      <c r="BT24" s="32">
        <v>0.90958019375672772</v>
      </c>
      <c r="BU24" s="32">
        <v>0.89335087231477039</v>
      </c>
      <c r="BV24" s="32">
        <v>0.86624508605644535</v>
      </c>
    </row>
    <row r="25" spans="2:74" x14ac:dyDescent="0.25">
      <c r="B25" s="20"/>
      <c r="C25" s="20"/>
      <c r="D25" s="20"/>
      <c r="E25" s="20"/>
      <c r="F25" s="20"/>
      <c r="G25" s="20"/>
      <c r="AG25" s="19" t="s">
        <v>90</v>
      </c>
      <c r="AH25" s="32">
        <v>0.99537750385208013</v>
      </c>
      <c r="AI25" s="32">
        <v>1</v>
      </c>
      <c r="AJ25" s="32">
        <v>0.98466257668711654</v>
      </c>
      <c r="AK25" s="32">
        <v>0.98466257668711654</v>
      </c>
      <c r="AL25" s="32">
        <v>0.99384615384615382</v>
      </c>
      <c r="AM25" s="32">
        <v>1</v>
      </c>
      <c r="AN25" s="32">
        <v>0.99538461538461542</v>
      </c>
      <c r="AO25" s="32">
        <v>0.99341906092244048</v>
      </c>
      <c r="AP25" s="32">
        <v>0.953125</v>
      </c>
      <c r="AQ25" s="32">
        <v>0.98318042813455653</v>
      </c>
      <c r="AR25" s="32">
        <v>0.98281249999999998</v>
      </c>
      <c r="AS25" s="32">
        <v>0.98913043478260865</v>
      </c>
      <c r="AT25" s="32">
        <v>0.96894409937888204</v>
      </c>
      <c r="AU25" s="32">
        <v>0.97094801223241589</v>
      </c>
      <c r="AV25" s="32">
        <v>0.94325153374233128</v>
      </c>
      <c r="AW25" s="32">
        <v>0.97019885832439912</v>
      </c>
      <c r="AX25" s="32">
        <v>0.94043887147335425</v>
      </c>
      <c r="AY25" s="32">
        <v>0.984779299847793</v>
      </c>
      <c r="AZ25" s="32">
        <v>0.94330708661417317</v>
      </c>
      <c r="BA25" s="32">
        <v>0.91311216429699837</v>
      </c>
      <c r="BB25" s="32">
        <v>0.98630136986301364</v>
      </c>
      <c r="BC25" s="32">
        <v>0.9908675799086758</v>
      </c>
      <c r="BD25" s="32">
        <v>0.98630136986301364</v>
      </c>
      <c r="BE25" s="32">
        <v>0.9635868202667176</v>
      </c>
      <c r="BF25" s="32">
        <v>0.90645161290322585</v>
      </c>
      <c r="BG25" s="32">
        <v>0.8924558587479936</v>
      </c>
      <c r="BH25" s="32">
        <v>0.92903225806451617</v>
      </c>
      <c r="BI25" s="32">
        <v>0.96855345911949686</v>
      </c>
      <c r="BJ25" s="32">
        <v>0.92109500805152977</v>
      </c>
      <c r="BK25" s="32">
        <v>0.90353697749196138</v>
      </c>
      <c r="BL25" s="32">
        <v>0.91157556270096463</v>
      </c>
      <c r="BM25" s="32">
        <v>0.91895724815424118</v>
      </c>
      <c r="BN25" s="32">
        <v>0.97247706422018354</v>
      </c>
      <c r="BO25" s="32">
        <v>0.9199372056514914</v>
      </c>
      <c r="BP25" s="32">
        <v>0.98170731707317072</v>
      </c>
      <c r="BQ25" s="32">
        <v>0.98780487804878048</v>
      </c>
      <c r="BR25" s="32">
        <v>0.98773006134969321</v>
      </c>
      <c r="BS25" s="32">
        <v>0.98307692307692307</v>
      </c>
      <c r="BT25" s="32">
        <v>0.9969088098918083</v>
      </c>
      <c r="BU25" s="32">
        <v>0.97566317990172158</v>
      </c>
      <c r="BV25" s="32">
        <v>0.9643650335139039</v>
      </c>
    </row>
    <row r="26" spans="2:74" x14ac:dyDescent="0.25">
      <c r="B26" s="20"/>
      <c r="C26" s="20"/>
      <c r="D26" s="20"/>
      <c r="E26" s="20"/>
      <c r="F26" s="20"/>
      <c r="G26" s="20"/>
      <c r="AG26" s="19" t="s">
        <v>91</v>
      </c>
      <c r="AH26" s="32">
        <v>0.95387840670859536</v>
      </c>
      <c r="AI26" s="32">
        <v>0.99792099792099798</v>
      </c>
      <c r="AJ26" s="32">
        <v>0.95807127882599585</v>
      </c>
      <c r="AK26" s="32">
        <v>0.99168399168399168</v>
      </c>
      <c r="AL26" s="32">
        <v>0.98132780082987547</v>
      </c>
      <c r="AM26" s="32">
        <v>0.97698744769874479</v>
      </c>
      <c r="AN26" s="32">
        <v>0.98326359832635979</v>
      </c>
      <c r="AO26" s="32">
        <v>0.97759050314208018</v>
      </c>
      <c r="AP26" s="32">
        <v>0.96666666666666667</v>
      </c>
      <c r="AQ26" s="32">
        <v>0.98958333333333337</v>
      </c>
      <c r="AR26" s="32">
        <v>0.9454926624737946</v>
      </c>
      <c r="AS26" s="32">
        <v>0.98124999999999996</v>
      </c>
      <c r="AT26" s="32">
        <v>0.97903563941299787</v>
      </c>
      <c r="AU26" s="32">
        <v>0.98588709677419351</v>
      </c>
      <c r="AV26" s="32">
        <v>0.98550724637681164</v>
      </c>
      <c r="AW26" s="32">
        <v>0.97620323500539974</v>
      </c>
      <c r="AX26" s="32">
        <v>0.87866108786610875</v>
      </c>
      <c r="AY26" s="32">
        <v>0.96652719665271969</v>
      </c>
      <c r="AZ26" s="32">
        <v>0.87866108786610875</v>
      </c>
      <c r="BA26" s="32">
        <v>0.87656903765690375</v>
      </c>
      <c r="BB26" s="32">
        <v>0.90187891440501045</v>
      </c>
      <c r="BC26" s="32">
        <v>0.96234309623430958</v>
      </c>
      <c r="BD26" s="32">
        <v>0.94968553459119498</v>
      </c>
      <c r="BE26" s="32">
        <v>0.91633227932462213</v>
      </c>
      <c r="BF26" s="32">
        <v>0.95588235294117652</v>
      </c>
      <c r="BG26" s="32">
        <v>0.78870292887029292</v>
      </c>
      <c r="BH26" s="32">
        <v>0.9634888438133874</v>
      </c>
      <c r="BI26" s="32">
        <v>0.96378269617706236</v>
      </c>
      <c r="BJ26" s="32">
        <v>0.93907563025210083</v>
      </c>
      <c r="BK26" s="32">
        <v>0.83403361344537819</v>
      </c>
      <c r="BL26" s="32">
        <v>0.89495798319327735</v>
      </c>
      <c r="BM26" s="32">
        <v>0.90570343552752497</v>
      </c>
      <c r="BN26" s="32">
        <v>0.89860834990059646</v>
      </c>
      <c r="BO26" s="32">
        <v>0.94747474747474747</v>
      </c>
      <c r="BP26" s="32">
        <v>0.90258449304174948</v>
      </c>
      <c r="BQ26" s="32">
        <v>0.97813121272365811</v>
      </c>
      <c r="BR26" s="32">
        <v>0.97420634920634919</v>
      </c>
      <c r="BS26" s="32">
        <v>0.96819085487077539</v>
      </c>
      <c r="BT26" s="32">
        <v>0.96620278330019882</v>
      </c>
      <c r="BU26" s="32">
        <v>0.9479141129311538</v>
      </c>
      <c r="BV26" s="32">
        <v>0.94474871318615605</v>
      </c>
    </row>
    <row r="27" spans="2:74" x14ac:dyDescent="0.25">
      <c r="B27" s="20"/>
      <c r="C27" s="20"/>
      <c r="D27" s="20"/>
      <c r="E27" s="20"/>
      <c r="F27" s="20"/>
      <c r="G27" s="20"/>
      <c r="AG27" s="19" t="s">
        <v>92</v>
      </c>
      <c r="AH27" s="32">
        <v>0.81643835616438354</v>
      </c>
      <c r="AI27" s="32">
        <v>0.84869325997248968</v>
      </c>
      <c r="AJ27" s="32">
        <v>0.82943603851444292</v>
      </c>
      <c r="AK27" s="32">
        <v>0.87534246575342467</v>
      </c>
      <c r="AL27" s="32">
        <v>0.8418156808803301</v>
      </c>
      <c r="AM27" s="32">
        <v>0.85419532324621739</v>
      </c>
      <c r="AN27" s="32">
        <v>0.82943603851444292</v>
      </c>
      <c r="AO27" s="32">
        <v>0.84219388043510435</v>
      </c>
      <c r="AP27" s="32">
        <v>0.80547945205479454</v>
      </c>
      <c r="AQ27" s="32">
        <v>0.90150478796169631</v>
      </c>
      <c r="AR27" s="32">
        <v>0.78493150684931512</v>
      </c>
      <c r="AS27" s="32">
        <v>0.83906464924346635</v>
      </c>
      <c r="AT27" s="32">
        <v>0.80136986301369861</v>
      </c>
      <c r="AU27" s="32">
        <v>0.8904109589041096</v>
      </c>
      <c r="AV27" s="32">
        <v>0.87671232876712324</v>
      </c>
      <c r="AW27" s="32">
        <v>0.84278193525631484</v>
      </c>
      <c r="AX27" s="32">
        <v>0.83150684931506846</v>
      </c>
      <c r="AY27" s="32">
        <v>0.87895460797799174</v>
      </c>
      <c r="AZ27" s="32">
        <v>0.80880330123796429</v>
      </c>
      <c r="BA27" s="32">
        <v>0.80821917808219179</v>
      </c>
      <c r="BB27" s="32">
        <v>0.83768913342503437</v>
      </c>
      <c r="BC27" s="32">
        <v>0.87105624142661175</v>
      </c>
      <c r="BD27" s="32">
        <v>0.86657496561210456</v>
      </c>
      <c r="BE27" s="32">
        <v>0.84325775386813806</v>
      </c>
      <c r="BF27" s="32">
        <v>0.82054794520547947</v>
      </c>
      <c r="BG27" s="32">
        <v>0.66027397260273968</v>
      </c>
      <c r="BH27" s="32">
        <v>0.81643835616438354</v>
      </c>
      <c r="BI27" s="32">
        <v>0.86956521739130432</v>
      </c>
      <c r="BJ27" s="32">
        <v>0.79483695652173914</v>
      </c>
      <c r="BK27" s="32">
        <v>0.70426409903713894</v>
      </c>
      <c r="BL27" s="32">
        <v>0.75928473177441536</v>
      </c>
      <c r="BM27" s="32">
        <v>0.77503018267102863</v>
      </c>
      <c r="BN27" s="32">
        <v>0.85579514824797842</v>
      </c>
      <c r="BO27" s="32">
        <v>0.85637583892617453</v>
      </c>
      <c r="BP27" s="32">
        <v>0.86170212765957444</v>
      </c>
      <c r="BQ27" s="32">
        <v>0.91052631578947374</v>
      </c>
      <c r="BR27" s="32">
        <v>0.87299465240641716</v>
      </c>
      <c r="BS27" s="32">
        <v>0.88043478260869568</v>
      </c>
      <c r="BT27" s="32">
        <v>0.90296495956873313</v>
      </c>
      <c r="BU27" s="32">
        <v>0.87725626074386387</v>
      </c>
      <c r="BV27" s="32">
        <v>0.83610400259489015</v>
      </c>
    </row>
    <row r="28" spans="2:74" x14ac:dyDescent="0.25">
      <c r="B28" s="20"/>
      <c r="C28" s="20"/>
      <c r="D28" s="20"/>
      <c r="E28" s="20"/>
      <c r="F28" s="20"/>
      <c r="G28" s="20"/>
      <c r="AG28" s="19" t="s">
        <v>93</v>
      </c>
      <c r="AH28" s="32">
        <v>0.96781115879828328</v>
      </c>
      <c r="AI28" s="32">
        <v>0.95064377682403434</v>
      </c>
      <c r="AJ28" s="32">
        <v>0.94206008583690992</v>
      </c>
      <c r="AK28" s="32">
        <v>0.97424892703862664</v>
      </c>
      <c r="AL28" s="32">
        <v>0.95085470085470081</v>
      </c>
      <c r="AM28" s="32">
        <v>0.97639484978540769</v>
      </c>
      <c r="AN28" s="32">
        <v>0.92918454935622319</v>
      </c>
      <c r="AO28" s="32">
        <v>0.95588543549916938</v>
      </c>
      <c r="AP28" s="32">
        <v>0.94849785407725318</v>
      </c>
      <c r="AQ28" s="32">
        <v>0.97052631578947368</v>
      </c>
      <c r="AR28" s="32">
        <v>0.96566523605150212</v>
      </c>
      <c r="AS28" s="32">
        <v>0.9570815450643777</v>
      </c>
      <c r="AT28" s="32">
        <v>0.95064377682403434</v>
      </c>
      <c r="AU28" s="32">
        <v>0.97659574468085109</v>
      </c>
      <c r="AV28" s="32">
        <v>0.94860813704496783</v>
      </c>
      <c r="AW28" s="32">
        <v>0.95965980136177997</v>
      </c>
      <c r="AX28" s="32">
        <v>0.89699570815450647</v>
      </c>
      <c r="AY28" s="32">
        <v>0.95503211991434689</v>
      </c>
      <c r="AZ28" s="32">
        <v>0.89699570815450647</v>
      </c>
      <c r="BA28" s="32">
        <v>0.91201716738197425</v>
      </c>
      <c r="BB28" s="32">
        <v>0.92933618843683086</v>
      </c>
      <c r="BC28" s="32">
        <v>0.95717344753747324</v>
      </c>
      <c r="BD28" s="32">
        <v>0.95503211991434689</v>
      </c>
      <c r="BE28" s="32">
        <v>0.92894035135628361</v>
      </c>
      <c r="BF28" s="32">
        <v>0.93790149892933616</v>
      </c>
      <c r="BG28" s="32">
        <v>0.7618025751072961</v>
      </c>
      <c r="BH28" s="32">
        <v>0.95503211991434689</v>
      </c>
      <c r="BI28" s="32">
        <v>0.96162046908315568</v>
      </c>
      <c r="BJ28" s="32">
        <v>0.94029850746268662</v>
      </c>
      <c r="BK28" s="32">
        <v>0.83905579399141628</v>
      </c>
      <c r="BL28" s="32">
        <v>0.91416309012875541</v>
      </c>
      <c r="BM28" s="32">
        <v>0.90141057923099888</v>
      </c>
      <c r="BN28" s="32">
        <v>0.92405063291139244</v>
      </c>
      <c r="BO28" s="32">
        <v>0.90384615384615385</v>
      </c>
      <c r="BP28" s="32">
        <v>0.93459915611814348</v>
      </c>
      <c r="BQ28" s="32">
        <v>0.97052631578947368</v>
      </c>
      <c r="BR28" s="32">
        <v>0.93684210526315792</v>
      </c>
      <c r="BS28" s="32">
        <v>0.95074946466809418</v>
      </c>
      <c r="BT28" s="32">
        <v>0.99147121535181237</v>
      </c>
      <c r="BU28" s="32">
        <v>0.94458357770688972</v>
      </c>
      <c r="BV28" s="32">
        <v>0.93809594903102422</v>
      </c>
    </row>
    <row r="29" spans="2:74" x14ac:dyDescent="0.25">
      <c r="B29" s="20"/>
      <c r="C29" s="20"/>
      <c r="D29" s="20"/>
      <c r="E29" s="20"/>
      <c r="F29" s="20"/>
      <c r="G29" s="20"/>
      <c r="AG29" s="19" t="s">
        <v>94</v>
      </c>
      <c r="AH29" s="32">
        <v>0.89954853273137703</v>
      </c>
      <c r="AI29" s="32">
        <v>0.90561797752808992</v>
      </c>
      <c r="AJ29" s="32">
        <v>0.83129855715871259</v>
      </c>
      <c r="AK29" s="32">
        <v>0.84657836644591611</v>
      </c>
      <c r="AL29" s="32">
        <v>0.89503386004514673</v>
      </c>
      <c r="AM29" s="32">
        <v>0.90765765765765771</v>
      </c>
      <c r="AN29" s="32">
        <v>0.93220338983050843</v>
      </c>
      <c r="AO29" s="32">
        <v>0.8882769059139155</v>
      </c>
      <c r="AP29" s="32">
        <v>0.91206313416009022</v>
      </c>
      <c r="AQ29" s="32">
        <v>0.91563554555680537</v>
      </c>
      <c r="AR29" s="32">
        <v>0.86809470124013532</v>
      </c>
      <c r="AS29" s="32">
        <v>0.85106382978723405</v>
      </c>
      <c r="AT29" s="32">
        <v>0.91995490417136416</v>
      </c>
      <c r="AU29" s="32">
        <v>0.92994350282485871</v>
      </c>
      <c r="AV29" s="32">
        <v>0.93018018018018023</v>
      </c>
      <c r="AW29" s="32">
        <v>0.90384797113152415</v>
      </c>
      <c r="AX29" s="32">
        <v>0.91043083900226762</v>
      </c>
      <c r="AY29" s="32">
        <v>0.89954853273137703</v>
      </c>
      <c r="AZ29" s="32">
        <v>0.79818594104308394</v>
      </c>
      <c r="BA29" s="32">
        <v>0.79314285714285715</v>
      </c>
      <c r="BB29" s="32">
        <v>0.92559188275084558</v>
      </c>
      <c r="BC29" s="32">
        <v>0.9401129943502825</v>
      </c>
      <c r="BD29" s="32">
        <v>0.88626126126126126</v>
      </c>
      <c r="BE29" s="32">
        <v>0.87903918689742511</v>
      </c>
      <c r="BF29" s="32">
        <v>0.85385500575373996</v>
      </c>
      <c r="BG29" s="32">
        <v>0.83505154639175261</v>
      </c>
      <c r="BH29" s="32">
        <v>0.83084004602991945</v>
      </c>
      <c r="BI29" s="32">
        <v>0.85155350978135791</v>
      </c>
      <c r="BJ29" s="32">
        <v>0.83084004602991945</v>
      </c>
      <c r="BK29" s="32">
        <v>0.67318757192174916</v>
      </c>
      <c r="BL29" s="32">
        <v>0.72138728323699419</v>
      </c>
      <c r="BM29" s="32">
        <v>0.79953071559220468</v>
      </c>
      <c r="BN29" s="32">
        <v>0.89210233592880983</v>
      </c>
      <c r="BO29" s="32">
        <v>0.89988492520138086</v>
      </c>
      <c r="BP29" s="32">
        <v>0.84175824175824177</v>
      </c>
      <c r="BQ29" s="32">
        <v>0.83476394849785407</v>
      </c>
      <c r="BR29" s="32">
        <v>0.8976640711902113</v>
      </c>
      <c r="BS29" s="32">
        <v>0.84464902186421176</v>
      </c>
      <c r="BT29" s="32">
        <v>0.86368715083798886</v>
      </c>
      <c r="BU29" s="32">
        <v>0.86778709932552833</v>
      </c>
      <c r="BV29" s="32">
        <v>0.86769637577211933</v>
      </c>
    </row>
    <row r="30" spans="2:74" x14ac:dyDescent="0.25">
      <c r="B30" s="20"/>
      <c r="C30" s="20"/>
      <c r="D30" s="20"/>
      <c r="E30" s="20"/>
      <c r="F30" s="20"/>
      <c r="G30" s="20"/>
      <c r="AG30" s="19" t="s">
        <v>95</v>
      </c>
      <c r="AH30" s="32">
        <v>1</v>
      </c>
      <c r="AI30" s="32">
        <v>1</v>
      </c>
      <c r="AJ30" s="32">
        <v>0.99116997792494477</v>
      </c>
      <c r="AK30" s="32">
        <v>1</v>
      </c>
      <c r="AL30" s="32">
        <v>1</v>
      </c>
      <c r="AM30" s="32">
        <v>1</v>
      </c>
      <c r="AN30" s="32">
        <v>1</v>
      </c>
      <c r="AO30" s="32">
        <v>0.99873856827499208</v>
      </c>
      <c r="AP30" s="32">
        <v>0.99103139013452912</v>
      </c>
      <c r="AQ30" s="32">
        <v>1</v>
      </c>
      <c r="AR30" s="32">
        <v>0.98871331828442433</v>
      </c>
      <c r="AS30" s="32">
        <v>0.98871331828442433</v>
      </c>
      <c r="AT30" s="32">
        <v>1</v>
      </c>
      <c r="AU30" s="32">
        <v>0.9978070175438597</v>
      </c>
      <c r="AV30" s="32">
        <v>0.9978070175438597</v>
      </c>
      <c r="AW30" s="32">
        <v>0.99486743739872818</v>
      </c>
      <c r="AX30" s="32">
        <v>0.98871331828442433</v>
      </c>
      <c r="AY30" s="32">
        <v>1</v>
      </c>
      <c r="AZ30" s="32">
        <v>0.98871331828442433</v>
      </c>
      <c r="BA30" s="32">
        <v>1</v>
      </c>
      <c r="BB30" s="32">
        <v>0.97742663656884876</v>
      </c>
      <c r="BC30" s="32">
        <v>1</v>
      </c>
      <c r="BD30" s="32">
        <v>1</v>
      </c>
      <c r="BE30" s="32">
        <v>0.99355046759109966</v>
      </c>
      <c r="BF30" s="32">
        <v>0.98871331828442433</v>
      </c>
      <c r="BG30" s="32">
        <v>1</v>
      </c>
      <c r="BH30" s="32">
        <v>0.98871331828442433</v>
      </c>
      <c r="BI30" s="32">
        <v>1</v>
      </c>
      <c r="BJ30" s="32">
        <v>0.98871331828442433</v>
      </c>
      <c r="BK30" s="32">
        <v>1</v>
      </c>
      <c r="BL30" s="32">
        <v>1</v>
      </c>
      <c r="BM30" s="32">
        <v>0.99516285069332466</v>
      </c>
      <c r="BN30" s="32">
        <v>1</v>
      </c>
      <c r="BO30" s="32">
        <v>1</v>
      </c>
      <c r="BP30" s="32">
        <v>1</v>
      </c>
      <c r="BQ30" s="32">
        <v>1</v>
      </c>
      <c r="BR30" s="32">
        <v>1</v>
      </c>
      <c r="BS30" s="32">
        <v>1</v>
      </c>
      <c r="BT30" s="32">
        <v>1</v>
      </c>
      <c r="BU30" s="32">
        <v>1</v>
      </c>
      <c r="BV30" s="32">
        <v>0.99646386479162907</v>
      </c>
    </row>
    <row r="31" spans="2:74" x14ac:dyDescent="0.25">
      <c r="B31" s="20"/>
      <c r="C31" s="20"/>
      <c r="D31" s="20"/>
      <c r="E31" s="20"/>
      <c r="F31" s="20"/>
      <c r="G31" s="20"/>
      <c r="AG31" s="19" t="s">
        <v>96</v>
      </c>
      <c r="AH31" s="32">
        <v>0.92534381139489197</v>
      </c>
      <c r="AI31" s="32">
        <v>0.91828793774319062</v>
      </c>
      <c r="AJ31" s="32">
        <v>0.90485436893203886</v>
      </c>
      <c r="AK31" s="32">
        <v>0.9263565891472868</v>
      </c>
      <c r="AL31" s="32">
        <v>0.93410852713178294</v>
      </c>
      <c r="AM31" s="32">
        <v>0.89960629921259838</v>
      </c>
      <c r="AN31" s="32">
        <v>0.93150684931506844</v>
      </c>
      <c r="AO31" s="32">
        <v>0.92000919755383681</v>
      </c>
      <c r="AP31" s="32">
        <v>0.89083820662768032</v>
      </c>
      <c r="AQ31" s="32">
        <v>0.91762452107279691</v>
      </c>
      <c r="AR31" s="32">
        <v>0.9119373776908023</v>
      </c>
      <c r="AS31" s="32">
        <v>0.88565891472868219</v>
      </c>
      <c r="AT31" s="32">
        <v>0.92079207920792083</v>
      </c>
      <c r="AU31" s="32">
        <v>0.90600000000000003</v>
      </c>
      <c r="AV31" s="32">
        <v>0.92761904761904757</v>
      </c>
      <c r="AW31" s="32">
        <v>0.90863859242098999</v>
      </c>
      <c r="AX31" s="32">
        <v>0.83235867446393763</v>
      </c>
      <c r="AY31" s="32">
        <v>0.92278719397363462</v>
      </c>
      <c r="AZ31" s="32">
        <v>0.83921568627450982</v>
      </c>
      <c r="BA31" s="32">
        <v>0.85909980430528377</v>
      </c>
      <c r="BB31" s="32">
        <v>0.92145593869731801</v>
      </c>
      <c r="BC31" s="32">
        <v>0.8928571428571429</v>
      </c>
      <c r="BD31" s="32">
        <v>0.92322456813819576</v>
      </c>
      <c r="BE31" s="32">
        <v>0.88442842981571756</v>
      </c>
      <c r="BF31" s="32">
        <v>0.85961538461538467</v>
      </c>
      <c r="BG31" s="32">
        <v>0.89595375722543358</v>
      </c>
      <c r="BH31" s="32">
        <v>0.87022900763358779</v>
      </c>
      <c r="BI31" s="32">
        <v>0.88627450980392153</v>
      </c>
      <c r="BJ31" s="32">
        <v>0.86213592233009706</v>
      </c>
      <c r="BK31" s="32">
        <v>0.77027027027027029</v>
      </c>
      <c r="BL31" s="32">
        <v>0.77176015473887816</v>
      </c>
      <c r="BM31" s="32">
        <v>0.84517700094536763</v>
      </c>
      <c r="BN31" s="32">
        <v>0.94047619047619047</v>
      </c>
      <c r="BO31" s="32">
        <v>0.86259541984732824</v>
      </c>
      <c r="BP31" s="32">
        <v>0.95238095238095233</v>
      </c>
      <c r="BQ31" s="32">
        <v>0.93506493506493504</v>
      </c>
      <c r="BR31" s="32">
        <v>0.92884615384615388</v>
      </c>
      <c r="BS31" s="32">
        <v>0.91204588910133844</v>
      </c>
      <c r="BT31" s="32">
        <v>0.89830508474576276</v>
      </c>
      <c r="BU31" s="32">
        <v>0.91853066078038015</v>
      </c>
      <c r="BV31" s="32">
        <v>0.89535677630325849</v>
      </c>
    </row>
    <row r="32" spans="2:74" x14ac:dyDescent="0.25">
      <c r="B32" s="20"/>
      <c r="C32" s="20"/>
      <c r="D32" s="20"/>
      <c r="E32" s="20"/>
      <c r="F32" s="20"/>
      <c r="G32" s="20"/>
      <c r="AG32" s="19" t="s">
        <v>97</v>
      </c>
      <c r="AH32" s="32">
        <v>0.92046936114732725</v>
      </c>
      <c r="AI32" s="32">
        <v>0.91655801825293348</v>
      </c>
      <c r="AJ32" s="32">
        <v>0.93270524899057872</v>
      </c>
      <c r="AK32" s="32">
        <v>0.94086021505376349</v>
      </c>
      <c r="AL32" s="32">
        <v>0.95430107526881724</v>
      </c>
      <c r="AM32" s="32">
        <v>0.95430107526881724</v>
      </c>
      <c r="AN32" s="32">
        <v>0.96505376344086025</v>
      </c>
      <c r="AO32" s="32">
        <v>0.94060696534615673</v>
      </c>
      <c r="AP32" s="32">
        <v>0.90369393139841692</v>
      </c>
      <c r="AQ32" s="32">
        <v>0.95564516129032262</v>
      </c>
      <c r="AR32" s="32">
        <v>0.90053763440860213</v>
      </c>
      <c r="AS32" s="32">
        <v>0.93010752688172038</v>
      </c>
      <c r="AT32" s="32">
        <v>0.94758064516129037</v>
      </c>
      <c r="AU32" s="32">
        <v>0.93817204301075274</v>
      </c>
      <c r="AV32" s="32">
        <v>0.95295698924731187</v>
      </c>
      <c r="AW32" s="32">
        <v>0.93267056162834538</v>
      </c>
      <c r="AX32" s="32">
        <v>0.9261744966442953</v>
      </c>
      <c r="AY32" s="32">
        <v>0.93951612903225812</v>
      </c>
      <c r="AZ32" s="32">
        <v>0.885752688172043</v>
      </c>
      <c r="BA32" s="32">
        <v>0.88440860215053763</v>
      </c>
      <c r="BB32" s="32">
        <v>0.92204301075268813</v>
      </c>
      <c r="BC32" s="32">
        <v>0.95564516129032262</v>
      </c>
      <c r="BD32" s="32">
        <v>0.94758064516129037</v>
      </c>
      <c r="BE32" s="32">
        <v>0.92301724760049075</v>
      </c>
      <c r="BF32" s="32">
        <v>0.8998682476943346</v>
      </c>
      <c r="BG32" s="32">
        <v>0.79551451187335087</v>
      </c>
      <c r="BH32" s="32">
        <v>0.96666666666666667</v>
      </c>
      <c r="BI32" s="32">
        <v>0.95564516129032262</v>
      </c>
      <c r="BJ32" s="32">
        <v>0.93682795698924726</v>
      </c>
      <c r="BK32" s="32">
        <v>0.96174863387978138</v>
      </c>
      <c r="BL32" s="32">
        <v>0.90322580645161288</v>
      </c>
      <c r="BM32" s="32">
        <v>0.91707099783504531</v>
      </c>
      <c r="BN32" s="32">
        <v>0.90600522193211486</v>
      </c>
      <c r="BO32" s="32">
        <v>0.91551071878940726</v>
      </c>
      <c r="BP32" s="32">
        <v>0.94228356336260977</v>
      </c>
      <c r="BQ32" s="32">
        <v>0.93279569892473113</v>
      </c>
      <c r="BR32" s="32">
        <v>0.93682795698924726</v>
      </c>
      <c r="BS32" s="32">
        <v>0.91935483870967738</v>
      </c>
      <c r="BT32" s="32">
        <v>0.94220430107526887</v>
      </c>
      <c r="BU32" s="32">
        <v>0.92785461425472238</v>
      </c>
      <c r="BV32" s="32">
        <v>0.92824407733295178</v>
      </c>
    </row>
    <row r="33" spans="2:74" x14ac:dyDescent="0.25">
      <c r="B33" s="20"/>
      <c r="C33" s="20"/>
      <c r="D33" s="20"/>
      <c r="E33" s="20"/>
      <c r="F33" s="20"/>
      <c r="G33" s="20"/>
      <c r="AG33" s="19" t="s">
        <v>98</v>
      </c>
      <c r="AH33" s="32">
        <v>0.88086642599277976</v>
      </c>
      <c r="AI33" s="32">
        <v>0.99650349650349646</v>
      </c>
      <c r="AJ33" s="32">
        <v>0.92592592592592593</v>
      </c>
      <c r="AK33" s="32">
        <v>0.9154411764705882</v>
      </c>
      <c r="AL33" s="32">
        <v>0.92779783393501802</v>
      </c>
      <c r="AM33" s="32">
        <v>0.94680851063829785</v>
      </c>
      <c r="AN33" s="32">
        <v>0.91608391608391604</v>
      </c>
      <c r="AO33" s="32">
        <v>0.92991818365000312</v>
      </c>
      <c r="AP33" s="32">
        <v>0.88256227758007122</v>
      </c>
      <c r="AQ33" s="32">
        <v>0.94584837545126355</v>
      </c>
      <c r="AR33" s="32">
        <v>0.90774907749077494</v>
      </c>
      <c r="AS33" s="32">
        <v>0.93406593406593408</v>
      </c>
      <c r="AT33" s="32">
        <v>0.86428571428571432</v>
      </c>
      <c r="AU33" s="32">
        <v>0.92307692307692313</v>
      </c>
      <c r="AV33" s="32">
        <v>0.86642599277978338</v>
      </c>
      <c r="AW33" s="32">
        <v>0.90343061353292353</v>
      </c>
      <c r="AX33" s="32">
        <v>0.84837545126353786</v>
      </c>
      <c r="AY33" s="32">
        <v>0.95306859205776173</v>
      </c>
      <c r="AZ33" s="32">
        <v>0.79259259259259263</v>
      </c>
      <c r="BA33" s="32">
        <v>0.86346863468634683</v>
      </c>
      <c r="BB33" s="32">
        <v>0.90613718411552346</v>
      </c>
      <c r="BC33" s="32">
        <v>0.95390070921985815</v>
      </c>
      <c r="BD33" s="32">
        <v>0.94661921708185048</v>
      </c>
      <c r="BE33" s="32">
        <v>0.894880340145353</v>
      </c>
      <c r="BF33" s="32">
        <v>0.92831541218637992</v>
      </c>
      <c r="BG33" s="32">
        <v>0.77978339350180503</v>
      </c>
      <c r="BH33" s="32">
        <v>0.93795620437956206</v>
      </c>
      <c r="BI33" s="32">
        <v>0.93992932862190814</v>
      </c>
      <c r="BJ33" s="32">
        <v>0.89928057553956831</v>
      </c>
      <c r="BK33" s="32">
        <v>0.78700361010830322</v>
      </c>
      <c r="BL33" s="32">
        <v>0.8267148014440433</v>
      </c>
      <c r="BM33" s="32">
        <v>0.87128333225451005</v>
      </c>
      <c r="BN33" s="32">
        <v>0.95578231292517002</v>
      </c>
      <c r="BO33" s="32">
        <v>0.95517241379310347</v>
      </c>
      <c r="BP33" s="32">
        <v>0.93333333333333335</v>
      </c>
      <c r="BQ33" s="32">
        <v>0.95454545454545459</v>
      </c>
      <c r="BR33" s="32">
        <v>0.98269896193771622</v>
      </c>
      <c r="BS33" s="32">
        <v>0.93515358361774747</v>
      </c>
      <c r="BT33" s="32">
        <v>0.95189003436426112</v>
      </c>
      <c r="BU33" s="32">
        <v>0.9526537277881123</v>
      </c>
      <c r="BV33" s="32">
        <v>0.9104332394741802</v>
      </c>
    </row>
    <row r="34" spans="2:74" x14ac:dyDescent="0.25">
      <c r="B34" s="20"/>
      <c r="C34" s="20"/>
      <c r="D34" s="20"/>
      <c r="E34" s="20"/>
      <c r="F34" s="20"/>
      <c r="G34" s="20"/>
      <c r="AG34" s="19" t="s">
        <v>99</v>
      </c>
      <c r="AH34" s="32">
        <v>0.94311926605504592</v>
      </c>
      <c r="AI34" s="32">
        <v>0.99449541284403675</v>
      </c>
      <c r="AJ34" s="32">
        <v>0.93944954128440372</v>
      </c>
      <c r="AK34" s="32">
        <v>0.98532110091743119</v>
      </c>
      <c r="AL34" s="32">
        <v>0.97632058287795997</v>
      </c>
      <c r="AM34" s="32">
        <v>0.98165137614678899</v>
      </c>
      <c r="AN34" s="32">
        <v>0.97798165137614679</v>
      </c>
      <c r="AO34" s="32">
        <v>0.97119127592883048</v>
      </c>
      <c r="AP34" s="32">
        <v>0.93394495412844036</v>
      </c>
      <c r="AQ34" s="32">
        <v>0.9547920433996383</v>
      </c>
      <c r="AR34" s="32">
        <v>0.95963302752293578</v>
      </c>
      <c r="AS34" s="32">
        <v>0.97798165137614679</v>
      </c>
      <c r="AT34" s="32">
        <v>0.93944954128440372</v>
      </c>
      <c r="AU34" s="32">
        <v>0.96697247706422018</v>
      </c>
      <c r="AV34" s="32">
        <v>0.93211009174311932</v>
      </c>
      <c r="AW34" s="32">
        <v>0.95212625521698635</v>
      </c>
      <c r="AX34" s="32">
        <v>0.91376146788990831</v>
      </c>
      <c r="AY34" s="32">
        <v>0.98724954462659376</v>
      </c>
      <c r="AZ34" s="32">
        <v>0.8954128440366973</v>
      </c>
      <c r="BA34" s="32">
        <v>0.91376146788990831</v>
      </c>
      <c r="BB34" s="32">
        <v>0.96330275229357798</v>
      </c>
      <c r="BC34" s="32">
        <v>0.99089253187613846</v>
      </c>
      <c r="BD34" s="32">
        <v>0.96330275229357798</v>
      </c>
      <c r="BE34" s="32">
        <v>0.9468119087009147</v>
      </c>
      <c r="BF34" s="32">
        <v>0.93944954128440372</v>
      </c>
      <c r="BG34" s="32">
        <v>0.91376146788990831</v>
      </c>
      <c r="BH34" s="32">
        <v>0.93944954128440372</v>
      </c>
      <c r="BI34" s="32">
        <v>0.97614678899082574</v>
      </c>
      <c r="BJ34" s="32">
        <v>0.94311926605504592</v>
      </c>
      <c r="BK34" s="32">
        <v>0.85688073394495412</v>
      </c>
      <c r="BL34" s="32">
        <v>0.99449541284403675</v>
      </c>
      <c r="BM34" s="32">
        <v>0.93761467889908257</v>
      </c>
      <c r="BN34" s="32">
        <v>0.96071428571428574</v>
      </c>
      <c r="BO34" s="32">
        <v>0.96513761467889914</v>
      </c>
      <c r="BP34" s="32">
        <v>0.98401420959147423</v>
      </c>
      <c r="BQ34" s="32">
        <v>0.97872340425531912</v>
      </c>
      <c r="BR34" s="32">
        <v>0.97666068222621183</v>
      </c>
      <c r="BS34" s="32">
        <v>0.98532110091743119</v>
      </c>
      <c r="BT34" s="32">
        <v>0.98021582733812951</v>
      </c>
      <c r="BU34" s="32">
        <v>0.97582673210310722</v>
      </c>
      <c r="BV34" s="32">
        <v>0.95671417016978433</v>
      </c>
    </row>
    <row r="35" spans="2:74" ht="14.25" customHeight="1" x14ac:dyDescent="0.25">
      <c r="B35" s="20"/>
      <c r="C35" s="20"/>
      <c r="D35" s="20"/>
      <c r="E35" s="20"/>
      <c r="F35" s="20"/>
      <c r="G35" s="20"/>
      <c r="AG35" s="19" t="s">
        <v>100</v>
      </c>
      <c r="AH35" s="32">
        <v>0.95510204081632655</v>
      </c>
      <c r="AI35" s="32">
        <v>1</v>
      </c>
      <c r="AJ35" s="32">
        <v>0.99170124481327804</v>
      </c>
      <c r="AK35" s="32">
        <v>0.97348484848484851</v>
      </c>
      <c r="AL35" s="32">
        <v>0.99203187250996017</v>
      </c>
      <c r="AM35" s="32">
        <v>0.98750000000000004</v>
      </c>
      <c r="AN35" s="32">
        <v>0.98353909465020573</v>
      </c>
      <c r="AO35" s="32">
        <v>0.98333701446780264</v>
      </c>
      <c r="AP35" s="32">
        <v>0.92248062015503873</v>
      </c>
      <c r="AQ35" s="32">
        <v>1</v>
      </c>
      <c r="AR35" s="32">
        <v>0.95256916996047436</v>
      </c>
      <c r="AS35" s="32">
        <v>0.97165991902834004</v>
      </c>
      <c r="AT35" s="32">
        <v>0.99173553719008267</v>
      </c>
      <c r="AU35" s="32">
        <v>0.97683397683397688</v>
      </c>
      <c r="AV35" s="32">
        <v>1</v>
      </c>
      <c r="AW35" s="32">
        <v>0.97361131759541608</v>
      </c>
      <c r="AX35" s="32">
        <v>0.94715447154471544</v>
      </c>
      <c r="AY35" s="32">
        <v>0.98905109489051091</v>
      </c>
      <c r="AZ35" s="32">
        <v>0.89723320158102771</v>
      </c>
      <c r="BA35" s="32">
        <v>0.96078431372549022</v>
      </c>
      <c r="BB35" s="32">
        <v>0.97619047619047616</v>
      </c>
      <c r="BC35" s="32">
        <v>0.97297297297297303</v>
      </c>
      <c r="BD35" s="32">
        <v>0.94615384615384612</v>
      </c>
      <c r="BE35" s="32">
        <v>0.9556486252941484</v>
      </c>
      <c r="BF35" s="32">
        <v>0.89763779527559051</v>
      </c>
      <c r="BG35" s="32">
        <v>0.96234309623430958</v>
      </c>
      <c r="BH35" s="32">
        <v>0.93670886075949367</v>
      </c>
      <c r="BI35" s="32">
        <v>0.93333333333333335</v>
      </c>
      <c r="BJ35" s="32">
        <v>0.97142857142857142</v>
      </c>
      <c r="BK35" s="32">
        <v>0.86610878661087864</v>
      </c>
      <c r="BL35" s="32">
        <v>0.97499999999999998</v>
      </c>
      <c r="BM35" s="32">
        <v>0.93465149194888242</v>
      </c>
      <c r="BN35" s="32">
        <v>0.87450980392156863</v>
      </c>
      <c r="BO35" s="32">
        <v>0.94377510040160639</v>
      </c>
      <c r="BP35" s="32">
        <v>0.93725490196078431</v>
      </c>
      <c r="BQ35" s="32">
        <v>0.9887640449438202</v>
      </c>
      <c r="BR35" s="32">
        <v>0.97244094488188981</v>
      </c>
      <c r="BS35" s="32">
        <v>0.9838709677419355</v>
      </c>
      <c r="BT35" s="32">
        <v>0.96062992125984248</v>
      </c>
      <c r="BU35" s="32">
        <v>0.9516065264444924</v>
      </c>
      <c r="BV35" s="32">
        <v>0.95977099515014841</v>
      </c>
    </row>
    <row r="36" spans="2:74" x14ac:dyDescent="0.25">
      <c r="AG36" s="19" t="s">
        <v>101</v>
      </c>
      <c r="AH36" s="32">
        <v>0.91919191919191923</v>
      </c>
      <c r="AI36" s="32">
        <v>0.92937563971340842</v>
      </c>
      <c r="AJ36" s="32">
        <v>0.88328387734915925</v>
      </c>
      <c r="AK36" s="32">
        <v>0.89057750759878418</v>
      </c>
      <c r="AL36" s="32">
        <v>0.92943548387096775</v>
      </c>
      <c r="AM36" s="32">
        <v>0.90735146022155089</v>
      </c>
      <c r="AN36" s="32">
        <v>0.90835030549898166</v>
      </c>
      <c r="AO36" s="32">
        <v>0.90965231334925301</v>
      </c>
      <c r="AP36" s="32">
        <v>0.89700000000000002</v>
      </c>
      <c r="AQ36" s="32">
        <v>0.91867469879518071</v>
      </c>
      <c r="AR36" s="32">
        <v>0.89420142421159721</v>
      </c>
      <c r="AS36" s="32">
        <v>0.91489361702127658</v>
      </c>
      <c r="AT36" s="32">
        <v>0.91431451612903225</v>
      </c>
      <c r="AU36" s="32">
        <v>0.91590678824721383</v>
      </c>
      <c r="AV36" s="32">
        <v>0.9223790322580645</v>
      </c>
      <c r="AW36" s="32">
        <v>0.9110528680946236</v>
      </c>
      <c r="AX36" s="32">
        <v>0.8870803662258393</v>
      </c>
      <c r="AY36" s="32">
        <v>0.92741935483870963</v>
      </c>
      <c r="AZ36" s="32">
        <v>0.86142709410548091</v>
      </c>
      <c r="BA36" s="32">
        <v>0.85463917525773192</v>
      </c>
      <c r="BB36" s="32">
        <v>0.90422245108135946</v>
      </c>
      <c r="BC36" s="32">
        <v>0.90982776089159068</v>
      </c>
      <c r="BD36" s="32">
        <v>0.92747701736465782</v>
      </c>
      <c r="BE36" s="32">
        <v>0.89601331710933851</v>
      </c>
      <c r="BF36" s="32">
        <v>0.86951983298538627</v>
      </c>
      <c r="BG36" s="32">
        <v>0.87240663900414939</v>
      </c>
      <c r="BH36" s="32">
        <v>0.87590486039296789</v>
      </c>
      <c r="BI36" s="32">
        <v>0.89587628865979385</v>
      </c>
      <c r="BJ36" s="32">
        <v>0.85834207764952786</v>
      </c>
      <c r="BK36" s="32">
        <v>0.81289640591966172</v>
      </c>
      <c r="BL36" s="32">
        <v>0.82998944033790922</v>
      </c>
      <c r="BM36" s="32">
        <v>0.85927650642134246</v>
      </c>
      <c r="BN36" s="32">
        <v>0.93191056910569103</v>
      </c>
      <c r="BO36" s="32">
        <v>0.90721649484536082</v>
      </c>
      <c r="BP36" s="32">
        <v>0.94364754098360659</v>
      </c>
      <c r="BQ36" s="32">
        <v>0.95092024539877296</v>
      </c>
      <c r="BR36" s="32">
        <v>0.9134419551934827</v>
      </c>
      <c r="BS36" s="32">
        <v>0.89711934156378603</v>
      </c>
      <c r="BT36" s="32">
        <v>0.9148073022312373</v>
      </c>
      <c r="BU36" s="32">
        <v>0.92272334990313376</v>
      </c>
      <c r="BV36" s="32">
        <v>0.89974367097553842</v>
      </c>
    </row>
    <row r="37" spans="2:74" x14ac:dyDescent="0.25">
      <c r="AG37" s="19" t="s">
        <v>102</v>
      </c>
      <c r="AH37" s="32">
        <v>0.95233160621761659</v>
      </c>
      <c r="AI37" s="32">
        <v>0.95943204868154153</v>
      </c>
      <c r="AJ37" s="32">
        <v>0.89430051813471501</v>
      </c>
      <c r="AK37" s="32">
        <v>0.94153846153846155</v>
      </c>
      <c r="AL37" s="32">
        <v>0.96994818652849746</v>
      </c>
      <c r="AM37" s="32">
        <v>0.9503105590062112</v>
      </c>
      <c r="AN37" s="32">
        <v>0.96523517382413093</v>
      </c>
      <c r="AO37" s="32">
        <v>0.9475852219901677</v>
      </c>
      <c r="AP37" s="32">
        <v>0.90880169671261934</v>
      </c>
      <c r="AQ37" s="32">
        <v>0.95629552549427677</v>
      </c>
      <c r="AR37" s="32">
        <v>0.92986184909670566</v>
      </c>
      <c r="AS37" s="32">
        <v>0.94597457627118642</v>
      </c>
      <c r="AT37" s="32">
        <v>0.95544041450777206</v>
      </c>
      <c r="AU37" s="32">
        <v>0.94818652849740936</v>
      </c>
      <c r="AV37" s="32">
        <v>0.95785036880927288</v>
      </c>
      <c r="AW37" s="32">
        <v>0.94320156562703461</v>
      </c>
      <c r="AX37" s="32">
        <v>0.9357894736842105</v>
      </c>
      <c r="AY37" s="32">
        <v>0.94714587737843547</v>
      </c>
      <c r="AZ37" s="32">
        <v>0.82206035379812692</v>
      </c>
      <c r="BA37" s="32">
        <v>0.8303850156087409</v>
      </c>
      <c r="BB37" s="32">
        <v>0.96462018730489074</v>
      </c>
      <c r="BC37" s="32">
        <v>0.96680497925311204</v>
      </c>
      <c r="BD37" s="32">
        <v>0.93860561914672214</v>
      </c>
      <c r="BE37" s="32">
        <v>0.91505878659631978</v>
      </c>
      <c r="BF37" s="32">
        <v>0.93907563025210083</v>
      </c>
      <c r="BG37" s="32">
        <v>0.86469344608879495</v>
      </c>
      <c r="BH37" s="32">
        <v>0.94309799789251847</v>
      </c>
      <c r="BI37" s="32">
        <v>0.94392523364485981</v>
      </c>
      <c r="BJ37" s="32">
        <v>0.92210526315789476</v>
      </c>
      <c r="BK37" s="32">
        <v>0.8846560846560847</v>
      </c>
      <c r="BL37" s="32">
        <v>0.91052631578947374</v>
      </c>
      <c r="BM37" s="32">
        <v>0.91543999592596115</v>
      </c>
      <c r="BN37" s="32">
        <v>0.96105263157894738</v>
      </c>
      <c r="BO37" s="32">
        <v>0.9355509355509356</v>
      </c>
      <c r="BP37" s="32">
        <v>0.94829369183040335</v>
      </c>
      <c r="BQ37" s="32">
        <v>0.96319018404907975</v>
      </c>
      <c r="BR37" s="32">
        <v>0.94622543950361948</v>
      </c>
      <c r="BS37" s="32">
        <v>0.9464469618949537</v>
      </c>
      <c r="BT37" s="32">
        <v>0.94450154162384381</v>
      </c>
      <c r="BU37" s="32">
        <v>0.94932305514739757</v>
      </c>
      <c r="BV37" s="32">
        <v>0.93412172505737645</v>
      </c>
    </row>
    <row r="38" spans="2:74" x14ac:dyDescent="0.25">
      <c r="AG38" s="19" t="s">
        <v>263</v>
      </c>
      <c r="AH38" s="32">
        <v>0.94610091743119262</v>
      </c>
      <c r="AI38" s="32">
        <v>0.97941680960548883</v>
      </c>
      <c r="AJ38" s="32">
        <v>0.94399999999999995</v>
      </c>
      <c r="AK38" s="32">
        <v>0.97600685518423302</v>
      </c>
      <c r="AL38" s="32">
        <v>0.96614583333333337</v>
      </c>
      <c r="AM38" s="32">
        <v>0.97666378565254974</v>
      </c>
      <c r="AN38" s="32">
        <v>0.96608695652173915</v>
      </c>
      <c r="AO38" s="32">
        <v>0.96491730824693367</v>
      </c>
      <c r="AP38" s="32">
        <v>0.94799658994032399</v>
      </c>
      <c r="AQ38" s="32">
        <v>0.98452278589853826</v>
      </c>
      <c r="AR38" s="32">
        <v>0.93500866551126516</v>
      </c>
      <c r="AS38" s="32">
        <v>0.98984771573604058</v>
      </c>
      <c r="AT38" s="32">
        <v>0.94965870307167233</v>
      </c>
      <c r="AU38" s="32">
        <v>0.97433704020530365</v>
      </c>
      <c r="AV38" s="32">
        <v>0.97800338409475462</v>
      </c>
      <c r="AW38" s="32">
        <v>0.96562498349398551</v>
      </c>
      <c r="AX38" s="32">
        <v>0.93379790940766549</v>
      </c>
      <c r="AY38" s="32">
        <v>0.95376712328767121</v>
      </c>
      <c r="AZ38" s="32">
        <v>0.91171328671328666</v>
      </c>
      <c r="BA38" s="32">
        <v>0.92334801762114538</v>
      </c>
      <c r="BB38" s="32">
        <v>0.9481292517006803</v>
      </c>
      <c r="BC38" s="32">
        <v>0.96051502145922751</v>
      </c>
      <c r="BD38" s="32">
        <v>0.95944779982743744</v>
      </c>
      <c r="BE38" s="32">
        <v>0.94153120143101632</v>
      </c>
      <c r="BF38" s="32">
        <v>0.95086206896551728</v>
      </c>
      <c r="BG38" s="32">
        <v>0.8044052863436123</v>
      </c>
      <c r="BH38" s="32">
        <v>0.91645133505598619</v>
      </c>
      <c r="BI38" s="32">
        <v>0.95786758383490966</v>
      </c>
      <c r="BJ38" s="32">
        <v>0.95768566493955098</v>
      </c>
      <c r="BK38" s="32">
        <v>0.8733273862622658</v>
      </c>
      <c r="BL38" s="32">
        <v>0.9191304347826087</v>
      </c>
      <c r="BM38" s="32">
        <v>0.9113899657406358</v>
      </c>
      <c r="BN38" s="32">
        <v>0.94482173174872663</v>
      </c>
      <c r="BO38" s="32">
        <v>0.95783132530120485</v>
      </c>
      <c r="BP38" s="32">
        <v>0.94603709949409776</v>
      </c>
      <c r="BQ38" s="32">
        <v>0.96560402684563762</v>
      </c>
      <c r="BR38" s="32">
        <v>0.97662771285475791</v>
      </c>
      <c r="BS38" s="32">
        <v>0.98569023569023573</v>
      </c>
      <c r="BT38" s="32">
        <v>0.98831385642737901</v>
      </c>
      <c r="BU38" s="32">
        <v>0.96641799833743425</v>
      </c>
      <c r="BV38" s="32">
        <v>0.94997629145000106</v>
      </c>
    </row>
    <row r="39" spans="2:74" x14ac:dyDescent="0.25">
      <c r="AG39" s="19" t="s">
        <v>103</v>
      </c>
      <c r="AH39" s="32">
        <v>0.91545574636723914</v>
      </c>
      <c r="AI39" s="32">
        <v>0.98331193838254172</v>
      </c>
      <c r="AJ39" s="32">
        <v>0.96174142480211078</v>
      </c>
      <c r="AK39" s="32">
        <v>0.94547872340425532</v>
      </c>
      <c r="AL39" s="32">
        <v>0.96520618556701032</v>
      </c>
      <c r="AM39" s="32">
        <v>0.97422680412371132</v>
      </c>
      <c r="AN39" s="32">
        <v>0.95109395109395112</v>
      </c>
      <c r="AO39" s="32">
        <v>0.95664496767725993</v>
      </c>
      <c r="AP39" s="32">
        <v>0.91015625</v>
      </c>
      <c r="AQ39" s="32">
        <v>0.98425196850393704</v>
      </c>
      <c r="AR39" s="32">
        <v>0.91383812010443866</v>
      </c>
      <c r="AS39" s="32">
        <v>0.92996108949416345</v>
      </c>
      <c r="AT39" s="32">
        <v>0.96736292428198434</v>
      </c>
      <c r="AU39" s="32">
        <v>0.95669291338582674</v>
      </c>
      <c r="AV39" s="32">
        <v>0.97131681877444587</v>
      </c>
      <c r="AW39" s="32">
        <v>0.94765429779211374</v>
      </c>
      <c r="AX39" s="32">
        <v>0.89801324503311253</v>
      </c>
      <c r="AY39" s="32">
        <v>0.96</v>
      </c>
      <c r="AZ39" s="32">
        <v>0.92125984251968507</v>
      </c>
      <c r="BA39" s="32">
        <v>0.93053735255570114</v>
      </c>
      <c r="BB39" s="32">
        <v>0.94248366013071894</v>
      </c>
      <c r="BC39" s="32">
        <v>0.94832041343669249</v>
      </c>
      <c r="BD39" s="32">
        <v>0.94018205461638493</v>
      </c>
      <c r="BE39" s="32">
        <v>0.93439950975604213</v>
      </c>
      <c r="BF39" s="32">
        <v>0.94458762886597936</v>
      </c>
      <c r="BG39" s="32">
        <v>0.82010582010582012</v>
      </c>
      <c r="BH39" s="32">
        <v>0.97560975609756095</v>
      </c>
      <c r="BI39" s="32">
        <v>0.97856242118537196</v>
      </c>
      <c r="BJ39" s="32">
        <v>0.95747422680412375</v>
      </c>
      <c r="BK39" s="32">
        <v>0.92267365661861078</v>
      </c>
      <c r="BL39" s="32">
        <v>0.93427835051546393</v>
      </c>
      <c r="BM39" s="32">
        <v>0.9333274085989901</v>
      </c>
      <c r="BN39" s="32">
        <v>0.95177664974619292</v>
      </c>
      <c r="BO39" s="32">
        <v>0.97984886649874059</v>
      </c>
      <c r="BP39" s="32">
        <v>0.94663278271918683</v>
      </c>
      <c r="BQ39" s="32">
        <v>0.95431472081218272</v>
      </c>
      <c r="BR39" s="32">
        <v>0.97466666666666668</v>
      </c>
      <c r="BS39" s="32">
        <v>0.95843828715365242</v>
      </c>
      <c r="BT39" s="32">
        <v>0.99870633893919791</v>
      </c>
      <c r="BU39" s="32">
        <v>0.96634061607654576</v>
      </c>
      <c r="BV39" s="32">
        <v>0.9476733599801902</v>
      </c>
    </row>
    <row r="40" spans="2:74" x14ac:dyDescent="0.25">
      <c r="AG40" s="19" t="s">
        <v>104</v>
      </c>
      <c r="AH40" s="32">
        <v>0.84150943396226419</v>
      </c>
      <c r="AI40" s="32">
        <v>0.85161290322580641</v>
      </c>
      <c r="AJ40" s="32">
        <v>0.8025157232704403</v>
      </c>
      <c r="AK40" s="32">
        <v>0.8176100628930818</v>
      </c>
      <c r="AL40" s="32">
        <v>0.86037735849056607</v>
      </c>
      <c r="AM40" s="32">
        <v>0.85933503836317138</v>
      </c>
      <c r="AN40" s="32">
        <v>0.86037735849056607</v>
      </c>
      <c r="AO40" s="32">
        <v>0.84190541124227092</v>
      </c>
      <c r="AP40" s="32">
        <v>0.87483870967741939</v>
      </c>
      <c r="AQ40" s="32">
        <v>0.83899371069182394</v>
      </c>
      <c r="AR40" s="32">
        <v>0.85806451612903223</v>
      </c>
      <c r="AS40" s="32">
        <v>0.86451612903225805</v>
      </c>
      <c r="AT40" s="32">
        <v>0.84898477157360408</v>
      </c>
      <c r="AU40" s="32">
        <v>0.8666666666666667</v>
      </c>
      <c r="AV40" s="32">
        <v>0.83396226415094343</v>
      </c>
      <c r="AW40" s="32">
        <v>0.85514668113167824</v>
      </c>
      <c r="AX40" s="32">
        <v>0.83354838709677415</v>
      </c>
      <c r="AY40" s="32">
        <v>0.84129032258064518</v>
      </c>
      <c r="AZ40" s="32">
        <v>0.80129032258064514</v>
      </c>
      <c r="BA40" s="32">
        <v>0.78580645161290319</v>
      </c>
      <c r="BB40" s="32">
        <v>0.85641025641025637</v>
      </c>
      <c r="BC40" s="32">
        <v>0.83870967741935487</v>
      </c>
      <c r="BD40" s="32">
        <v>0.85032258064516131</v>
      </c>
      <c r="BE40" s="32">
        <v>0.82962542833510577</v>
      </c>
      <c r="BF40" s="32">
        <v>0.79096774193548391</v>
      </c>
      <c r="BG40" s="32">
        <v>0.77032258064516124</v>
      </c>
      <c r="BH40" s="32">
        <v>0.78064516129032258</v>
      </c>
      <c r="BI40" s="32">
        <v>0.82322580645161292</v>
      </c>
      <c r="BJ40" s="32">
        <v>0.76387096774193552</v>
      </c>
      <c r="BK40" s="32">
        <v>0.68</v>
      </c>
      <c r="BL40" s="32">
        <v>0.70709677419354844</v>
      </c>
      <c r="BM40" s="32">
        <v>0.75944700460829495</v>
      </c>
      <c r="BN40" s="32">
        <v>0.83814303638644916</v>
      </c>
      <c r="BO40" s="32">
        <v>0.86064516129032254</v>
      </c>
      <c r="BP40" s="32">
        <v>0.82015306122448983</v>
      </c>
      <c r="BQ40" s="32">
        <v>0.82015306122448983</v>
      </c>
      <c r="BR40" s="32">
        <v>0.82233502538071068</v>
      </c>
      <c r="BS40" s="32">
        <v>0.81091370558375631</v>
      </c>
      <c r="BT40" s="32">
        <v>0.82233502538071068</v>
      </c>
      <c r="BU40" s="32">
        <v>0.82781115378156123</v>
      </c>
      <c r="BV40" s="32">
        <v>0.82278713581978213</v>
      </c>
    </row>
    <row r="41" spans="2:74" x14ac:dyDescent="0.25">
      <c r="AG41" s="19" t="s">
        <v>105</v>
      </c>
      <c r="AH41" s="32">
        <v>0.9698142414860681</v>
      </c>
      <c r="AI41" s="32">
        <v>0.99305555555555558</v>
      </c>
      <c r="AJ41" s="32">
        <v>0.97413793103448276</v>
      </c>
      <c r="AK41" s="32">
        <v>0.97832817337461297</v>
      </c>
      <c r="AL41" s="32">
        <v>0.98006134969325154</v>
      </c>
      <c r="AM41" s="32">
        <v>0.98921417565485359</v>
      </c>
      <c r="AN41" s="32">
        <v>0.98925556408288562</v>
      </c>
      <c r="AO41" s="32">
        <v>0.9819809986973872</v>
      </c>
      <c r="AP41" s="32">
        <v>0.96310530361260571</v>
      </c>
      <c r="AQ41" s="32">
        <v>0.99006875477463718</v>
      </c>
      <c r="AR41" s="32">
        <v>0.96006264682850428</v>
      </c>
      <c r="AS41" s="32">
        <v>0.99766718506998442</v>
      </c>
      <c r="AT41" s="32">
        <v>0.98700305810397548</v>
      </c>
      <c r="AU41" s="32">
        <v>0.99081163859111787</v>
      </c>
      <c r="AV41" s="32">
        <v>0.98776758409785936</v>
      </c>
      <c r="AW41" s="32">
        <v>0.98235516729695493</v>
      </c>
      <c r="AX41" s="32">
        <v>0.94948697711128649</v>
      </c>
      <c r="AY41" s="32">
        <v>0.99160305343511446</v>
      </c>
      <c r="AZ41" s="32">
        <v>0.94387351778656126</v>
      </c>
      <c r="BA41" s="32">
        <v>0.97711128650355172</v>
      </c>
      <c r="BB41" s="32">
        <v>0.97893915756630268</v>
      </c>
      <c r="BC41" s="32">
        <v>0.99694656488549616</v>
      </c>
      <c r="BD41" s="32">
        <v>0.97787948131197555</v>
      </c>
      <c r="BE41" s="32">
        <v>0.97369143408575543</v>
      </c>
      <c r="BF41" s="32">
        <v>0.97654417513682568</v>
      </c>
      <c r="BG41" s="32">
        <v>0.92536115569823429</v>
      </c>
      <c r="BH41" s="32">
        <v>0.98988326848249031</v>
      </c>
      <c r="BI41" s="32">
        <v>0.98293250581846392</v>
      </c>
      <c r="BJ41" s="32">
        <v>0.97576231430805316</v>
      </c>
      <c r="BK41" s="32">
        <v>0.92449799196787152</v>
      </c>
      <c r="BL41" s="32">
        <v>0.92965627498001602</v>
      </c>
      <c r="BM41" s="32">
        <v>0.95780538377027935</v>
      </c>
      <c r="BN41" s="32">
        <v>0.98388334612432848</v>
      </c>
      <c r="BO41" s="32">
        <v>0.97211463981409763</v>
      </c>
      <c r="BP41" s="32">
        <v>0.98456790123456794</v>
      </c>
      <c r="BQ41" s="32">
        <v>0.98768283294842185</v>
      </c>
      <c r="BR41" s="32">
        <v>0.99006875477463718</v>
      </c>
      <c r="BS41" s="32">
        <v>0.99153846153846159</v>
      </c>
      <c r="BT41" s="32">
        <v>0.99081163859111787</v>
      </c>
      <c r="BU41" s="32">
        <v>0.98580965357509043</v>
      </c>
      <c r="BV41" s="32">
        <v>0.97632852748509336</v>
      </c>
    </row>
    <row r="42" spans="2:74" x14ac:dyDescent="0.25">
      <c r="AG42" s="19" t="s">
        <v>106</v>
      </c>
      <c r="AH42" s="32">
        <v>0.95258620689655171</v>
      </c>
      <c r="AI42" s="32">
        <v>0.91702127659574473</v>
      </c>
      <c r="AJ42" s="32">
        <v>0.97844827586206895</v>
      </c>
      <c r="AK42" s="32">
        <v>0.98144329896907212</v>
      </c>
      <c r="AL42" s="32">
        <v>0.96767241379310343</v>
      </c>
      <c r="AM42" s="32">
        <v>0.95043103448275867</v>
      </c>
      <c r="AN42" s="32">
        <v>0.96551724137931039</v>
      </c>
      <c r="AO42" s="32">
        <v>0.95901710685408703</v>
      </c>
      <c r="AP42" s="32">
        <v>0.96145610278372595</v>
      </c>
      <c r="AQ42" s="32">
        <v>0.98144329896907212</v>
      </c>
      <c r="AR42" s="32">
        <v>0.93855932203389836</v>
      </c>
      <c r="AS42" s="32">
        <v>0.9576271186440678</v>
      </c>
      <c r="AT42" s="32">
        <v>0.95319148936170217</v>
      </c>
      <c r="AU42" s="32">
        <v>0.93167701863354035</v>
      </c>
      <c r="AV42" s="32">
        <v>0.97446808510638294</v>
      </c>
      <c r="AW42" s="32">
        <v>0.95691749079034139</v>
      </c>
      <c r="AX42" s="32">
        <v>0.91594827586206895</v>
      </c>
      <c r="AY42" s="32">
        <v>0.9668737060041408</v>
      </c>
      <c r="AZ42" s="32">
        <v>0.82758620689655171</v>
      </c>
      <c r="BA42" s="32">
        <v>0.86206896551724133</v>
      </c>
      <c r="BB42" s="32">
        <v>0.95258620689655171</v>
      </c>
      <c r="BC42" s="32">
        <v>0.97077244258872653</v>
      </c>
      <c r="BD42" s="32">
        <v>0.94824016563146996</v>
      </c>
      <c r="BE42" s="32">
        <v>0.92058228134239306</v>
      </c>
      <c r="BF42" s="32">
        <v>0.82822085889570551</v>
      </c>
      <c r="BG42" s="32">
        <v>0.85344827586206895</v>
      </c>
      <c r="BH42" s="32">
        <v>0.85276073619631898</v>
      </c>
      <c r="BI42" s="32">
        <v>0.86956521739130432</v>
      </c>
      <c r="BJ42" s="32">
        <v>0.8404907975460123</v>
      </c>
      <c r="BK42" s="32">
        <v>0.72413793103448276</v>
      </c>
      <c r="BL42" s="32">
        <v>0.88612836438923392</v>
      </c>
      <c r="BM42" s="32">
        <v>0.83639316875930381</v>
      </c>
      <c r="BN42" s="32">
        <v>0.89233954451345754</v>
      </c>
      <c r="BO42" s="32">
        <v>0.85507246376811596</v>
      </c>
      <c r="BP42" s="32">
        <v>0.92339544513457561</v>
      </c>
      <c r="BQ42" s="32">
        <v>0.95510204081632655</v>
      </c>
      <c r="BR42" s="32">
        <v>0.86956521739130432</v>
      </c>
      <c r="BS42" s="32">
        <v>0.88819875776397517</v>
      </c>
      <c r="BT42" s="32">
        <v>0.87991718426501031</v>
      </c>
      <c r="BU42" s="32">
        <v>0.89479866480753778</v>
      </c>
      <c r="BV42" s="32">
        <v>0.91354174251073261</v>
      </c>
    </row>
    <row r="43" spans="2:74" x14ac:dyDescent="0.25">
      <c r="AG43" s="19" t="s">
        <v>107</v>
      </c>
      <c r="AH43" s="32">
        <v>0.97756410256410253</v>
      </c>
      <c r="AI43" s="32">
        <v>0.98076923076923073</v>
      </c>
      <c r="AJ43" s="32">
        <v>0.96794871794871795</v>
      </c>
      <c r="AK43" s="32">
        <v>0.97756410256410253</v>
      </c>
      <c r="AL43" s="32">
        <v>0.96474358974358976</v>
      </c>
      <c r="AM43" s="32">
        <v>0.97435897435897434</v>
      </c>
      <c r="AN43" s="32">
        <v>0.97115384615384615</v>
      </c>
      <c r="AO43" s="32">
        <v>0.97344322344322332</v>
      </c>
      <c r="AP43" s="32">
        <v>0.96474358974358976</v>
      </c>
      <c r="AQ43" s="32">
        <v>0.97115384615384615</v>
      </c>
      <c r="AR43" s="32">
        <v>0.97115384615384615</v>
      </c>
      <c r="AS43" s="32">
        <v>0.97115384615384615</v>
      </c>
      <c r="AT43" s="32">
        <v>0.97756410256410253</v>
      </c>
      <c r="AU43" s="32">
        <v>0.96474358974358976</v>
      </c>
      <c r="AV43" s="32">
        <v>0.98076923076923073</v>
      </c>
      <c r="AW43" s="32">
        <v>0.9716117216117216</v>
      </c>
      <c r="AX43" s="32">
        <v>0.9391025641025641</v>
      </c>
      <c r="AY43" s="32">
        <v>0.98717948717948723</v>
      </c>
      <c r="AZ43" s="32">
        <v>0.94871794871794868</v>
      </c>
      <c r="BA43" s="32">
        <v>0.97435897435897434</v>
      </c>
      <c r="BB43" s="32">
        <v>0.97756410256410253</v>
      </c>
      <c r="BC43" s="32">
        <v>0.97756410256410253</v>
      </c>
      <c r="BD43" s="32">
        <v>0.97756410256410253</v>
      </c>
      <c r="BE43" s="32">
        <v>0.96886446886446875</v>
      </c>
      <c r="BF43" s="32">
        <v>0.94871794871794868</v>
      </c>
      <c r="BG43" s="32">
        <v>0.88782051282051277</v>
      </c>
      <c r="BH43" s="32">
        <v>0.97115384615384615</v>
      </c>
      <c r="BI43" s="32">
        <v>0.97756410256410253</v>
      </c>
      <c r="BJ43" s="32">
        <v>0.98397435897435892</v>
      </c>
      <c r="BK43" s="32">
        <v>0.90705128205128205</v>
      </c>
      <c r="BL43" s="32">
        <v>0.94871794871794868</v>
      </c>
      <c r="BM43" s="32">
        <v>0.94642857142857129</v>
      </c>
      <c r="BN43" s="32">
        <v>0.99358974358974361</v>
      </c>
      <c r="BO43" s="32">
        <v>0.9358974358974359</v>
      </c>
      <c r="BP43" s="32">
        <v>0.97435897435897434</v>
      </c>
      <c r="BQ43" s="32">
        <v>0.98397435897435892</v>
      </c>
      <c r="BR43" s="32">
        <v>0.98717948717948723</v>
      </c>
      <c r="BS43" s="32">
        <v>0.94871794871794868</v>
      </c>
      <c r="BT43" s="32">
        <v>0.99358974358974361</v>
      </c>
      <c r="BU43" s="32">
        <v>0.97390109890109888</v>
      </c>
      <c r="BV43" s="32">
        <v>0.96684981684981686</v>
      </c>
    </row>
    <row r="44" spans="2:74" x14ac:dyDescent="0.25">
      <c r="AG44" s="19" t="s">
        <v>108</v>
      </c>
      <c r="AH44" s="32">
        <v>0.95289079229122053</v>
      </c>
      <c r="AI44" s="32">
        <v>0.93890675241157562</v>
      </c>
      <c r="AJ44" s="32">
        <v>0.9382978723404255</v>
      </c>
      <c r="AK44" s="32">
        <v>0.93503727369542067</v>
      </c>
      <c r="AL44" s="32">
        <v>0.96190476190476193</v>
      </c>
      <c r="AM44" s="32">
        <v>0.93468950749464663</v>
      </c>
      <c r="AN44" s="32">
        <v>0.95031712473572938</v>
      </c>
      <c r="AO44" s="32">
        <v>0.94457772641054005</v>
      </c>
      <c r="AP44" s="32">
        <v>0.90042826552462529</v>
      </c>
      <c r="AQ44" s="32">
        <v>0.95005313496280552</v>
      </c>
      <c r="AR44" s="32">
        <v>0.89754535752401277</v>
      </c>
      <c r="AS44" s="32">
        <v>0.91914893617021276</v>
      </c>
      <c r="AT44" s="32">
        <v>0.93823216187433445</v>
      </c>
      <c r="AU44" s="32">
        <v>0.95721925133689845</v>
      </c>
      <c r="AV44" s="32">
        <v>0.94468085106382982</v>
      </c>
      <c r="AW44" s="32">
        <v>0.92961542263667418</v>
      </c>
      <c r="AX44" s="32">
        <v>0.90419806243272338</v>
      </c>
      <c r="AY44" s="32">
        <v>0.94503171247357298</v>
      </c>
      <c r="AZ44" s="32">
        <v>0.878755364806867</v>
      </c>
      <c r="BA44" s="32">
        <v>0.87982832618025753</v>
      </c>
      <c r="BB44" s="32">
        <v>0.93169690501600855</v>
      </c>
      <c r="BC44" s="32">
        <v>0.95642933049946866</v>
      </c>
      <c r="BD44" s="32">
        <v>0.93617021276595747</v>
      </c>
      <c r="BE44" s="32">
        <v>0.91887284488212218</v>
      </c>
      <c r="BF44" s="32">
        <v>0.88913043478260867</v>
      </c>
      <c r="BG44" s="32">
        <v>0.75711159737417943</v>
      </c>
      <c r="BH44" s="32">
        <v>0.90032502708559048</v>
      </c>
      <c r="BI44" s="32">
        <v>0.93527508090614886</v>
      </c>
      <c r="BJ44" s="32">
        <v>0.90336590662323557</v>
      </c>
      <c r="BK44" s="32">
        <v>0.73799126637554591</v>
      </c>
      <c r="BL44" s="32">
        <v>0.75</v>
      </c>
      <c r="BM44" s="32">
        <v>0.83902847330675834</v>
      </c>
      <c r="BN44" s="32">
        <v>0.94204425711275031</v>
      </c>
      <c r="BO44" s="32">
        <v>0.93419633225458465</v>
      </c>
      <c r="BP44" s="32">
        <v>0.94637223974763407</v>
      </c>
      <c r="BQ44" s="32">
        <v>0.94123819517313745</v>
      </c>
      <c r="BR44" s="32">
        <v>0.95983086680761098</v>
      </c>
      <c r="BS44" s="32">
        <v>0.90075512405609492</v>
      </c>
      <c r="BT44" s="32">
        <v>0.94855305466237938</v>
      </c>
      <c r="BU44" s="32">
        <v>0.93899858140202752</v>
      </c>
      <c r="BV44" s="32">
        <v>0.91421860972762448</v>
      </c>
    </row>
    <row r="45" spans="2:74" x14ac:dyDescent="0.25">
      <c r="AG45" s="19" t="s">
        <v>109</v>
      </c>
      <c r="AH45" s="32">
        <v>0.953307392996109</v>
      </c>
      <c r="AI45" s="32">
        <v>0.9609375</v>
      </c>
      <c r="AJ45" s="32">
        <v>0.95419847328244278</v>
      </c>
      <c r="AK45" s="32">
        <v>0.95402298850574707</v>
      </c>
      <c r="AL45" s="32">
        <v>0.95849056603773586</v>
      </c>
      <c r="AM45" s="32">
        <v>0.9653846153846154</v>
      </c>
      <c r="AN45" s="32">
        <v>0.95849802371541504</v>
      </c>
      <c r="AO45" s="32">
        <v>0.95783422284600928</v>
      </c>
      <c r="AP45" s="32">
        <v>0.94656488549618323</v>
      </c>
      <c r="AQ45" s="32">
        <v>0.96161228406909793</v>
      </c>
      <c r="AR45" s="32">
        <v>0.9296875</v>
      </c>
      <c r="AS45" s="32">
        <v>0.9268774703557312</v>
      </c>
      <c r="AT45" s="32">
        <v>0.97348484848484851</v>
      </c>
      <c r="AU45" s="32">
        <v>0.95817490494296575</v>
      </c>
      <c r="AV45" s="32">
        <v>0.97718631178707227</v>
      </c>
      <c r="AW45" s="32">
        <v>0.9533697435908427</v>
      </c>
      <c r="AX45" s="32">
        <v>0.95602294455066916</v>
      </c>
      <c r="AY45" s="32">
        <v>0.95219885277246652</v>
      </c>
      <c r="AZ45" s="32">
        <v>0.94444444444444442</v>
      </c>
      <c r="BA45" s="32">
        <v>0.94117647058823528</v>
      </c>
      <c r="BB45" s="32">
        <v>0.95344506517690875</v>
      </c>
      <c r="BC45" s="32">
        <v>0.95085066162570886</v>
      </c>
      <c r="BD45" s="32">
        <v>0.95953757225433522</v>
      </c>
      <c r="BE45" s="32">
        <v>0.951096573058967</v>
      </c>
      <c r="BF45" s="32">
        <v>0.91844660194174754</v>
      </c>
      <c r="BG45" s="32">
        <v>0.92307692307692313</v>
      </c>
      <c r="BH45" s="32">
        <v>0.93083003952569165</v>
      </c>
      <c r="BI45" s="32">
        <v>0.93346379647749511</v>
      </c>
      <c r="BJ45" s="32">
        <v>0.89922480620155043</v>
      </c>
      <c r="BK45" s="32">
        <v>0.81873727087576376</v>
      </c>
      <c r="BL45" s="32">
        <v>0.84738955823293172</v>
      </c>
      <c r="BM45" s="32">
        <v>0.8958812851903003</v>
      </c>
      <c r="BN45" s="32">
        <v>0.9492481203007519</v>
      </c>
      <c r="BO45" s="32">
        <v>0.96190476190476193</v>
      </c>
      <c r="BP45" s="32">
        <v>0.96131528046421666</v>
      </c>
      <c r="BQ45" s="32">
        <v>0.94003868471953578</v>
      </c>
      <c r="BR45" s="32">
        <v>0.96421845574387943</v>
      </c>
      <c r="BS45" s="32">
        <v>0.94163424124513617</v>
      </c>
      <c r="BT45" s="32">
        <v>0.97297297297297303</v>
      </c>
      <c r="BU45" s="32">
        <v>0.95590464533589359</v>
      </c>
      <c r="BV45" s="32">
        <v>0.94281729400440251</v>
      </c>
    </row>
    <row r="46" spans="2:74" x14ac:dyDescent="0.25">
      <c r="AG46" s="19" t="s">
        <v>110</v>
      </c>
      <c r="AH46" s="32">
        <v>0.96895213454075035</v>
      </c>
      <c r="AI46" s="32">
        <v>0.92792792792792789</v>
      </c>
      <c r="AJ46" s="32">
        <v>0.96382428940568476</v>
      </c>
      <c r="AK46" s="32">
        <v>0.9214929214929215</v>
      </c>
      <c r="AL46" s="32">
        <v>0.93966623876765087</v>
      </c>
      <c r="AM46" s="32">
        <v>0.92573623559539053</v>
      </c>
      <c r="AN46" s="32">
        <v>0.9377431906614786</v>
      </c>
      <c r="AO46" s="32">
        <v>0.94076327691311501</v>
      </c>
      <c r="AP46" s="32">
        <v>0.91168831168831166</v>
      </c>
      <c r="AQ46" s="32">
        <v>0.94337194337194341</v>
      </c>
      <c r="AR46" s="32">
        <v>0.9152542372881356</v>
      </c>
      <c r="AS46" s="32">
        <v>0.87322121604139713</v>
      </c>
      <c r="AT46" s="32">
        <v>0.9214929214929215</v>
      </c>
      <c r="AU46" s="32">
        <v>0.91343669250645998</v>
      </c>
      <c r="AV46" s="32">
        <v>0.91731266149870805</v>
      </c>
      <c r="AW46" s="32">
        <v>0.91368256912683965</v>
      </c>
      <c r="AX46" s="32">
        <v>0.89703989703989706</v>
      </c>
      <c r="AY46" s="32">
        <v>0.90476190476190477</v>
      </c>
      <c r="AZ46" s="32">
        <v>0.89960886571056065</v>
      </c>
      <c r="BA46" s="32">
        <v>0.89830508474576276</v>
      </c>
      <c r="BB46" s="32">
        <v>0.88030888030888033</v>
      </c>
      <c r="BC46" s="32">
        <v>0.90990990990990994</v>
      </c>
      <c r="BD46" s="32">
        <v>0.91891891891891897</v>
      </c>
      <c r="BE46" s="32">
        <v>0.90126478019940492</v>
      </c>
      <c r="BF46" s="32">
        <v>0.76196636481241919</v>
      </c>
      <c r="BG46" s="32">
        <v>0.69752281616688394</v>
      </c>
      <c r="BH46" s="32">
        <v>0.76923076923076927</v>
      </c>
      <c r="BI46" s="32">
        <v>0.77966101694915257</v>
      </c>
      <c r="BJ46" s="32">
        <v>0.7567567567567568</v>
      </c>
      <c r="BK46" s="32">
        <v>0.69752281616688394</v>
      </c>
      <c r="BL46" s="32">
        <v>0.72229465449804431</v>
      </c>
      <c r="BM46" s="32">
        <v>0.74070788494012996</v>
      </c>
      <c r="BN46" s="32">
        <v>0.83572359843546284</v>
      </c>
      <c r="BO46" s="32">
        <v>0.86571056062581486</v>
      </c>
      <c r="BP46" s="32">
        <v>0.88396349413298569</v>
      </c>
      <c r="BQ46" s="32">
        <v>0.85381630012936616</v>
      </c>
      <c r="BR46" s="32">
        <v>0.8826597131681877</v>
      </c>
      <c r="BS46" s="32">
        <v>0.83050847457627119</v>
      </c>
      <c r="BT46" s="32">
        <v>0.85919165580182533</v>
      </c>
      <c r="BU46" s="32">
        <v>0.85879625669570203</v>
      </c>
      <c r="BV46" s="32">
        <v>0.87104295357503814</v>
      </c>
    </row>
    <row r="47" spans="2:74" x14ac:dyDescent="0.25">
      <c r="AG47" s="19" t="s">
        <v>111</v>
      </c>
      <c r="AH47" s="32">
        <v>0.8533685601056803</v>
      </c>
      <c r="AI47" s="32">
        <v>0.92327365728900257</v>
      </c>
      <c r="AJ47" s="32">
        <v>0.87684069611780457</v>
      </c>
      <c r="AK47" s="32">
        <v>0.88586251621271073</v>
      </c>
      <c r="AL47" s="32">
        <v>0.88496732026143787</v>
      </c>
      <c r="AM47" s="32">
        <v>0.89986996098829652</v>
      </c>
      <c r="AN47" s="32">
        <v>0.90512820512820513</v>
      </c>
      <c r="AO47" s="32">
        <v>0.8899015594433054</v>
      </c>
      <c r="AP47" s="32">
        <v>0.89309878213802441</v>
      </c>
      <c r="AQ47" s="32">
        <v>0.8910505836575876</v>
      </c>
      <c r="AR47" s="32">
        <v>0.89517241379310342</v>
      </c>
      <c r="AS47" s="32">
        <v>0.90056022408963587</v>
      </c>
      <c r="AT47" s="32">
        <v>0.9027027027027027</v>
      </c>
      <c r="AU47" s="32">
        <v>0.91383812010443866</v>
      </c>
      <c r="AV47" s="32">
        <v>0.89508632138114208</v>
      </c>
      <c r="AW47" s="32">
        <v>0.89878702112380504</v>
      </c>
      <c r="AX47" s="32">
        <v>0.83193277310924374</v>
      </c>
      <c r="AY47" s="32">
        <v>0.92032967032967028</v>
      </c>
      <c r="AZ47" s="32">
        <v>0.81054131054131051</v>
      </c>
      <c r="BA47" s="32">
        <v>0.83690987124463523</v>
      </c>
      <c r="BB47" s="32">
        <v>0.90871369294605808</v>
      </c>
      <c r="BC47" s="32">
        <v>0.92391304347826086</v>
      </c>
      <c r="BD47" s="32">
        <v>0.92382271468144039</v>
      </c>
      <c r="BE47" s="32">
        <v>0.8794518680472313</v>
      </c>
      <c r="BF47" s="32">
        <v>0.86338028169014081</v>
      </c>
      <c r="BG47" s="32">
        <v>0.72568940493468792</v>
      </c>
      <c r="BH47" s="32">
        <v>0.88326300984528827</v>
      </c>
      <c r="BI47" s="32">
        <v>0.91086350974930363</v>
      </c>
      <c r="BJ47" s="32">
        <v>0.85895627644569816</v>
      </c>
      <c r="BK47" s="32">
        <v>0.77553956834532378</v>
      </c>
      <c r="BL47" s="32">
        <v>0.81556195965417866</v>
      </c>
      <c r="BM47" s="32">
        <v>0.83332200152351732</v>
      </c>
      <c r="BN47" s="32">
        <v>0.90054495912806543</v>
      </c>
      <c r="BO47" s="32">
        <v>0.88178025034770513</v>
      </c>
      <c r="BP47" s="32">
        <v>0.92328767123287669</v>
      </c>
      <c r="BQ47" s="32">
        <v>0.92866941015089166</v>
      </c>
      <c r="BR47" s="32">
        <v>0.94383561643835612</v>
      </c>
      <c r="BS47" s="32">
        <v>0.92032967032967028</v>
      </c>
      <c r="BT47" s="32">
        <v>0.9475138121546961</v>
      </c>
      <c r="BU47" s="32">
        <v>0.92085162711175172</v>
      </c>
      <c r="BV47" s="32">
        <v>0.88446281544992222</v>
      </c>
    </row>
    <row r="48" spans="2:74" x14ac:dyDescent="0.25">
      <c r="AG48" s="19" t="s">
        <v>112</v>
      </c>
      <c r="AH48" s="32">
        <v>0.85049833887043191</v>
      </c>
      <c r="AI48" s="32">
        <v>0.8910891089108911</v>
      </c>
      <c r="AJ48" s="32">
        <v>0.88215488215488214</v>
      </c>
      <c r="AK48" s="32">
        <v>0.90397350993377479</v>
      </c>
      <c r="AL48" s="32">
        <v>0.89438943894389444</v>
      </c>
      <c r="AM48" s="32">
        <v>0.86</v>
      </c>
      <c r="AN48" s="32">
        <v>0.90131578947368418</v>
      </c>
      <c r="AO48" s="32">
        <v>0.8833458668982227</v>
      </c>
      <c r="AP48" s="32">
        <v>0.89189189189189189</v>
      </c>
      <c r="AQ48" s="32">
        <v>0.9102990033222591</v>
      </c>
      <c r="AR48" s="32">
        <v>0.90268456375838924</v>
      </c>
      <c r="AS48" s="32">
        <v>0.91582491582491588</v>
      </c>
      <c r="AT48" s="32">
        <v>0.91362126245847175</v>
      </c>
      <c r="AU48" s="32">
        <v>0.89333333333333331</v>
      </c>
      <c r="AV48" s="32">
        <v>0.9261744966442953</v>
      </c>
      <c r="AW48" s="32">
        <v>0.90768992389050818</v>
      </c>
      <c r="AX48" s="32">
        <v>0.84013605442176875</v>
      </c>
      <c r="AY48" s="32">
        <v>0.94019933554817281</v>
      </c>
      <c r="AZ48" s="32">
        <v>0.80338983050847457</v>
      </c>
      <c r="BA48" s="32">
        <v>0.79931972789115646</v>
      </c>
      <c r="BB48" s="32">
        <v>0.875</v>
      </c>
      <c r="BC48" s="32">
        <v>0.93814432989690721</v>
      </c>
      <c r="BD48" s="32">
        <v>0.94217687074829937</v>
      </c>
      <c r="BE48" s="32">
        <v>0.87690944985925423</v>
      </c>
      <c r="BF48" s="32">
        <v>0.82295081967213113</v>
      </c>
      <c r="BG48" s="32">
        <v>0.71575342465753422</v>
      </c>
      <c r="BH48" s="32">
        <v>0.79</v>
      </c>
      <c r="BI48" s="32">
        <v>0.83612040133779264</v>
      </c>
      <c r="BJ48" s="32">
        <v>0.84333333333333338</v>
      </c>
      <c r="BK48" s="32">
        <v>0.71768707482993199</v>
      </c>
      <c r="BL48" s="32">
        <v>0.79333333333333333</v>
      </c>
      <c r="BM48" s="32">
        <v>0.78845405530915103</v>
      </c>
      <c r="BN48" s="32">
        <v>0.84013605442176875</v>
      </c>
      <c r="BO48" s="32">
        <v>0.81879194630872487</v>
      </c>
      <c r="BP48" s="32">
        <v>0.83</v>
      </c>
      <c r="BQ48" s="32">
        <v>0.83666666666666667</v>
      </c>
      <c r="BR48" s="32">
        <v>0.82550335570469802</v>
      </c>
      <c r="BS48" s="32">
        <v>0.86138613861386137</v>
      </c>
      <c r="BT48" s="32">
        <v>0.85148514851485146</v>
      </c>
      <c r="BU48" s="32">
        <v>0.83770990146151014</v>
      </c>
      <c r="BV48" s="32">
        <v>0.85882183948372925</v>
      </c>
    </row>
    <row r="49" spans="33:74" x14ac:dyDescent="0.25">
      <c r="AG49" s="19" t="s">
        <v>113</v>
      </c>
      <c r="AH49" s="32">
        <v>0.8559670781893004</v>
      </c>
      <c r="AI49" s="32">
        <v>0.91532258064516125</v>
      </c>
      <c r="AJ49" s="32">
        <v>0.82773109243697474</v>
      </c>
      <c r="AK49" s="32">
        <v>0.78059071729957807</v>
      </c>
      <c r="AL49" s="32">
        <v>0.90322580645161288</v>
      </c>
      <c r="AM49" s="32">
        <v>0.93548387096774188</v>
      </c>
      <c r="AN49" s="32">
        <v>0.89516129032258063</v>
      </c>
      <c r="AO49" s="32">
        <v>0.8733546337589928</v>
      </c>
      <c r="AP49" s="32">
        <v>0.85407725321888417</v>
      </c>
      <c r="AQ49" s="32">
        <v>0.78059071729957807</v>
      </c>
      <c r="AR49" s="32">
        <v>0.90476190476190477</v>
      </c>
      <c r="AS49" s="32">
        <v>0.86580086580086579</v>
      </c>
      <c r="AT49" s="32">
        <v>0.871244635193133</v>
      </c>
      <c r="AU49" s="32">
        <v>0.8728813559322034</v>
      </c>
      <c r="AV49" s="32">
        <v>0.84745762711864403</v>
      </c>
      <c r="AW49" s="32">
        <v>0.85668776561788762</v>
      </c>
      <c r="AX49" s="32">
        <v>0.80616740088105732</v>
      </c>
      <c r="AY49" s="32">
        <v>0.8571428571428571</v>
      </c>
      <c r="AZ49" s="32">
        <v>0.77973568281938321</v>
      </c>
      <c r="BA49" s="32">
        <v>0.79295154185022021</v>
      </c>
      <c r="BB49" s="32">
        <v>0.90350877192982459</v>
      </c>
      <c r="BC49" s="32">
        <v>0.86462882096069871</v>
      </c>
      <c r="BD49" s="32">
        <v>0.95633187772925765</v>
      </c>
      <c r="BE49" s="32">
        <v>0.85149527904475697</v>
      </c>
      <c r="BF49" s="32">
        <v>0.81333333333333335</v>
      </c>
      <c r="BG49" s="32">
        <v>0.89867841409691629</v>
      </c>
      <c r="BH49" s="32">
        <v>0.7857142857142857</v>
      </c>
      <c r="BI49" s="32">
        <v>0.7901785714285714</v>
      </c>
      <c r="BJ49" s="32">
        <v>0.86725663716814161</v>
      </c>
      <c r="BK49" s="32">
        <v>0.74336283185840712</v>
      </c>
      <c r="BL49" s="32">
        <v>0.76106194690265483</v>
      </c>
      <c r="BM49" s="32">
        <v>0.80851228864318714</v>
      </c>
      <c r="BN49" s="32">
        <v>0.9</v>
      </c>
      <c r="BO49" s="32">
        <v>0.8839285714285714</v>
      </c>
      <c r="BP49" s="32">
        <v>0.7975206611570248</v>
      </c>
      <c r="BQ49" s="32">
        <v>0.81818181818181823</v>
      </c>
      <c r="BR49" s="32">
        <v>0.80241935483870963</v>
      </c>
      <c r="BS49" s="32">
        <v>0.88738738738738743</v>
      </c>
      <c r="BT49" s="32">
        <v>0.78629032258064513</v>
      </c>
      <c r="BU49" s="32">
        <v>0.83938973079630819</v>
      </c>
      <c r="BV49" s="32">
        <v>0.84588793957222641</v>
      </c>
    </row>
    <row r="50" spans="33:74" x14ac:dyDescent="0.25">
      <c r="AG50" s="19" t="s">
        <v>114</v>
      </c>
      <c r="AH50" s="32">
        <v>0.93220338983050843</v>
      </c>
      <c r="AI50" s="32">
        <v>0.95049504950495045</v>
      </c>
      <c r="AJ50" s="32">
        <v>0.90039840637450197</v>
      </c>
      <c r="AK50" s="32">
        <v>0.94053518334985131</v>
      </c>
      <c r="AL50" s="32">
        <v>0.93843098311817275</v>
      </c>
      <c r="AM50" s="32">
        <v>0.95445544554455441</v>
      </c>
      <c r="AN50" s="32">
        <v>0.97302697302697305</v>
      </c>
      <c r="AO50" s="32">
        <v>0.94136363296421599</v>
      </c>
      <c r="AP50" s="32">
        <v>0.91927346115035313</v>
      </c>
      <c r="AQ50" s="32">
        <v>0.96031746031746035</v>
      </c>
      <c r="AR50" s="32">
        <v>0.88193743693239157</v>
      </c>
      <c r="AS50" s="32">
        <v>0.91557788944723617</v>
      </c>
      <c r="AT50" s="32">
        <v>0.95060483870967738</v>
      </c>
      <c r="AU50" s="32">
        <v>0.96709870388833497</v>
      </c>
      <c r="AV50" s="32">
        <v>0.92345924453280315</v>
      </c>
      <c r="AW50" s="32">
        <v>0.9311812907111795</v>
      </c>
      <c r="AX50" s="32">
        <v>0.88011988011988007</v>
      </c>
      <c r="AY50" s="32">
        <v>0.89484126984126988</v>
      </c>
      <c r="AZ50" s="32">
        <v>0.85485485485485491</v>
      </c>
      <c r="BA50" s="32">
        <v>0.82264529058116231</v>
      </c>
      <c r="BB50" s="32">
        <v>0.92607392607392602</v>
      </c>
      <c r="BC50" s="32">
        <v>0.92658730158730163</v>
      </c>
      <c r="BD50" s="32">
        <v>0.97402597402597402</v>
      </c>
      <c r="BE50" s="32">
        <v>0.89702121386919553</v>
      </c>
      <c r="BF50" s="32">
        <v>0.87872763419483102</v>
      </c>
      <c r="BG50" s="32">
        <v>0.73192771084337349</v>
      </c>
      <c r="BH50" s="32">
        <v>0.85387673956262422</v>
      </c>
      <c r="BI50" s="32">
        <v>0.87475149105367789</v>
      </c>
      <c r="BJ50" s="32">
        <v>0.86282306163021871</v>
      </c>
      <c r="BK50" s="32">
        <v>0.73668341708542717</v>
      </c>
      <c r="BL50" s="32">
        <v>0.78827037773359843</v>
      </c>
      <c r="BM50" s="32">
        <v>0.8181514903005358</v>
      </c>
      <c r="BN50" s="32">
        <v>0.90039840637450197</v>
      </c>
      <c r="BO50" s="32">
        <v>0.84592445328031807</v>
      </c>
      <c r="BP50" s="32">
        <v>0.87549800796812749</v>
      </c>
      <c r="BQ50" s="32">
        <v>0.92031872509960155</v>
      </c>
      <c r="BR50" s="32">
        <v>0.93034825870646765</v>
      </c>
      <c r="BS50" s="32">
        <v>0.86978131212723653</v>
      </c>
      <c r="BT50" s="32">
        <v>0.92544731610337971</v>
      </c>
      <c r="BU50" s="32">
        <v>0.89538806852280473</v>
      </c>
      <c r="BV50" s="32">
        <v>0.89662113927358622</v>
      </c>
    </row>
    <row r="51" spans="33:74" x14ac:dyDescent="0.25">
      <c r="AG51" s="19" t="s">
        <v>115</v>
      </c>
      <c r="AH51" s="32">
        <v>0.9188660801564027</v>
      </c>
      <c r="AI51" s="32">
        <v>0.93255131964809379</v>
      </c>
      <c r="AJ51" s="32">
        <v>0.89833822091886606</v>
      </c>
      <c r="AK51" s="32">
        <v>0.90224828934506351</v>
      </c>
      <c r="AL51" s="32">
        <v>0.93841642228739008</v>
      </c>
      <c r="AM51" s="32">
        <v>0.95014662756598245</v>
      </c>
      <c r="AN51" s="32">
        <v>0.9540566959921799</v>
      </c>
      <c r="AO51" s="32">
        <v>0.92780337941628255</v>
      </c>
      <c r="AP51" s="32">
        <v>0.95043731778425655</v>
      </c>
      <c r="AQ51" s="32">
        <v>0.94232649071358754</v>
      </c>
      <c r="AR51" s="32">
        <v>0.91448007774538387</v>
      </c>
      <c r="AS51" s="32">
        <v>0.91739552964042759</v>
      </c>
      <c r="AT51" s="32">
        <v>0.95238095238095233</v>
      </c>
      <c r="AU51" s="32">
        <v>0.94460641399416911</v>
      </c>
      <c r="AV51" s="32">
        <v>0.94655004859086489</v>
      </c>
      <c r="AW51" s="32">
        <v>0.93831097583566314</v>
      </c>
      <c r="AX51" s="32">
        <v>0.91300097751710652</v>
      </c>
      <c r="AY51" s="32">
        <v>0.94665373423860333</v>
      </c>
      <c r="AZ51" s="32">
        <v>0.89931573802541542</v>
      </c>
      <c r="BA51" s="32">
        <v>0.90713587487781033</v>
      </c>
      <c r="BB51" s="32">
        <v>0.92434529582929192</v>
      </c>
      <c r="BC51" s="32">
        <v>0.94762366634335593</v>
      </c>
      <c r="BD51" s="32">
        <v>0.95150339476236667</v>
      </c>
      <c r="BE51" s="32">
        <v>0.9270826687991357</v>
      </c>
      <c r="BF51" s="32">
        <v>0.82758620689655171</v>
      </c>
      <c r="BG51" s="32">
        <v>0.87093596059113298</v>
      </c>
      <c r="BH51" s="32">
        <v>0.80295566502463056</v>
      </c>
      <c r="BI51" s="32">
        <v>0.82955665024630543</v>
      </c>
      <c r="BJ51" s="32">
        <v>0.81576354679802954</v>
      </c>
      <c r="BK51" s="32">
        <v>0.81970443349753697</v>
      </c>
      <c r="BL51" s="32">
        <v>0.81083743842364531</v>
      </c>
      <c r="BM51" s="32">
        <v>0.82533427163969031</v>
      </c>
      <c r="BN51" s="32">
        <v>0.90291262135922334</v>
      </c>
      <c r="BO51" s="32">
        <v>0.761576354679803</v>
      </c>
      <c r="BP51" s="32">
        <v>0.88942774005819591</v>
      </c>
      <c r="BQ51" s="32">
        <v>0.88651794374393789</v>
      </c>
      <c r="BR51" s="32">
        <v>0.92639842983316978</v>
      </c>
      <c r="BS51" s="32">
        <v>0.84464110127826941</v>
      </c>
      <c r="BT51" s="32">
        <v>0.87118977384464114</v>
      </c>
      <c r="BU51" s="32">
        <v>0.86895199497103426</v>
      </c>
      <c r="BV51" s="32">
        <v>0.89749665813236124</v>
      </c>
    </row>
    <row r="52" spans="33:74" x14ac:dyDescent="0.25">
      <c r="AG52" s="19" t="s">
        <v>116</v>
      </c>
      <c r="AH52" s="32">
        <v>0.98785425101214575</v>
      </c>
      <c r="AI52" s="32">
        <v>1</v>
      </c>
      <c r="AJ52" s="32">
        <v>0.98770491803278693</v>
      </c>
      <c r="AK52" s="32">
        <v>0.97950819672131151</v>
      </c>
      <c r="AL52" s="32">
        <v>0.98007968127490042</v>
      </c>
      <c r="AM52" s="32">
        <v>0.99606299212598426</v>
      </c>
      <c r="AN52" s="32">
        <v>0.99601593625498008</v>
      </c>
      <c r="AO52" s="32">
        <v>0.98960371077458686</v>
      </c>
      <c r="AP52" s="32">
        <v>0.95491803278688525</v>
      </c>
      <c r="AQ52" s="32">
        <v>0.98360655737704916</v>
      </c>
      <c r="AR52" s="32">
        <v>0.9375</v>
      </c>
      <c r="AS52" s="32">
        <v>0.97967479674796742</v>
      </c>
      <c r="AT52" s="32">
        <v>0.96311475409836067</v>
      </c>
      <c r="AU52" s="32">
        <v>0.97950819672131151</v>
      </c>
      <c r="AV52" s="32">
        <v>0.95081967213114749</v>
      </c>
      <c r="AW52" s="32">
        <v>0.96416314426610306</v>
      </c>
      <c r="AX52" s="32">
        <v>0.83333333333333337</v>
      </c>
      <c r="AY52" s="32">
        <v>0.97083333333333333</v>
      </c>
      <c r="AZ52" s="32">
        <v>0.87704918032786883</v>
      </c>
      <c r="BA52" s="32">
        <v>0.92622950819672134</v>
      </c>
      <c r="BB52" s="32">
        <v>0.93442622950819676</v>
      </c>
      <c r="BC52" s="32">
        <v>0.95833333333333337</v>
      </c>
      <c r="BD52" s="32">
        <v>0.92500000000000004</v>
      </c>
      <c r="BE52" s="32">
        <v>0.91788641686182681</v>
      </c>
      <c r="BF52" s="32">
        <v>0.96536796536796532</v>
      </c>
      <c r="BG52" s="32">
        <v>0.85416666666666663</v>
      </c>
      <c r="BH52" s="32">
        <v>0.96721311475409832</v>
      </c>
      <c r="BI52" s="32">
        <v>0.97950819672131151</v>
      </c>
      <c r="BJ52" s="32">
        <v>0.84583333333333333</v>
      </c>
      <c r="BK52" s="32">
        <v>0.87878787878787878</v>
      </c>
      <c r="BL52" s="32">
        <v>0.83750000000000002</v>
      </c>
      <c r="BM52" s="32">
        <v>0.90405387937589343</v>
      </c>
      <c r="BN52" s="32">
        <v>0.92436974789915971</v>
      </c>
      <c r="BO52" s="32">
        <v>0.96311475409836067</v>
      </c>
      <c r="BP52" s="32">
        <v>0.92016806722689071</v>
      </c>
      <c r="BQ52" s="32">
        <v>0.98760330578512401</v>
      </c>
      <c r="BR52" s="32">
        <v>0.95081967213114749</v>
      </c>
      <c r="BS52" s="32">
        <v>0.95121951219512191</v>
      </c>
      <c r="BT52" s="32">
        <v>0.98770491803278693</v>
      </c>
      <c r="BU52" s="32">
        <v>0.95499999676694169</v>
      </c>
      <c r="BV52" s="32">
        <v>0.94614142960907044</v>
      </c>
    </row>
    <row r="53" spans="33:74" x14ac:dyDescent="0.25">
      <c r="AG53" s="19" t="s">
        <v>117</v>
      </c>
      <c r="AH53" s="32">
        <v>0.94072164948453607</v>
      </c>
      <c r="AI53" s="32">
        <v>0.98</v>
      </c>
      <c r="AJ53" s="32">
        <v>0.9431524547803618</v>
      </c>
      <c r="AK53" s="32">
        <v>0.94832041343669249</v>
      </c>
      <c r="AL53" s="32">
        <v>0.97422680412371132</v>
      </c>
      <c r="AM53" s="32">
        <v>0.94974874371859297</v>
      </c>
      <c r="AN53" s="32">
        <v>0.95939086294416243</v>
      </c>
      <c r="AO53" s="32">
        <v>0.95650870406972233</v>
      </c>
      <c r="AP53" s="32">
        <v>0.97186700767263423</v>
      </c>
      <c r="AQ53" s="32">
        <v>0.99228791773778924</v>
      </c>
      <c r="AR53" s="32">
        <v>0.92802056555269918</v>
      </c>
      <c r="AS53" s="32">
        <v>0.92327365728900257</v>
      </c>
      <c r="AT53" s="32">
        <v>0.97186700767263423</v>
      </c>
      <c r="AU53" s="32">
        <v>0.93638676844783719</v>
      </c>
      <c r="AV53" s="32">
        <v>0.93877551020408168</v>
      </c>
      <c r="AW53" s="32">
        <v>0.95178263351095416</v>
      </c>
      <c r="AX53" s="32">
        <v>0.90463917525773196</v>
      </c>
      <c r="AY53" s="32">
        <v>0.98473282442748089</v>
      </c>
      <c r="AZ53" s="32">
        <v>0.88888888888888884</v>
      </c>
      <c r="BA53" s="32">
        <v>0.90697674418604646</v>
      </c>
      <c r="BB53" s="32">
        <v>0.95396419437340152</v>
      </c>
      <c r="BC53" s="32">
        <v>0.89113924050632909</v>
      </c>
      <c r="BD53" s="32">
        <v>0.89567430025445294</v>
      </c>
      <c r="BE53" s="32">
        <v>0.91800219541347594</v>
      </c>
      <c r="BF53" s="32">
        <v>0.96491228070175439</v>
      </c>
      <c r="BG53" s="32">
        <v>0.90697674418604646</v>
      </c>
      <c r="BH53" s="32">
        <v>1</v>
      </c>
      <c r="BI53" s="32">
        <v>1</v>
      </c>
      <c r="BJ53" s="32">
        <v>0.93893129770992367</v>
      </c>
      <c r="BK53" s="32">
        <v>0.93281653746770021</v>
      </c>
      <c r="BL53" s="32">
        <v>0.95348837209302328</v>
      </c>
      <c r="BM53" s="32">
        <v>0.95673217602263538</v>
      </c>
      <c r="BN53" s="32">
        <v>0.99514563106796117</v>
      </c>
      <c r="BO53" s="32">
        <v>0.96376811594202894</v>
      </c>
      <c r="BP53" s="32">
        <v>0.96359223300970875</v>
      </c>
      <c r="BQ53" s="32">
        <v>0.95388349514563109</v>
      </c>
      <c r="BR53" s="32">
        <v>1</v>
      </c>
      <c r="BS53" s="32">
        <v>1</v>
      </c>
      <c r="BT53" s="32">
        <v>1</v>
      </c>
      <c r="BU53" s="32">
        <v>0.98234135359504715</v>
      </c>
      <c r="BV53" s="32">
        <v>0.95307341252236721</v>
      </c>
    </row>
    <row r="54" spans="33:74" x14ac:dyDescent="0.25">
      <c r="AG54" s="19" t="s">
        <v>118</v>
      </c>
      <c r="AH54" s="32">
        <v>0.98109640831758038</v>
      </c>
      <c r="AI54" s="32">
        <v>0.99102333931777375</v>
      </c>
      <c r="AJ54" s="32">
        <v>0.96975425330812859</v>
      </c>
      <c r="AK54" s="32">
        <v>0.99810964083175802</v>
      </c>
      <c r="AL54" s="32">
        <v>0.98320895522388063</v>
      </c>
      <c r="AM54" s="32">
        <v>0.98696461824953441</v>
      </c>
      <c r="AN54" s="32">
        <v>0.9831460674157303</v>
      </c>
      <c r="AO54" s="32">
        <v>0.98475761180919807</v>
      </c>
      <c r="AP54" s="32">
        <v>0.94139886578449905</v>
      </c>
      <c r="AQ54" s="32">
        <v>0.98504672897196266</v>
      </c>
      <c r="AR54" s="32">
        <v>0.94696969696969702</v>
      </c>
      <c r="AS54" s="32">
        <v>0.96022727272727271</v>
      </c>
      <c r="AT54" s="32">
        <v>0.98320895522388063</v>
      </c>
      <c r="AU54" s="32">
        <v>0.98504672897196266</v>
      </c>
      <c r="AV54" s="32">
        <v>1</v>
      </c>
      <c r="AW54" s="32">
        <v>0.97169974980703933</v>
      </c>
      <c r="AX54" s="32">
        <v>0.90095238095238095</v>
      </c>
      <c r="AY54" s="32">
        <v>0.99620493358633777</v>
      </c>
      <c r="AZ54" s="32">
        <v>0.90476190476190477</v>
      </c>
      <c r="BA54" s="32">
        <v>0.91619047619047622</v>
      </c>
      <c r="BB54" s="32">
        <v>0.9486692015209125</v>
      </c>
      <c r="BC54" s="32">
        <v>0.97547169811320755</v>
      </c>
      <c r="BD54" s="32">
        <v>0.95833333333333337</v>
      </c>
      <c r="BE54" s="32">
        <v>0.94294056120836489</v>
      </c>
      <c r="BF54" s="32">
        <v>0.935969868173258</v>
      </c>
      <c r="BG54" s="32">
        <v>0.83238095238095233</v>
      </c>
      <c r="BH54" s="32">
        <v>0.98285714285714287</v>
      </c>
      <c r="BI54" s="32">
        <v>0.99248120300751874</v>
      </c>
      <c r="BJ54" s="32">
        <v>0.97164461247637046</v>
      </c>
      <c r="BK54" s="32">
        <v>0.85523809523809524</v>
      </c>
      <c r="BL54" s="32">
        <v>0.93904761904761902</v>
      </c>
      <c r="BM54" s="32">
        <v>0.92994564188299389</v>
      </c>
      <c r="BN54" s="32">
        <v>0.96401515151515149</v>
      </c>
      <c r="BO54" s="32">
        <v>0.98292220113851991</v>
      </c>
      <c r="BP54" s="32">
        <v>0.95454545454545459</v>
      </c>
      <c r="BQ54" s="32">
        <v>0.97565543071161054</v>
      </c>
      <c r="BR54" s="32">
        <v>0.9925373134328358</v>
      </c>
      <c r="BS54" s="32">
        <v>1</v>
      </c>
      <c r="BT54" s="32">
        <v>0.98123827392120078</v>
      </c>
      <c r="BU54" s="32">
        <v>0.97870197503782475</v>
      </c>
      <c r="BV54" s="32">
        <v>0.96160910794908416</v>
      </c>
    </row>
    <row r="55" spans="33:74" x14ac:dyDescent="0.25">
      <c r="AG55" s="19" t="s">
        <v>119</v>
      </c>
      <c r="AH55" s="32">
        <v>0.99180327868852458</v>
      </c>
      <c r="AI55" s="32">
        <v>1</v>
      </c>
      <c r="AJ55" s="32">
        <v>0.98739807264640478</v>
      </c>
      <c r="AK55" s="32">
        <v>0.99925484351713856</v>
      </c>
      <c r="AL55" s="32">
        <v>0.99851961509992593</v>
      </c>
      <c r="AM55" s="32">
        <v>0.99775784753363228</v>
      </c>
      <c r="AN55" s="32">
        <v>0.99702380952380953</v>
      </c>
      <c r="AO55" s="32">
        <v>0.99596535242991957</v>
      </c>
      <c r="AP55" s="32">
        <v>0.98808637379002229</v>
      </c>
      <c r="AQ55" s="32">
        <v>0.99850074962518742</v>
      </c>
      <c r="AR55" s="32">
        <v>0.99327856609410003</v>
      </c>
      <c r="AS55" s="32">
        <v>1</v>
      </c>
      <c r="AT55" s="32">
        <v>0.99179716629381054</v>
      </c>
      <c r="AU55" s="32">
        <v>0.99183976261127593</v>
      </c>
      <c r="AV55" s="32">
        <v>0.99332344213649848</v>
      </c>
      <c r="AW55" s="32">
        <v>0.99383229436441334</v>
      </c>
      <c r="AX55" s="32">
        <v>0.93243243243243246</v>
      </c>
      <c r="AY55" s="32">
        <v>0.99109131403118045</v>
      </c>
      <c r="AZ55" s="32">
        <v>0.93103448275862066</v>
      </c>
      <c r="BA55" s="32">
        <v>0.9724292101341282</v>
      </c>
      <c r="BB55" s="32">
        <v>0.97602996254681651</v>
      </c>
      <c r="BC55" s="32">
        <v>0.99105812220566314</v>
      </c>
      <c r="BD55" s="32">
        <v>0.98729446935724963</v>
      </c>
      <c r="BE55" s="32">
        <v>0.96876714192372737</v>
      </c>
      <c r="BF55" s="32">
        <v>0.98657718120805371</v>
      </c>
      <c r="BG55" s="32">
        <v>0.97240865026099921</v>
      </c>
      <c r="BH55" s="32">
        <v>0.98593634344929681</v>
      </c>
      <c r="BI55" s="32">
        <v>0.98970588235294121</v>
      </c>
      <c r="BJ55" s="32">
        <v>0.98289962825278809</v>
      </c>
      <c r="BK55" s="32">
        <v>0.90543559195830225</v>
      </c>
      <c r="BL55" s="32">
        <v>0.95512341062079287</v>
      </c>
      <c r="BM55" s="32">
        <v>0.96829809830045332</v>
      </c>
      <c r="BN55" s="32">
        <v>0.97176820208023773</v>
      </c>
      <c r="BO55" s="32">
        <v>0.98969830757910227</v>
      </c>
      <c r="BP55" s="32">
        <v>0.98075499629903773</v>
      </c>
      <c r="BQ55" s="32">
        <v>0.99102468212415862</v>
      </c>
      <c r="BR55" s="32">
        <v>0.97772828507795095</v>
      </c>
      <c r="BS55" s="32">
        <v>0.9848828420256992</v>
      </c>
      <c r="BT55" s="32">
        <v>0.98943396226415092</v>
      </c>
      <c r="BU55" s="32">
        <v>0.98361303963576241</v>
      </c>
      <c r="BV55" s="32">
        <v>0.98209518533085527</v>
      </c>
    </row>
    <row r="56" spans="33:74" x14ac:dyDescent="0.25">
      <c r="AG56" s="19" t="s">
        <v>120</v>
      </c>
      <c r="AH56" s="32">
        <v>0.95290858725761773</v>
      </c>
      <c r="AI56" s="32">
        <v>0.96153846153846156</v>
      </c>
      <c r="AJ56" s="32">
        <v>0.95543175487465182</v>
      </c>
      <c r="AK56" s="32">
        <v>0.97214484679665736</v>
      </c>
      <c r="AL56" s="32">
        <v>0.92896174863387981</v>
      </c>
      <c r="AM56" s="32">
        <v>0.95856353591160226</v>
      </c>
      <c r="AN56" s="32">
        <v>0.95833333333333337</v>
      </c>
      <c r="AO56" s="32">
        <v>0.95541175262088618</v>
      </c>
      <c r="AP56" s="32">
        <v>0.92351274787535409</v>
      </c>
      <c r="AQ56" s="32">
        <v>0.98587570621468923</v>
      </c>
      <c r="AR56" s="32">
        <v>0.93767705382436262</v>
      </c>
      <c r="AS56" s="32">
        <v>0.98050139275766013</v>
      </c>
      <c r="AT56" s="32">
        <v>0.9642857142857143</v>
      </c>
      <c r="AU56" s="32">
        <v>0.97214484679665736</v>
      </c>
      <c r="AV56" s="32">
        <v>0.9526462395543176</v>
      </c>
      <c r="AW56" s="32">
        <v>0.95952052875839366</v>
      </c>
      <c r="AX56" s="32">
        <v>0.92837465564738297</v>
      </c>
      <c r="AY56" s="32">
        <v>0.98879551820728295</v>
      </c>
      <c r="AZ56" s="32">
        <v>0.92561983471074383</v>
      </c>
      <c r="BA56" s="32">
        <v>0.90555555555555556</v>
      </c>
      <c r="BB56" s="32">
        <v>0.9719101123595506</v>
      </c>
      <c r="BC56" s="32">
        <v>0.96448087431693985</v>
      </c>
      <c r="BD56" s="32">
        <v>0.99175824175824179</v>
      </c>
      <c r="BE56" s="32">
        <v>0.95378497036509968</v>
      </c>
      <c r="BF56" s="32">
        <v>0.93406593406593408</v>
      </c>
      <c r="BG56" s="32">
        <v>0.89444444444444449</v>
      </c>
      <c r="BH56" s="32">
        <v>0.93074792243767313</v>
      </c>
      <c r="BI56" s="32">
        <v>0.9623655913978495</v>
      </c>
      <c r="BJ56" s="32">
        <v>0.94086021505376349</v>
      </c>
      <c r="BK56" s="32">
        <v>0.92285714285714282</v>
      </c>
      <c r="BL56" s="32">
        <v>0.90581717451523547</v>
      </c>
      <c r="BM56" s="32">
        <v>0.92730834639600623</v>
      </c>
      <c r="BN56" s="32">
        <v>0.94021739130434778</v>
      </c>
      <c r="BO56" s="32">
        <v>0.94005449591280654</v>
      </c>
      <c r="BP56" s="32">
        <v>0.93684210526315792</v>
      </c>
      <c r="BQ56" s="32">
        <v>0.96578947368421053</v>
      </c>
      <c r="BR56" s="32">
        <v>0.93478260869565222</v>
      </c>
      <c r="BS56" s="32">
        <v>0.92493297587131362</v>
      </c>
      <c r="BT56" s="32">
        <v>0.93617021276595747</v>
      </c>
      <c r="BU56" s="32">
        <v>0.93982703764249231</v>
      </c>
      <c r="BV56" s="32">
        <v>0.94717052715657568</v>
      </c>
    </row>
    <row r="57" spans="33:74" x14ac:dyDescent="0.25">
      <c r="AG57" s="19" t="s">
        <v>121</v>
      </c>
      <c r="AH57" s="32">
        <v>0.97980997624703092</v>
      </c>
      <c r="AI57" s="32">
        <v>0.99643281807372175</v>
      </c>
      <c r="AJ57" s="32">
        <v>0.99051008303677346</v>
      </c>
      <c r="AK57" s="32">
        <v>0.99760479041916172</v>
      </c>
      <c r="AL57" s="32">
        <v>0.99524375743162896</v>
      </c>
      <c r="AM57" s="32">
        <v>0.99643281807372175</v>
      </c>
      <c r="AN57" s="32">
        <v>0.97869822485207103</v>
      </c>
      <c r="AO57" s="32">
        <v>0.9906760668763015</v>
      </c>
      <c r="AP57" s="32">
        <v>0.95709177592371875</v>
      </c>
      <c r="AQ57" s="32">
        <v>0.99526627218934915</v>
      </c>
      <c r="AR57" s="32">
        <v>0.95095693779904311</v>
      </c>
      <c r="AS57" s="32">
        <v>0.98222748815165872</v>
      </c>
      <c r="AT57" s="32">
        <v>0.98088410991636799</v>
      </c>
      <c r="AU57" s="32">
        <v>0.99406880189798341</v>
      </c>
      <c r="AV57" s="32">
        <v>0.99761904761904763</v>
      </c>
      <c r="AW57" s="32">
        <v>0.97973063335673838</v>
      </c>
      <c r="AX57" s="32">
        <v>0.95667870036101088</v>
      </c>
      <c r="AY57" s="32">
        <v>0.9821428571428571</v>
      </c>
      <c r="AZ57" s="32">
        <v>0.95667870036101088</v>
      </c>
      <c r="BA57" s="32">
        <v>0.94337349397590364</v>
      </c>
      <c r="BB57" s="32">
        <v>0.98201438848920863</v>
      </c>
      <c r="BC57" s="32">
        <v>0.98450536352800955</v>
      </c>
      <c r="BD57" s="32">
        <v>0.97727272727272729</v>
      </c>
      <c r="BE57" s="32">
        <v>0.96895231873296128</v>
      </c>
      <c r="BF57" s="32">
        <v>0.97115384615384615</v>
      </c>
      <c r="BG57" s="32">
        <v>0.86265060240963853</v>
      </c>
      <c r="BH57" s="32">
        <v>0.95180722891566261</v>
      </c>
      <c r="BI57" s="32">
        <v>0.9785969084423306</v>
      </c>
      <c r="BJ57" s="32">
        <v>0.96522781774580335</v>
      </c>
      <c r="BK57" s="32">
        <v>0.8892900120336944</v>
      </c>
      <c r="BL57" s="32">
        <v>0.95066185318892904</v>
      </c>
      <c r="BM57" s="32">
        <v>0.93848403841284356</v>
      </c>
      <c r="BN57" s="32">
        <v>0.97261904761904761</v>
      </c>
      <c r="BO57" s="32">
        <v>0.95803357314148685</v>
      </c>
      <c r="BP57" s="32">
        <v>0.97387173396674587</v>
      </c>
      <c r="BQ57" s="32">
        <v>0.98574821852731587</v>
      </c>
      <c r="BR57" s="32">
        <v>0.99049881235154391</v>
      </c>
      <c r="BS57" s="32">
        <v>0.985731272294887</v>
      </c>
      <c r="BT57" s="32">
        <v>0.98092967818831944</v>
      </c>
      <c r="BU57" s="32">
        <v>0.97820461944133519</v>
      </c>
      <c r="BV57" s="32">
        <v>0.97120953536403565</v>
      </c>
    </row>
    <row r="58" spans="33:74" x14ac:dyDescent="0.25">
      <c r="AG58" s="19" t="s">
        <v>122</v>
      </c>
      <c r="AH58" s="32">
        <v>0.9442567567567568</v>
      </c>
      <c r="AI58" s="32">
        <v>0.96518809657495785</v>
      </c>
      <c r="AJ58" s="32">
        <v>0.95026331187829138</v>
      </c>
      <c r="AK58" s="32">
        <v>0.95664909197422376</v>
      </c>
      <c r="AL58" s="32">
        <v>0.96494156928213692</v>
      </c>
      <c r="AM58" s="32">
        <v>0.98210290827740487</v>
      </c>
      <c r="AN58" s="32">
        <v>0.97365470852017932</v>
      </c>
      <c r="AO58" s="32">
        <v>0.96243663475199293</v>
      </c>
      <c r="AP58" s="32">
        <v>0.95014326647564473</v>
      </c>
      <c r="AQ58" s="32">
        <v>0.98132427843803061</v>
      </c>
      <c r="AR58" s="32">
        <v>0.94128113879003561</v>
      </c>
      <c r="AS58" s="32">
        <v>0.96856465005931203</v>
      </c>
      <c r="AT58" s="32">
        <v>0.97855530474040631</v>
      </c>
      <c r="AU58" s="32">
        <v>0.9789892106757524</v>
      </c>
      <c r="AV58" s="32">
        <v>0.98312710911136103</v>
      </c>
      <c r="AW58" s="32">
        <v>0.9688549940415061</v>
      </c>
      <c r="AX58" s="32">
        <v>0.94994179278230506</v>
      </c>
      <c r="AY58" s="32">
        <v>0.97770154373927964</v>
      </c>
      <c r="AZ58" s="32">
        <v>0.92289442467378413</v>
      </c>
      <c r="BA58" s="32">
        <v>0.92289442467378413</v>
      </c>
      <c r="BB58" s="32">
        <v>0.96289954337899542</v>
      </c>
      <c r="BC58" s="32">
        <v>0.96823596142938173</v>
      </c>
      <c r="BD58" s="32">
        <v>0.97085714285714286</v>
      </c>
      <c r="BE58" s="32">
        <v>0.95363211907638201</v>
      </c>
      <c r="BF58" s="32">
        <v>0.91254315304948219</v>
      </c>
      <c r="BG58" s="32">
        <v>0.92289442467378413</v>
      </c>
      <c r="BH58" s="32">
        <v>0.94799054373522462</v>
      </c>
      <c r="BI58" s="32">
        <v>0.94826572604350379</v>
      </c>
      <c r="BJ58" s="32">
        <v>0.99180844360428477</v>
      </c>
      <c r="BK58" s="32">
        <v>0.92289442467378413</v>
      </c>
      <c r="BL58" s="32">
        <v>0.88660968660968664</v>
      </c>
      <c r="BM58" s="32">
        <v>0.93328662891282144</v>
      </c>
      <c r="BN58" s="32">
        <v>0.95273775216138323</v>
      </c>
      <c r="BO58" s="32">
        <v>0.9145299145299145</v>
      </c>
      <c r="BP58" s="32">
        <v>0.95610913404507714</v>
      </c>
      <c r="BQ58" s="32">
        <v>0.95967270601987142</v>
      </c>
      <c r="BR58" s="32">
        <v>0.97328027288231955</v>
      </c>
      <c r="BS58" s="32">
        <v>0.93447293447293445</v>
      </c>
      <c r="BT58" s="32">
        <v>0.95589919816723945</v>
      </c>
      <c r="BU58" s="32">
        <v>0.94952884461124842</v>
      </c>
      <c r="BV58" s="32">
        <v>0.95354784427879036</v>
      </c>
    </row>
    <row r="59" spans="33:74" x14ac:dyDescent="0.25">
      <c r="AG59" s="19" t="s">
        <v>123</v>
      </c>
      <c r="AH59" s="32">
        <v>0.95170789163722025</v>
      </c>
      <c r="AI59" s="32">
        <v>0.96363636363636362</v>
      </c>
      <c r="AJ59" s="32">
        <v>0.94853801169590646</v>
      </c>
      <c r="AK59" s="32">
        <v>0.97647058823529409</v>
      </c>
      <c r="AL59" s="32">
        <v>0.95990566037735847</v>
      </c>
      <c r="AM59" s="32">
        <v>0.96593673965936744</v>
      </c>
      <c r="AN59" s="32">
        <v>0.95985401459854014</v>
      </c>
      <c r="AO59" s="32">
        <v>0.9608641814057215</v>
      </c>
      <c r="AP59" s="32">
        <v>0.94483568075117375</v>
      </c>
      <c r="AQ59" s="32">
        <v>0.98477751756440279</v>
      </c>
      <c r="AR59" s="32">
        <v>0.9518779342723005</v>
      </c>
      <c r="AS59" s="32">
        <v>0.96</v>
      </c>
      <c r="AT59" s="32">
        <v>0.95947556615017882</v>
      </c>
      <c r="AU59" s="32">
        <v>0.9821002386634845</v>
      </c>
      <c r="AV59" s="32">
        <v>0.96395348837209305</v>
      </c>
      <c r="AW59" s="32">
        <v>0.9638600608248048</v>
      </c>
      <c r="AX59" s="32">
        <v>0.90801886792452835</v>
      </c>
      <c r="AY59" s="32">
        <v>0.96732788798133018</v>
      </c>
      <c r="AZ59" s="32">
        <v>0.88180764774044029</v>
      </c>
      <c r="BA59" s="32">
        <v>0.92674418604651165</v>
      </c>
      <c r="BB59" s="32">
        <v>0.92244418331374856</v>
      </c>
      <c r="BC59" s="32">
        <v>0.95147928994082842</v>
      </c>
      <c r="BD59" s="32">
        <v>0.93822843822843827</v>
      </c>
      <c r="BE59" s="32">
        <v>0.92800721445368939</v>
      </c>
      <c r="BF59" s="32">
        <v>0.9478054567022538</v>
      </c>
      <c r="BG59" s="32">
        <v>0.84777517564402816</v>
      </c>
      <c r="BH59" s="32">
        <v>0.95906432748538006</v>
      </c>
      <c r="BI59" s="32">
        <v>0.98720930232558135</v>
      </c>
      <c r="BJ59" s="32">
        <v>0.9258400926998841</v>
      </c>
      <c r="BK59" s="32">
        <v>0.86721504112808456</v>
      </c>
      <c r="BL59" s="32">
        <v>0.90548424737456246</v>
      </c>
      <c r="BM59" s="32">
        <v>0.9200562347656821</v>
      </c>
      <c r="BN59" s="32">
        <v>0.97018348623853212</v>
      </c>
      <c r="BO59" s="32">
        <v>0.98379629629629628</v>
      </c>
      <c r="BP59" s="32">
        <v>0.95691609977324266</v>
      </c>
      <c r="BQ59" s="32">
        <v>0.97975253093363335</v>
      </c>
      <c r="BR59" s="32">
        <v>0.98747152619589973</v>
      </c>
      <c r="BS59" s="32">
        <v>0.97643097643097643</v>
      </c>
      <c r="BT59" s="32">
        <v>0.97828571428571431</v>
      </c>
      <c r="BU59" s="32">
        <v>0.97611951859347068</v>
      </c>
      <c r="BV59" s="32">
        <v>0.94978144200867387</v>
      </c>
    </row>
    <row r="60" spans="33:74" x14ac:dyDescent="0.25">
      <c r="AG60" s="19" t="s">
        <v>264</v>
      </c>
      <c r="AH60" s="32">
        <v>1</v>
      </c>
      <c r="AI60" s="32">
        <v>1</v>
      </c>
      <c r="AJ60" s="32">
        <v>1</v>
      </c>
      <c r="AK60" s="32">
        <v>1</v>
      </c>
      <c r="AL60" s="32">
        <v>1</v>
      </c>
      <c r="AM60" s="32">
        <v>1</v>
      </c>
      <c r="AN60" s="32">
        <v>1</v>
      </c>
      <c r="AO60" s="32">
        <v>1</v>
      </c>
      <c r="AP60" s="32">
        <v>0.98529411764705888</v>
      </c>
      <c r="AQ60" s="32">
        <v>0.99816176470588236</v>
      </c>
      <c r="AR60" s="32">
        <v>1</v>
      </c>
      <c r="AS60" s="32">
        <v>1</v>
      </c>
      <c r="AT60" s="32">
        <v>0.97150735294117652</v>
      </c>
      <c r="AU60" s="32">
        <v>1</v>
      </c>
      <c r="AV60" s="32">
        <v>0.98988970588235292</v>
      </c>
      <c r="AW60" s="32">
        <v>0.99212184873949572</v>
      </c>
      <c r="AX60" s="32">
        <v>0.98897058823529416</v>
      </c>
      <c r="AY60" s="32">
        <v>0.99816176470588236</v>
      </c>
      <c r="AZ60" s="32">
        <v>0.99264705882352944</v>
      </c>
      <c r="BA60" s="32">
        <v>0.99540441176470584</v>
      </c>
      <c r="BB60" s="32">
        <v>0.97058823529411764</v>
      </c>
      <c r="BC60" s="32">
        <v>1</v>
      </c>
      <c r="BD60" s="32">
        <v>1</v>
      </c>
      <c r="BE60" s="32">
        <v>0.99225315126050428</v>
      </c>
      <c r="BF60" s="32">
        <v>1</v>
      </c>
      <c r="BG60" s="32">
        <v>0.99540441176470584</v>
      </c>
      <c r="BH60" s="32">
        <v>1</v>
      </c>
      <c r="BI60" s="32">
        <v>1</v>
      </c>
      <c r="BJ60" s="32">
        <v>1</v>
      </c>
      <c r="BK60" s="32">
        <v>1</v>
      </c>
      <c r="BL60" s="32">
        <v>1</v>
      </c>
      <c r="BM60" s="32">
        <v>0.99934348739495793</v>
      </c>
      <c r="BN60" s="32">
        <v>1</v>
      </c>
      <c r="BO60" s="32">
        <v>0.99448529411764708</v>
      </c>
      <c r="BP60" s="32">
        <v>1</v>
      </c>
      <c r="BQ60" s="32">
        <v>1</v>
      </c>
      <c r="BR60" s="32">
        <v>1</v>
      </c>
      <c r="BS60" s="32">
        <v>0.99632352941176472</v>
      </c>
      <c r="BT60" s="32">
        <v>0.99172794117647056</v>
      </c>
      <c r="BU60" s="32">
        <v>0.99750525210084029</v>
      </c>
      <c r="BV60" s="32">
        <v>0.99624474789915984</v>
      </c>
    </row>
    <row r="61" spans="33:74" x14ac:dyDescent="0.25">
      <c r="AG61" s="19" t="s">
        <v>124</v>
      </c>
      <c r="AH61" s="32">
        <v>0.92163009404388718</v>
      </c>
      <c r="AI61" s="32">
        <v>0.96096096096096095</v>
      </c>
      <c r="AJ61" s="32">
        <v>0.89498432601880873</v>
      </c>
      <c r="AK61" s="32">
        <v>0.97178683385579934</v>
      </c>
      <c r="AL61" s="32">
        <v>0.97492163009404387</v>
      </c>
      <c r="AM61" s="32">
        <v>0.97575757575757571</v>
      </c>
      <c r="AN61" s="32">
        <v>0.93188854489164086</v>
      </c>
      <c r="AO61" s="32">
        <v>0.94741856651753087</v>
      </c>
      <c r="AP61" s="32">
        <v>0.89498432601880873</v>
      </c>
      <c r="AQ61" s="32">
        <v>0.97272727272727277</v>
      </c>
      <c r="AR61" s="32">
        <v>0.90909090909090906</v>
      </c>
      <c r="AS61" s="32">
        <v>0.95297805642633227</v>
      </c>
      <c r="AT61" s="32">
        <v>0.88244514106583072</v>
      </c>
      <c r="AU61" s="32">
        <v>0.94444444444444442</v>
      </c>
      <c r="AV61" s="32">
        <v>0.95290423861852436</v>
      </c>
      <c r="AW61" s="32">
        <v>0.92993919834173167</v>
      </c>
      <c r="AX61" s="32">
        <v>0.81191222570532917</v>
      </c>
      <c r="AY61" s="32">
        <v>0.94827586206896552</v>
      </c>
      <c r="AZ61" s="32">
        <v>0.89028213166144199</v>
      </c>
      <c r="BA61" s="32">
        <v>0.85579937304075238</v>
      </c>
      <c r="BB61" s="32">
        <v>0.89498432601880873</v>
      </c>
      <c r="BC61" s="32">
        <v>0.86050156739811912</v>
      </c>
      <c r="BD61" s="32">
        <v>0.85893416927899691</v>
      </c>
      <c r="BE61" s="32">
        <v>0.87438423645320196</v>
      </c>
      <c r="BF61" s="32">
        <v>0.89498432601880873</v>
      </c>
      <c r="BG61" s="32">
        <v>0.78056426332288398</v>
      </c>
      <c r="BH61" s="32">
        <v>0.93573667711598751</v>
      </c>
      <c r="BI61" s="32">
        <v>0.94427244582043346</v>
      </c>
      <c r="BJ61" s="32">
        <v>0.90438871473354232</v>
      </c>
      <c r="BK61" s="32">
        <v>0.8150470219435737</v>
      </c>
      <c r="BL61" s="32">
        <v>0.83228840125391845</v>
      </c>
      <c r="BM61" s="32">
        <v>0.87246883574416412</v>
      </c>
      <c r="BN61" s="32">
        <v>0.97408536585365857</v>
      </c>
      <c r="BO61" s="32">
        <v>0.93962848297213619</v>
      </c>
      <c r="BP61" s="32">
        <v>0.9375</v>
      </c>
      <c r="BQ61" s="32">
        <v>0.9598214285714286</v>
      </c>
      <c r="BR61" s="32">
        <v>0.95303030303030301</v>
      </c>
      <c r="BS61" s="32">
        <v>0.97213622291021673</v>
      </c>
      <c r="BT61" s="32">
        <v>0.96696696696696693</v>
      </c>
      <c r="BU61" s="32">
        <v>0.9575955386149585</v>
      </c>
      <c r="BV61" s="32">
        <v>0.91636127513431742</v>
      </c>
    </row>
    <row r="62" spans="33:74" x14ac:dyDescent="0.25">
      <c r="AG62" s="19" t="s">
        <v>125</v>
      </c>
      <c r="AH62" s="32">
        <v>0.93188405797101448</v>
      </c>
      <c r="AI62" s="32">
        <v>0.9576271186440678</v>
      </c>
      <c r="AJ62" s="32">
        <v>0.94744318181818177</v>
      </c>
      <c r="AK62" s="32">
        <v>0.9576271186440678</v>
      </c>
      <c r="AL62" s="32">
        <v>0.95621468926553677</v>
      </c>
      <c r="AM62" s="32">
        <v>0.94766619519094764</v>
      </c>
      <c r="AN62" s="32">
        <v>0.96468926553672318</v>
      </c>
      <c r="AO62" s="32">
        <v>0.9518788038672199</v>
      </c>
      <c r="AP62" s="32">
        <v>0.95741556534508077</v>
      </c>
      <c r="AQ62" s="32">
        <v>0.97406340057636887</v>
      </c>
      <c r="AR62" s="32">
        <v>0.94920174165457183</v>
      </c>
      <c r="AS62" s="32">
        <v>0.95395683453237412</v>
      </c>
      <c r="AT62" s="32">
        <v>0.96098265895953761</v>
      </c>
      <c r="AU62" s="32">
        <v>0.95149786019971472</v>
      </c>
      <c r="AV62" s="32">
        <v>0.96098265895953761</v>
      </c>
      <c r="AW62" s="32">
        <v>0.95830010288959788</v>
      </c>
      <c r="AX62" s="32">
        <v>0.94466936572199733</v>
      </c>
      <c r="AY62" s="32">
        <v>0.93305439330543938</v>
      </c>
      <c r="AZ62" s="32">
        <v>0.94466936572199733</v>
      </c>
      <c r="BA62" s="32">
        <v>0.92521994134897356</v>
      </c>
      <c r="BB62" s="32">
        <v>0.91619318181818177</v>
      </c>
      <c r="BC62" s="32">
        <v>0.94125874125874121</v>
      </c>
      <c r="BD62" s="32">
        <v>0.93653032440056416</v>
      </c>
      <c r="BE62" s="32">
        <v>0.93451361622512774</v>
      </c>
      <c r="BF62" s="32">
        <v>0.94466936572199733</v>
      </c>
      <c r="BG62" s="32">
        <v>0.89635036496350362</v>
      </c>
      <c r="BH62" s="32">
        <v>0.94466936572199733</v>
      </c>
      <c r="BI62" s="32">
        <v>0.96383866481223923</v>
      </c>
      <c r="BJ62" s="32">
        <v>0.91486291486291482</v>
      </c>
      <c r="BK62" s="32">
        <v>0.86877828054298645</v>
      </c>
      <c r="BL62" s="32">
        <v>0.90187590187590183</v>
      </c>
      <c r="BM62" s="32">
        <v>0.91929212264307725</v>
      </c>
      <c r="BN62" s="32">
        <v>0.9555555555555556</v>
      </c>
      <c r="BO62" s="32">
        <v>0.9505494505494505</v>
      </c>
      <c r="BP62" s="32">
        <v>0.93877551020408168</v>
      </c>
      <c r="BQ62" s="32">
        <v>0.93716577540106949</v>
      </c>
      <c r="BR62" s="32">
        <v>0.94565217391304346</v>
      </c>
      <c r="BS62" s="32">
        <v>0.94986449864498645</v>
      </c>
      <c r="BT62" s="32">
        <v>0.95161290322580649</v>
      </c>
      <c r="BU62" s="32">
        <v>0.94702512392771332</v>
      </c>
      <c r="BV62" s="32">
        <v>0.94220195391054729</v>
      </c>
    </row>
    <row r="63" spans="33:74" x14ac:dyDescent="0.25">
      <c r="AG63" s="19" t="s">
        <v>126</v>
      </c>
      <c r="AH63" s="32">
        <v>0.89460663038099952</v>
      </c>
      <c r="AI63" s="32">
        <v>0.93356470004957859</v>
      </c>
      <c r="AJ63" s="32">
        <v>0.9110889110889111</v>
      </c>
      <c r="AK63" s="32">
        <v>0.92649999999999999</v>
      </c>
      <c r="AL63" s="32">
        <v>0.93802677243430843</v>
      </c>
      <c r="AM63" s="32">
        <v>0.94692460317460314</v>
      </c>
      <c r="AN63" s="32">
        <v>0.93372898120672598</v>
      </c>
      <c r="AO63" s="32">
        <v>0.92634865690501811</v>
      </c>
      <c r="AP63" s="32">
        <v>0.88349033217649975</v>
      </c>
      <c r="AQ63" s="32">
        <v>0.92223873204556717</v>
      </c>
      <c r="AR63" s="32">
        <v>0.89110889110889113</v>
      </c>
      <c r="AS63" s="32">
        <v>0.91008991008991014</v>
      </c>
      <c r="AT63" s="32">
        <v>0.92075284794452694</v>
      </c>
      <c r="AU63" s="32">
        <v>0.90931615460852333</v>
      </c>
      <c r="AV63" s="32">
        <v>0.92814667988107036</v>
      </c>
      <c r="AW63" s="32">
        <v>0.90930622112214132</v>
      </c>
      <c r="AX63" s="32">
        <v>0.81876861966236347</v>
      </c>
      <c r="AY63" s="32">
        <v>0.92158808933002478</v>
      </c>
      <c r="AZ63" s="32">
        <v>0.7603594608087868</v>
      </c>
      <c r="BA63" s="32">
        <v>0.73003992015968067</v>
      </c>
      <c r="BB63" s="32">
        <v>0.89484126984126988</v>
      </c>
      <c r="BC63" s="32">
        <v>0.90760059612518629</v>
      </c>
      <c r="BD63" s="32">
        <v>0.90566037735849059</v>
      </c>
      <c r="BE63" s="32">
        <v>0.8484083333265432</v>
      </c>
      <c r="BF63" s="32">
        <v>0.77452923686818631</v>
      </c>
      <c r="BG63" s="32">
        <v>0.77049180327868849</v>
      </c>
      <c r="BH63" s="32">
        <v>0.85942971485742869</v>
      </c>
      <c r="BI63" s="32">
        <v>0.86563436563436569</v>
      </c>
      <c r="BJ63" s="32">
        <v>0.76961271102284012</v>
      </c>
      <c r="BK63" s="32">
        <v>0.76289682539682535</v>
      </c>
      <c r="BL63" s="32">
        <v>0.78191753601589664</v>
      </c>
      <c r="BM63" s="32">
        <v>0.79778745615346147</v>
      </c>
      <c r="BN63" s="32">
        <v>0.89151873767258383</v>
      </c>
      <c r="BO63" s="32">
        <v>0.84455445544554453</v>
      </c>
      <c r="BP63" s="32">
        <v>0.88579940417080438</v>
      </c>
      <c r="BQ63" s="32">
        <v>0.91567460317460314</v>
      </c>
      <c r="BR63" s="32">
        <v>0.89896500739280438</v>
      </c>
      <c r="BS63" s="32">
        <v>0.86491835724888666</v>
      </c>
      <c r="BT63" s="32">
        <v>0.89333333333333331</v>
      </c>
      <c r="BU63" s="32">
        <v>0.88496627120550853</v>
      </c>
      <c r="BV63" s="32">
        <v>0.87336338774253464</v>
      </c>
    </row>
    <row r="64" spans="33:74" x14ac:dyDescent="0.25">
      <c r="AG64" s="19" t="s">
        <v>127</v>
      </c>
      <c r="AH64" s="32">
        <v>0.9668874172185431</v>
      </c>
      <c r="AI64" s="32">
        <v>0.97689075630252098</v>
      </c>
      <c r="AJ64" s="32">
        <v>0.98039215686274506</v>
      </c>
      <c r="AK64" s="32">
        <v>0.9673202614379085</v>
      </c>
      <c r="AL64" s="32">
        <v>0.98283261802575106</v>
      </c>
      <c r="AM64" s="32">
        <v>0.98945147679324896</v>
      </c>
      <c r="AN64" s="32">
        <v>0.98742138364779874</v>
      </c>
      <c r="AO64" s="32">
        <v>0.97874229575550231</v>
      </c>
      <c r="AP64" s="32">
        <v>0.95594713656387664</v>
      </c>
      <c r="AQ64" s="32">
        <v>0.98286937901498928</v>
      </c>
      <c r="AR64" s="32">
        <v>0.97811816192560175</v>
      </c>
      <c r="AS64" s="32">
        <v>0.99141630901287559</v>
      </c>
      <c r="AT64" s="32">
        <v>0.96460176991150437</v>
      </c>
      <c r="AU64" s="32">
        <v>0.98081023454157779</v>
      </c>
      <c r="AV64" s="32">
        <v>0.96514161220043571</v>
      </c>
      <c r="AW64" s="32">
        <v>0.97412922902440879</v>
      </c>
      <c r="AX64" s="32">
        <v>0.97180043383947934</v>
      </c>
      <c r="AY64" s="32">
        <v>0.985200845665962</v>
      </c>
      <c r="AZ64" s="32">
        <v>0.97167755991285398</v>
      </c>
      <c r="BA64" s="32">
        <v>0.98910675381263613</v>
      </c>
      <c r="BB64" s="32">
        <v>0.98294243070362475</v>
      </c>
      <c r="BC64" s="32">
        <v>0.96815286624203822</v>
      </c>
      <c r="BD64" s="32">
        <v>0.98929336188436834</v>
      </c>
      <c r="BE64" s="32">
        <v>0.97973917886585171</v>
      </c>
      <c r="BF64" s="32">
        <v>0.98322851153039836</v>
      </c>
      <c r="BG64" s="32">
        <v>0.93156732891832228</v>
      </c>
      <c r="BH64" s="32">
        <v>0.98526315789473684</v>
      </c>
      <c r="BI64" s="32">
        <v>0.98956158663883087</v>
      </c>
      <c r="BJ64" s="32">
        <v>0.97268907563025209</v>
      </c>
      <c r="BK64" s="32">
        <v>0.96710526315789469</v>
      </c>
      <c r="BL64" s="32">
        <v>0.98510638297872344</v>
      </c>
      <c r="BM64" s="32">
        <v>0.97350304382130837</v>
      </c>
      <c r="BN64" s="32">
        <v>0.98747390396659707</v>
      </c>
      <c r="BO64" s="32">
        <v>0.99371069182389937</v>
      </c>
      <c r="BP64" s="32">
        <v>0.97916666666666663</v>
      </c>
      <c r="BQ64" s="32">
        <v>1</v>
      </c>
      <c r="BR64" s="32">
        <v>0.98136645962732916</v>
      </c>
      <c r="BS64" s="32">
        <v>0.98747390396659707</v>
      </c>
      <c r="BT64" s="32">
        <v>0.99585062240663902</v>
      </c>
      <c r="BU64" s="32">
        <v>0.98929174977967549</v>
      </c>
      <c r="BV64" s="32">
        <v>0.9790810994493494</v>
      </c>
    </row>
    <row r="65" spans="33:74" x14ac:dyDescent="0.25">
      <c r="AG65" s="19" t="s">
        <v>128</v>
      </c>
      <c r="AH65" s="32">
        <v>0.96819085487077539</v>
      </c>
      <c r="AI65" s="32">
        <v>0.91786447638603696</v>
      </c>
      <c r="AJ65" s="32">
        <v>0.89775051124744376</v>
      </c>
      <c r="AK65" s="32">
        <v>0.89662027833001989</v>
      </c>
      <c r="AL65" s="32">
        <v>0.97384305835010065</v>
      </c>
      <c r="AM65" s="32">
        <v>0.94297352342158858</v>
      </c>
      <c r="AN65" s="32">
        <v>0.95705521472392641</v>
      </c>
      <c r="AO65" s="32">
        <v>0.9363282739042702</v>
      </c>
      <c r="AP65" s="32">
        <v>0.93240556660039764</v>
      </c>
      <c r="AQ65" s="32">
        <v>0.93041749502982107</v>
      </c>
      <c r="AR65" s="32">
        <v>0.91650099403578533</v>
      </c>
      <c r="AS65" s="32">
        <v>0.92445328031809149</v>
      </c>
      <c r="AT65" s="32">
        <v>0.97813121272365811</v>
      </c>
      <c r="AU65" s="32">
        <v>0.96620278330019882</v>
      </c>
      <c r="AV65" s="32">
        <v>0.94851485148514847</v>
      </c>
      <c r="AW65" s="32">
        <v>0.94237516907044305</v>
      </c>
      <c r="AX65" s="32">
        <v>0.89463220675944333</v>
      </c>
      <c r="AY65" s="32">
        <v>0.93041749502982107</v>
      </c>
      <c r="AZ65" s="32">
        <v>0.85884691848906558</v>
      </c>
      <c r="BA65" s="32">
        <v>0.86481113320079528</v>
      </c>
      <c r="BB65" s="32">
        <v>0.92842942345924451</v>
      </c>
      <c r="BC65" s="32">
        <v>0.97813121272365811</v>
      </c>
      <c r="BD65" s="32">
        <v>0.98054474708171202</v>
      </c>
      <c r="BE65" s="32">
        <v>0.91940187667767714</v>
      </c>
      <c r="BF65" s="32">
        <v>0.95825049701789267</v>
      </c>
      <c r="BG65" s="32">
        <v>0.83896620278330025</v>
      </c>
      <c r="BH65" s="32">
        <v>0.9562624254473161</v>
      </c>
      <c r="BI65" s="32">
        <v>0.95938104448742745</v>
      </c>
      <c r="BJ65" s="32">
        <v>0.87077534791252487</v>
      </c>
      <c r="BK65" s="32">
        <v>0.79324055666003979</v>
      </c>
      <c r="BL65" s="32">
        <v>0.86481113320079528</v>
      </c>
      <c r="BM65" s="32">
        <v>0.8916696010727565</v>
      </c>
      <c r="BN65" s="32">
        <v>0.97363465160075324</v>
      </c>
      <c r="BO65" s="32">
        <v>0.9678638941398866</v>
      </c>
      <c r="BP65" s="32">
        <v>0.96281800391389427</v>
      </c>
      <c r="BQ65" s="32">
        <v>0.95938104448742745</v>
      </c>
      <c r="BR65" s="32">
        <v>0.99444444444444446</v>
      </c>
      <c r="BS65" s="32">
        <v>0.9678638941398866</v>
      </c>
      <c r="BT65" s="32">
        <v>0.96022727272727271</v>
      </c>
      <c r="BU65" s="32">
        <v>0.96946188649336662</v>
      </c>
      <c r="BV65" s="32">
        <v>0.9318473614437025</v>
      </c>
    </row>
    <row r="66" spans="33:74" x14ac:dyDescent="0.25">
      <c r="AG66" s="19" t="s">
        <v>129</v>
      </c>
      <c r="AH66" s="32">
        <v>0.95777351247600773</v>
      </c>
      <c r="AI66" s="32">
        <v>0.98046875</v>
      </c>
      <c r="AJ66" s="32">
        <v>0.95576923076923082</v>
      </c>
      <c r="AK66" s="32">
        <v>0.96946564885496178</v>
      </c>
      <c r="AL66" s="32">
        <v>0.95969289827255277</v>
      </c>
      <c r="AM66" s="32">
        <v>0.99607843137254903</v>
      </c>
      <c r="AN66" s="32">
        <v>0.97528517110266155</v>
      </c>
      <c r="AO66" s="32">
        <v>0.97064766326399476</v>
      </c>
      <c r="AP66" s="32">
        <v>0.98854961832061072</v>
      </c>
      <c r="AQ66" s="32">
        <v>0.97328244274809161</v>
      </c>
      <c r="AR66" s="32">
        <v>0.98854961832061072</v>
      </c>
      <c r="AS66" s="32">
        <v>0.97896749521988524</v>
      </c>
      <c r="AT66" s="32">
        <v>0.98854961832061072</v>
      </c>
      <c r="AU66" s="32">
        <v>0.98282442748091603</v>
      </c>
      <c r="AV66" s="32">
        <v>0.98854961832061072</v>
      </c>
      <c r="AW66" s="32">
        <v>0.98418183410447657</v>
      </c>
      <c r="AX66" s="32">
        <v>0.927734375</v>
      </c>
      <c r="AY66" s="32">
        <v>0.98091603053435117</v>
      </c>
      <c r="AZ66" s="32">
        <v>0.927734375</v>
      </c>
      <c r="BA66" s="32">
        <v>0.91699604743083007</v>
      </c>
      <c r="BB66" s="32">
        <v>0.93548387096774188</v>
      </c>
      <c r="BC66" s="32">
        <v>0.96952380952380957</v>
      </c>
      <c r="BD66" s="32">
        <v>0.94117647058823528</v>
      </c>
      <c r="BE66" s="32">
        <v>0.942794997006424</v>
      </c>
      <c r="BF66" s="32">
        <v>0.91515151515151516</v>
      </c>
      <c r="BG66" s="32">
        <v>0.927734375</v>
      </c>
      <c r="BH66" s="32">
        <v>0.93939393939393945</v>
      </c>
      <c r="BI66" s="32">
        <v>0.94979919678714864</v>
      </c>
      <c r="BJ66" s="32">
        <v>0.92323232323232318</v>
      </c>
      <c r="BK66" s="32">
        <v>0.927734375</v>
      </c>
      <c r="BL66" s="32">
        <v>0.86895161290322576</v>
      </c>
      <c r="BM66" s="32">
        <v>0.92171390535259323</v>
      </c>
      <c r="BN66" s="32">
        <v>0.9943074003795066</v>
      </c>
      <c r="BO66" s="32">
        <v>0.96963562753036436</v>
      </c>
      <c r="BP66" s="32">
        <v>0.92015209125475284</v>
      </c>
      <c r="BQ66" s="32">
        <v>0.9563567362428842</v>
      </c>
      <c r="BR66" s="32">
        <v>0.9943074003795066</v>
      </c>
      <c r="BS66" s="32">
        <v>0.98541666666666672</v>
      </c>
      <c r="BT66" s="32">
        <v>0.98541666666666672</v>
      </c>
      <c r="BU66" s="32">
        <v>0.97222751273147823</v>
      </c>
      <c r="BV66" s="32">
        <v>0.95831318249179354</v>
      </c>
    </row>
    <row r="67" spans="33:74" x14ac:dyDescent="0.25">
      <c r="AG67" s="19" t="s">
        <v>130</v>
      </c>
      <c r="AH67" s="32">
        <v>0.97151576805696849</v>
      </c>
      <c r="AI67" s="32">
        <v>0.97817460317460314</v>
      </c>
      <c r="AJ67" s="32">
        <v>0.98760330578512401</v>
      </c>
      <c r="AK67" s="32">
        <v>0.98787878787878791</v>
      </c>
      <c r="AL67" s="32">
        <v>0.98256410256410254</v>
      </c>
      <c r="AM67" s="32">
        <v>0.97711442786069647</v>
      </c>
      <c r="AN67" s="32">
        <v>0.97592778335005015</v>
      </c>
      <c r="AO67" s="32">
        <v>0.98011125409576183</v>
      </c>
      <c r="AP67" s="32">
        <v>0.95746887966804983</v>
      </c>
      <c r="AQ67" s="32">
        <v>0.98778004073319758</v>
      </c>
      <c r="AR67" s="32">
        <v>0.94917012448132776</v>
      </c>
      <c r="AS67" s="32">
        <v>0.97925311203319498</v>
      </c>
      <c r="AT67" s="32">
        <v>0.9543568464730291</v>
      </c>
      <c r="AU67" s="32">
        <v>0.98571428571428577</v>
      </c>
      <c r="AV67" s="32">
        <v>0.99072164948453612</v>
      </c>
      <c r="AW67" s="32">
        <v>0.97206641979823161</v>
      </c>
      <c r="AX67" s="32">
        <v>0.93103448275862066</v>
      </c>
      <c r="AY67" s="32">
        <v>0.96608427543679343</v>
      </c>
      <c r="AZ67" s="32">
        <v>0.93983402489626555</v>
      </c>
      <c r="BA67" s="32">
        <v>0.93449334698055275</v>
      </c>
      <c r="BB67" s="32">
        <v>0.97614107883817425</v>
      </c>
      <c r="BC67" s="32">
        <v>0.96534148827726807</v>
      </c>
      <c r="BD67" s="32">
        <v>0.97861507128309577</v>
      </c>
      <c r="BE67" s="32">
        <v>0.95593482406725294</v>
      </c>
      <c r="BF67" s="32">
        <v>0.96102564102564103</v>
      </c>
      <c r="BG67" s="32">
        <v>0.90560165975103735</v>
      </c>
      <c r="BH67" s="32">
        <v>0.98871794871794871</v>
      </c>
      <c r="BI67" s="32">
        <v>0.96865520728008092</v>
      </c>
      <c r="BJ67" s="32">
        <v>0.96048632218844987</v>
      </c>
      <c r="BK67" s="32">
        <v>0.93775933609958506</v>
      </c>
      <c r="BL67" s="32">
        <v>0.95971074380165289</v>
      </c>
      <c r="BM67" s="32">
        <v>0.95456526555205645</v>
      </c>
      <c r="BN67" s="32">
        <v>0.96906187624750495</v>
      </c>
      <c r="BO67" s="32">
        <v>0.95761856710393545</v>
      </c>
      <c r="BP67" s="32">
        <v>0.97904191616766467</v>
      </c>
      <c r="BQ67" s="32">
        <v>0.96626984126984128</v>
      </c>
      <c r="BR67" s="32">
        <v>0.94626865671641791</v>
      </c>
      <c r="BS67" s="32">
        <v>0.96991701244813278</v>
      </c>
      <c r="BT67" s="32">
        <v>0.96783919597989954</v>
      </c>
      <c r="BU67" s="32">
        <v>0.96514529513334235</v>
      </c>
      <c r="BV67" s="32">
        <v>0.96556461172932895</v>
      </c>
    </row>
    <row r="68" spans="33:74" x14ac:dyDescent="0.25">
      <c r="AG68" s="19" t="s">
        <v>131</v>
      </c>
      <c r="AH68" s="32">
        <v>0.89271255060728749</v>
      </c>
      <c r="AI68" s="32">
        <v>0.96356275303643724</v>
      </c>
      <c r="AJ68" s="32">
        <v>0.90688259109311742</v>
      </c>
      <c r="AK68" s="32">
        <v>0.92307692307692313</v>
      </c>
      <c r="AL68" s="32">
        <v>0.9251012145748988</v>
      </c>
      <c r="AM68" s="32">
        <v>0.96558704453441291</v>
      </c>
      <c r="AN68" s="32">
        <v>0.92307692307692313</v>
      </c>
      <c r="AO68" s="32">
        <v>0.9285714285714286</v>
      </c>
      <c r="AP68" s="32">
        <v>0.89271255060728749</v>
      </c>
      <c r="AQ68" s="32">
        <v>0.94736842105263153</v>
      </c>
      <c r="AR68" s="32">
        <v>0.88663967611336036</v>
      </c>
      <c r="AS68" s="32">
        <v>0.93927125506072873</v>
      </c>
      <c r="AT68" s="32">
        <v>0.92105263157894735</v>
      </c>
      <c r="AU68" s="32">
        <v>0.9412955465587044</v>
      </c>
      <c r="AV68" s="32">
        <v>0.9251012145748988</v>
      </c>
      <c r="AW68" s="32">
        <v>0.92192018507807982</v>
      </c>
      <c r="AX68" s="32">
        <v>0.87449392712550611</v>
      </c>
      <c r="AY68" s="32">
        <v>0.93117408906882593</v>
      </c>
      <c r="AZ68" s="32">
        <v>0.86842105263157898</v>
      </c>
      <c r="BA68" s="32">
        <v>0.88461538461538458</v>
      </c>
      <c r="BB68" s="32">
        <v>0.95344129554655865</v>
      </c>
      <c r="BC68" s="32">
        <v>0.95546558704453444</v>
      </c>
      <c r="BD68" s="32">
        <v>0.94736842105263153</v>
      </c>
      <c r="BE68" s="32">
        <v>0.91642567958357424</v>
      </c>
      <c r="BF68" s="32">
        <v>0.85657370517928288</v>
      </c>
      <c r="BG68" s="32">
        <v>0.77689243027888444</v>
      </c>
      <c r="BH68" s="32">
        <v>0.90438247011952189</v>
      </c>
      <c r="BI68" s="32">
        <v>0.94621513944223112</v>
      </c>
      <c r="BJ68" s="32">
        <v>0.8605577689243028</v>
      </c>
      <c r="BK68" s="32">
        <v>0.8027888446215139</v>
      </c>
      <c r="BL68" s="32">
        <v>0.84860557768924305</v>
      </c>
      <c r="BM68" s="32">
        <v>0.85657370517928288</v>
      </c>
      <c r="BN68" s="32">
        <v>0.91106719367588929</v>
      </c>
      <c r="BO68" s="32">
        <v>0.92629482071713143</v>
      </c>
      <c r="BP68" s="32">
        <v>0.9189723320158103</v>
      </c>
      <c r="BQ68" s="32">
        <v>0.94466403162055335</v>
      </c>
      <c r="BR68" s="32">
        <v>0.95849802371541504</v>
      </c>
      <c r="BS68" s="32">
        <v>0.93824701195219129</v>
      </c>
      <c r="BT68" s="32">
        <v>0.94268774703557312</v>
      </c>
      <c r="BU68" s="32">
        <v>0.93434730867608073</v>
      </c>
      <c r="BV68" s="32">
        <v>0.91156766141768919</v>
      </c>
    </row>
    <row r="69" spans="33:74" x14ac:dyDescent="0.25">
      <c r="AG69" s="19" t="s">
        <v>132</v>
      </c>
      <c r="AH69" s="32">
        <v>0.8761160714285714</v>
      </c>
      <c r="AI69" s="32">
        <v>0.93805309734513276</v>
      </c>
      <c r="AJ69" s="32">
        <v>0.88738738738738743</v>
      </c>
      <c r="AK69" s="32">
        <v>0.90671217292377704</v>
      </c>
      <c r="AL69" s="32">
        <v>0.9095022624434389</v>
      </c>
      <c r="AM69" s="32">
        <v>0.89933628318584069</v>
      </c>
      <c r="AN69" s="32">
        <v>0.90877993158494874</v>
      </c>
      <c r="AO69" s="32">
        <v>0.90369817232844241</v>
      </c>
      <c r="AP69" s="32">
        <v>0.89932126696832582</v>
      </c>
      <c r="AQ69" s="32">
        <v>0.92743764172335597</v>
      </c>
      <c r="AR69" s="32">
        <v>0.92307692307692313</v>
      </c>
      <c r="AS69" s="32">
        <v>0.92848904267589394</v>
      </c>
      <c r="AT69" s="32">
        <v>0.9185267857142857</v>
      </c>
      <c r="AU69" s="32">
        <v>0.93475815523059613</v>
      </c>
      <c r="AV69" s="32">
        <v>0.91977401129943503</v>
      </c>
      <c r="AW69" s="32">
        <v>0.92162626095554512</v>
      </c>
      <c r="AX69" s="32">
        <v>0.87892898719441215</v>
      </c>
      <c r="AY69" s="32">
        <v>0.91438356164383561</v>
      </c>
      <c r="AZ69" s="32">
        <v>0.85263157894736841</v>
      </c>
      <c r="BA69" s="32">
        <v>0.84334511189634864</v>
      </c>
      <c r="BB69" s="32">
        <v>0.87285223367697595</v>
      </c>
      <c r="BC69" s="32">
        <v>0.88698630136986301</v>
      </c>
      <c r="BD69" s="32">
        <v>0.89874857792946528</v>
      </c>
      <c r="BE69" s="32">
        <v>0.87826805037975253</v>
      </c>
      <c r="BF69" s="32">
        <v>0.89383561643835618</v>
      </c>
      <c r="BG69" s="32">
        <v>0.81325301204819278</v>
      </c>
      <c r="BH69" s="32">
        <v>0.9125993189557321</v>
      </c>
      <c r="BI69" s="32">
        <v>0.88926174496644295</v>
      </c>
      <c r="BJ69" s="32">
        <v>0.88636363636363635</v>
      </c>
      <c r="BK69" s="32">
        <v>0.8178528347406514</v>
      </c>
      <c r="BL69" s="32">
        <v>0.87635054021608638</v>
      </c>
      <c r="BM69" s="32">
        <v>0.86993095767558537</v>
      </c>
      <c r="BN69" s="32">
        <v>0.88756756756756761</v>
      </c>
      <c r="BO69" s="32">
        <v>0.88752783964365256</v>
      </c>
      <c r="BP69" s="32">
        <v>0.87286324786324787</v>
      </c>
      <c r="BQ69" s="32">
        <v>0.91969196919691965</v>
      </c>
      <c r="BR69" s="32">
        <v>0.91270718232044201</v>
      </c>
      <c r="BS69" s="32">
        <v>0.89567147613762488</v>
      </c>
      <c r="BT69" s="32">
        <v>0.94033149171270713</v>
      </c>
      <c r="BU69" s="32">
        <v>0.90233725349173732</v>
      </c>
      <c r="BV69" s="32">
        <v>0.89517213896621273</v>
      </c>
    </row>
    <row r="70" spans="33:74" x14ac:dyDescent="0.25">
      <c r="AG70" s="19" t="s">
        <v>133</v>
      </c>
      <c r="AH70" s="32">
        <v>0.96485260770975056</v>
      </c>
      <c r="AI70" s="32">
        <v>0.98648648648648651</v>
      </c>
      <c r="AJ70" s="32">
        <v>0.97580645161290325</v>
      </c>
      <c r="AK70" s="32">
        <v>0.98858447488584478</v>
      </c>
      <c r="AL70" s="32">
        <v>0.98761261261261257</v>
      </c>
      <c r="AM70" s="32">
        <v>0.99423963133640558</v>
      </c>
      <c r="AN70" s="32">
        <v>0.9885057471264368</v>
      </c>
      <c r="AO70" s="32">
        <v>0.98372685882434852</v>
      </c>
      <c r="AP70" s="32">
        <v>0.91820276497695852</v>
      </c>
      <c r="AQ70" s="32">
        <v>0.97850678733031671</v>
      </c>
      <c r="AR70" s="32">
        <v>0.90646651270207856</v>
      </c>
      <c r="AS70" s="32">
        <v>0.95612009237875284</v>
      </c>
      <c r="AT70" s="32">
        <v>0.95039458850056369</v>
      </c>
      <c r="AU70" s="32">
        <v>0.967741935483871</v>
      </c>
      <c r="AV70" s="32">
        <v>0.98295454545454541</v>
      </c>
      <c r="AW70" s="32">
        <v>0.95148388954672669</v>
      </c>
      <c r="AX70" s="32">
        <v>0.86720554272517325</v>
      </c>
      <c r="AY70" s="32">
        <v>0.97241379310344822</v>
      </c>
      <c r="AZ70" s="32">
        <v>0.84180138568129326</v>
      </c>
      <c r="BA70" s="32">
        <v>0.83487297921478065</v>
      </c>
      <c r="BB70" s="32">
        <v>0.93886966551326412</v>
      </c>
      <c r="BC70" s="32">
        <v>0.95752009184845011</v>
      </c>
      <c r="BD70" s="32">
        <v>0.95652173913043481</v>
      </c>
      <c r="BE70" s="32">
        <v>0.90988645674526347</v>
      </c>
      <c r="BF70" s="32">
        <v>0.87528868360277134</v>
      </c>
      <c r="BG70" s="32">
        <v>0.73441108545034639</v>
      </c>
      <c r="BH70" s="32">
        <v>0.91454965357967666</v>
      </c>
      <c r="BI70" s="32">
        <v>0.94367816091954027</v>
      </c>
      <c r="BJ70" s="32">
        <v>0.86803185437997721</v>
      </c>
      <c r="BK70" s="32">
        <v>0.76212471131639725</v>
      </c>
      <c r="BL70" s="32">
        <v>0.84295612009237875</v>
      </c>
      <c r="BM70" s="32">
        <v>0.84872003847729816</v>
      </c>
      <c r="BN70" s="32">
        <v>0.92272202998846597</v>
      </c>
      <c r="BO70" s="32">
        <v>0.9094036697247706</v>
      </c>
      <c r="BP70" s="32">
        <v>0.94688221709006926</v>
      </c>
      <c r="BQ70" s="32">
        <v>0.96662830840046032</v>
      </c>
      <c r="BR70" s="32">
        <v>0.98179749715585896</v>
      </c>
      <c r="BS70" s="32">
        <v>0.96078431372549022</v>
      </c>
      <c r="BT70" s="32">
        <v>0.96449026345933564</v>
      </c>
      <c r="BU70" s="32">
        <v>0.95038689993492176</v>
      </c>
      <c r="BV70" s="32">
        <v>0.92884082870571194</v>
      </c>
    </row>
    <row r="71" spans="33:74" x14ac:dyDescent="0.25">
      <c r="AG71" s="19" t="s">
        <v>134</v>
      </c>
      <c r="AH71" s="32">
        <v>0.9315589353612167</v>
      </c>
      <c r="AI71" s="32">
        <v>0.9438202247191011</v>
      </c>
      <c r="AJ71" s="32">
        <v>0.93678160919540232</v>
      </c>
      <c r="AK71" s="32">
        <v>0.92322097378277157</v>
      </c>
      <c r="AL71" s="32">
        <v>0.93653846153846154</v>
      </c>
      <c r="AM71" s="32">
        <v>0.9213483146067416</v>
      </c>
      <c r="AN71" s="32">
        <v>0.95019157088122608</v>
      </c>
      <c r="AO71" s="32">
        <v>0.93478001286927448</v>
      </c>
      <c r="AP71" s="32">
        <v>0.93307839388145319</v>
      </c>
      <c r="AQ71" s="32">
        <v>0.967984934086629</v>
      </c>
      <c r="AR71" s="32">
        <v>0.92220113851992414</v>
      </c>
      <c r="AS71" s="32">
        <v>0.95018450184501846</v>
      </c>
      <c r="AT71" s="32">
        <v>0.92789373814041742</v>
      </c>
      <c r="AU71" s="32">
        <v>0.9455909943714822</v>
      </c>
      <c r="AV71" s="32">
        <v>0.9447619047619048</v>
      </c>
      <c r="AW71" s="32">
        <v>0.94167080080097543</v>
      </c>
      <c r="AX71" s="32">
        <v>0.92528735632183912</v>
      </c>
      <c r="AY71" s="32">
        <v>0.95716945996275604</v>
      </c>
      <c r="AZ71" s="32">
        <v>0.87332053742802307</v>
      </c>
      <c r="BA71" s="32">
        <v>0.87832699619771859</v>
      </c>
      <c r="BB71" s="32">
        <v>0.93258426966292129</v>
      </c>
      <c r="BC71" s="32">
        <v>0.94785847299813786</v>
      </c>
      <c r="BD71" s="32">
        <v>0.9457943925233645</v>
      </c>
      <c r="BE71" s="32">
        <v>0.92290592644210867</v>
      </c>
      <c r="BF71" s="32">
        <v>0.94486692015209128</v>
      </c>
      <c r="BG71" s="32">
        <v>0.77629063097514339</v>
      </c>
      <c r="BH71" s="32">
        <v>0.96660482374768086</v>
      </c>
      <c r="BI71" s="32">
        <v>0.94423791821561343</v>
      </c>
      <c r="BJ71" s="32">
        <v>0.9352380952380952</v>
      </c>
      <c r="BK71" s="32">
        <v>0.83235867446393763</v>
      </c>
      <c r="BL71" s="32">
        <v>0.90648854961832059</v>
      </c>
      <c r="BM71" s="32">
        <v>0.9008693732015548</v>
      </c>
      <c r="BN71" s="32">
        <v>0.9455909943714822</v>
      </c>
      <c r="BO71" s="32">
        <v>0.94402985074626866</v>
      </c>
      <c r="BP71" s="32">
        <v>0.949438202247191</v>
      </c>
      <c r="BQ71" s="32">
        <v>0.92193308550185871</v>
      </c>
      <c r="BR71" s="32">
        <v>0.94589552238805974</v>
      </c>
      <c r="BS71" s="32">
        <v>0.93530499075785578</v>
      </c>
      <c r="BT71" s="32">
        <v>0.93045112781954886</v>
      </c>
      <c r="BU71" s="32">
        <v>0.93894911054746644</v>
      </c>
      <c r="BV71" s="32">
        <v>0.92783504477227596</v>
      </c>
    </row>
    <row r="72" spans="33:74" x14ac:dyDescent="0.25">
      <c r="AG72" s="19" t="s">
        <v>135</v>
      </c>
      <c r="AH72" s="32">
        <v>0.97560975609756095</v>
      </c>
      <c r="AI72" s="32">
        <v>0.98121085594989566</v>
      </c>
      <c r="AJ72" s="32">
        <v>0.97772828507795095</v>
      </c>
      <c r="AK72" s="32">
        <v>0.94222222222222218</v>
      </c>
      <c r="AL72" s="32">
        <v>0.9678800856531049</v>
      </c>
      <c r="AM72" s="32">
        <v>0.9853249475890985</v>
      </c>
      <c r="AN72" s="32">
        <v>0.9678800856531049</v>
      </c>
      <c r="AO72" s="32">
        <v>0.9711223197489911</v>
      </c>
      <c r="AP72" s="32">
        <v>0.99126637554585151</v>
      </c>
      <c r="AQ72" s="32">
        <v>0.95614035087719296</v>
      </c>
      <c r="AR72" s="32">
        <v>0.94922737306843263</v>
      </c>
      <c r="AS72" s="32">
        <v>0.96078431372549022</v>
      </c>
      <c r="AT72" s="32">
        <v>0.97391304347826091</v>
      </c>
      <c r="AU72" s="32">
        <v>0.95493562231759654</v>
      </c>
      <c r="AV72" s="32">
        <v>0.98484848484848486</v>
      </c>
      <c r="AW72" s="32">
        <v>0.96730222340875849</v>
      </c>
      <c r="AX72" s="32">
        <v>0.87111111111111106</v>
      </c>
      <c r="AY72" s="32">
        <v>0.95424836601307195</v>
      </c>
      <c r="AZ72" s="32">
        <v>0.93377483443708609</v>
      </c>
      <c r="BA72" s="32">
        <v>0.89254385964912286</v>
      </c>
      <c r="BB72" s="32">
        <v>0.93791574279379153</v>
      </c>
      <c r="BC72" s="32">
        <v>0.97840172786177104</v>
      </c>
      <c r="BD72" s="32">
        <v>0.96760259179265662</v>
      </c>
      <c r="BE72" s="32">
        <v>0.93365689052265888</v>
      </c>
      <c r="BF72" s="32">
        <v>0.97327394209354123</v>
      </c>
      <c r="BG72" s="32">
        <v>0.83599088838268798</v>
      </c>
      <c r="BH72" s="32">
        <v>0.92650334075723828</v>
      </c>
      <c r="BI72" s="32">
        <v>0.94553376906318087</v>
      </c>
      <c r="BJ72" s="32">
        <v>0.9438202247191011</v>
      </c>
      <c r="BK72" s="32">
        <v>0.93548387096774188</v>
      </c>
      <c r="BL72" s="32">
        <v>0.8868778280542986</v>
      </c>
      <c r="BM72" s="32">
        <v>0.92106912343396985</v>
      </c>
      <c r="BN72" s="32">
        <v>0.98938428874734607</v>
      </c>
      <c r="BO72" s="32">
        <v>0.94827586206896552</v>
      </c>
      <c r="BP72" s="32">
        <v>0.94206008583690992</v>
      </c>
      <c r="BQ72" s="32">
        <v>0.95116772823779194</v>
      </c>
      <c r="BR72" s="32">
        <v>0.96280991735537191</v>
      </c>
      <c r="BS72" s="32">
        <v>0.93088552915766742</v>
      </c>
      <c r="BT72" s="32">
        <v>0.95569620253164556</v>
      </c>
      <c r="BU72" s="32">
        <v>0.95432565913367118</v>
      </c>
      <c r="BV72" s="32">
        <v>0.94949524324960977</v>
      </c>
    </row>
    <row r="73" spans="33:74" x14ac:dyDescent="0.25">
      <c r="AG73" s="19" t="s">
        <v>136</v>
      </c>
      <c r="AH73" s="32">
        <v>0.82872928176795579</v>
      </c>
      <c r="AI73" s="32">
        <v>0.88571428571428568</v>
      </c>
      <c r="AJ73" s="32">
        <v>0.84530386740331487</v>
      </c>
      <c r="AK73" s="32">
        <v>0.8729281767955801</v>
      </c>
      <c r="AL73" s="32">
        <v>0.86785714285714288</v>
      </c>
      <c r="AM73" s="32">
        <v>0.88339222614840984</v>
      </c>
      <c r="AN73" s="32">
        <v>0.88672566371681416</v>
      </c>
      <c r="AO73" s="32">
        <v>0.86723580634335762</v>
      </c>
      <c r="AP73" s="32">
        <v>0.87337057728119183</v>
      </c>
      <c r="AQ73" s="32">
        <v>0.88057040998217473</v>
      </c>
      <c r="AR73" s="32">
        <v>0.8423005565862709</v>
      </c>
      <c r="AS73" s="32">
        <v>0.83214285714285718</v>
      </c>
      <c r="AT73" s="32">
        <v>0.9</v>
      </c>
      <c r="AU73" s="32">
        <v>0.86170212765957444</v>
      </c>
      <c r="AV73" s="32">
        <v>0.89203539823008848</v>
      </c>
      <c r="AW73" s="32">
        <v>0.8688745609831654</v>
      </c>
      <c r="AX73" s="32">
        <v>0.83622350674373791</v>
      </c>
      <c r="AY73" s="32">
        <v>0.87003610108303253</v>
      </c>
      <c r="AZ73" s="32">
        <v>0.82978723404255317</v>
      </c>
      <c r="BA73" s="32">
        <v>0.80888030888030893</v>
      </c>
      <c r="BB73" s="32">
        <v>0.81294964028776984</v>
      </c>
      <c r="BC73" s="32">
        <v>0.87295825771324864</v>
      </c>
      <c r="BD73" s="32">
        <v>0.87791741472172347</v>
      </c>
      <c r="BE73" s="32">
        <v>0.84410749478176783</v>
      </c>
      <c r="BF73" s="32">
        <v>0.88475836431226762</v>
      </c>
      <c r="BG73" s="32">
        <v>0.68138195777351251</v>
      </c>
      <c r="BH73" s="32">
        <v>0.91836734693877553</v>
      </c>
      <c r="BI73" s="32">
        <v>0.94343065693430661</v>
      </c>
      <c r="BJ73" s="32">
        <v>0.91635687732342008</v>
      </c>
      <c r="BK73" s="32">
        <v>0.73735408560311289</v>
      </c>
      <c r="BL73" s="32">
        <v>0.81976744186046513</v>
      </c>
      <c r="BM73" s="32">
        <v>0.84305953296369418</v>
      </c>
      <c r="BN73" s="32">
        <v>0.87630662020905925</v>
      </c>
      <c r="BO73" s="32">
        <v>0.91272727272727272</v>
      </c>
      <c r="BP73" s="32">
        <v>0.90086956521739125</v>
      </c>
      <c r="BQ73" s="32">
        <v>0.89778534923339015</v>
      </c>
      <c r="BR73" s="32">
        <v>0.84775086505190311</v>
      </c>
      <c r="BS73" s="32">
        <v>0.9497307001795332</v>
      </c>
      <c r="BT73" s="32">
        <v>0.86481802426343157</v>
      </c>
      <c r="BU73" s="32">
        <v>0.8928554852688545</v>
      </c>
      <c r="BV73" s="32">
        <v>0.86322657606816799</v>
      </c>
    </row>
    <row r="74" spans="33:74" x14ac:dyDescent="0.25">
      <c r="AG74" s="19" t="s">
        <v>137</v>
      </c>
      <c r="AH74" s="32">
        <v>0.93357933579335795</v>
      </c>
      <c r="AI74" s="32">
        <v>0.9455445544554455</v>
      </c>
      <c r="AJ74" s="32">
        <v>0.92487684729064035</v>
      </c>
      <c r="AK74" s="32">
        <v>0.94581280788177335</v>
      </c>
      <c r="AL74" s="32">
        <v>0.95073891625615758</v>
      </c>
      <c r="AM74" s="32">
        <v>0.96801968019680196</v>
      </c>
      <c r="AN74" s="32">
        <v>0.96291718170580964</v>
      </c>
      <c r="AO74" s="32">
        <v>0.94735561765428389</v>
      </c>
      <c r="AP74" s="32">
        <v>0.92079207920792083</v>
      </c>
      <c r="AQ74" s="32">
        <v>0.9466501240694789</v>
      </c>
      <c r="AR74" s="32">
        <v>0.91831683168316836</v>
      </c>
      <c r="AS74" s="32">
        <v>0.94423791821561343</v>
      </c>
      <c r="AT74" s="32">
        <v>0.95049504950495045</v>
      </c>
      <c r="AU74" s="32">
        <v>0.95420792079207917</v>
      </c>
      <c r="AV74" s="32">
        <v>0.9523227383863081</v>
      </c>
      <c r="AW74" s="32">
        <v>0.94100323740850278</v>
      </c>
      <c r="AX74" s="32">
        <v>0.91385767790262173</v>
      </c>
      <c r="AY74" s="32">
        <v>0.95482295482295487</v>
      </c>
      <c r="AZ74" s="32">
        <v>0.88514357053682902</v>
      </c>
      <c r="BA74" s="32">
        <v>0.90876350540216089</v>
      </c>
      <c r="BB74" s="32">
        <v>0.92883895131086147</v>
      </c>
      <c r="BC74" s="32">
        <v>0.94840294840294836</v>
      </c>
      <c r="BD74" s="32">
        <v>0.93349455864570741</v>
      </c>
      <c r="BE74" s="32">
        <v>0.92476059528915477</v>
      </c>
      <c r="BF74" s="32">
        <v>0.95641344956413454</v>
      </c>
      <c r="BG74" s="32">
        <v>0.83193277310924374</v>
      </c>
      <c r="BH74" s="32">
        <v>0.95018679950186802</v>
      </c>
      <c r="BI74" s="32">
        <v>0.95249695493300857</v>
      </c>
      <c r="BJ74" s="32">
        <v>0.95392278953922793</v>
      </c>
      <c r="BK74" s="32">
        <v>0.84753901560624245</v>
      </c>
      <c r="BL74" s="32">
        <v>0.89756097560975612</v>
      </c>
      <c r="BM74" s="32">
        <v>0.91286467969478302</v>
      </c>
      <c r="BN74" s="32">
        <v>0.93536585365853664</v>
      </c>
      <c r="BO74" s="32">
        <v>0.90864799025578558</v>
      </c>
      <c r="BP74" s="32">
        <v>0.95365853658536581</v>
      </c>
      <c r="BQ74" s="32">
        <v>0.95390070921985815</v>
      </c>
      <c r="BR74" s="32">
        <v>0.96951219512195119</v>
      </c>
      <c r="BS74" s="32">
        <v>0.91888619854721554</v>
      </c>
      <c r="BT74" s="32">
        <v>0.95284159613059249</v>
      </c>
      <c r="BU74" s="32">
        <v>0.94183043993132931</v>
      </c>
      <c r="BV74" s="32">
        <v>0.93356291399561075</v>
      </c>
    </row>
    <row r="75" spans="33:74" x14ac:dyDescent="0.25">
      <c r="AG75" s="19" t="s">
        <v>138</v>
      </c>
      <c r="AH75" s="32">
        <v>0.98142857142857143</v>
      </c>
      <c r="AI75" s="32">
        <v>0.99137931034482762</v>
      </c>
      <c r="AJ75" s="32">
        <v>0.99429386590584878</v>
      </c>
      <c r="AK75" s="32">
        <v>1</v>
      </c>
      <c r="AL75" s="32">
        <v>0.99570815450643779</v>
      </c>
      <c r="AM75" s="32">
        <v>0.99284692417739628</v>
      </c>
      <c r="AN75" s="32">
        <v>1</v>
      </c>
      <c r="AO75" s="32">
        <v>0.99366526090901164</v>
      </c>
      <c r="AP75" s="32">
        <v>0.98976608187134507</v>
      </c>
      <c r="AQ75" s="32">
        <v>0.9971509971509972</v>
      </c>
      <c r="AR75" s="32">
        <v>0.97807017543859653</v>
      </c>
      <c r="AS75" s="32">
        <v>0.99275362318840576</v>
      </c>
      <c r="AT75" s="32">
        <v>0.98848920863309353</v>
      </c>
      <c r="AU75" s="32">
        <v>0.99713876967095849</v>
      </c>
      <c r="AV75" s="32">
        <v>0.99139167862266853</v>
      </c>
      <c r="AW75" s="32">
        <v>0.99068007636800925</v>
      </c>
      <c r="AX75" s="32">
        <v>0.967741935483871</v>
      </c>
      <c r="AY75" s="32">
        <v>0.99563953488372092</v>
      </c>
      <c r="AZ75" s="32">
        <v>0.97507331378299122</v>
      </c>
      <c r="BA75" s="32">
        <v>0.98973607038123168</v>
      </c>
      <c r="BB75" s="32">
        <v>0.98826979472140764</v>
      </c>
      <c r="BC75" s="32">
        <v>0.99421128798842262</v>
      </c>
      <c r="BD75" s="32">
        <v>0.99286733238231095</v>
      </c>
      <c r="BE75" s="32">
        <v>0.98621989566056523</v>
      </c>
      <c r="BF75" s="32">
        <v>0.99266862170087977</v>
      </c>
      <c r="BG75" s="32">
        <v>0.91788856304985333</v>
      </c>
      <c r="BH75" s="32">
        <v>0.98403483309143691</v>
      </c>
      <c r="BI75" s="32">
        <v>0.99140401146131807</v>
      </c>
      <c r="BJ75" s="32">
        <v>0.99565846599131691</v>
      </c>
      <c r="BK75" s="32">
        <v>0.95014662756598245</v>
      </c>
      <c r="BL75" s="32">
        <v>0.99120234604105573</v>
      </c>
      <c r="BM75" s="32">
        <v>0.97471478127169198</v>
      </c>
      <c r="BN75" s="32">
        <v>0.98697539797395084</v>
      </c>
      <c r="BO75" s="32">
        <v>0.99566473988439308</v>
      </c>
      <c r="BP75" s="32">
        <v>0.98280802292263614</v>
      </c>
      <c r="BQ75" s="32">
        <v>0.99422799422799424</v>
      </c>
      <c r="BR75" s="32">
        <v>0.99568345323741003</v>
      </c>
      <c r="BS75" s="32">
        <v>0.9985693848354793</v>
      </c>
      <c r="BT75" s="32">
        <v>0.99426934097421205</v>
      </c>
      <c r="BU75" s="32">
        <v>0.99259976200801092</v>
      </c>
      <c r="BV75" s="32">
        <v>0.98757595524345787</v>
      </c>
    </row>
    <row r="76" spans="33:74" x14ac:dyDescent="0.25">
      <c r="AG76" s="19" t="s">
        <v>139</v>
      </c>
      <c r="AH76" s="32">
        <v>0.85433070866141736</v>
      </c>
      <c r="AI76" s="32">
        <v>0.98529411764705888</v>
      </c>
      <c r="AJ76" s="32">
        <v>0.93680297397769519</v>
      </c>
      <c r="AK76" s="32">
        <v>0.94181818181818178</v>
      </c>
      <c r="AL76" s="32">
        <v>0.92395437262357416</v>
      </c>
      <c r="AM76" s="32">
        <v>0.96254681647940077</v>
      </c>
      <c r="AN76" s="32">
        <v>0.9101123595505618</v>
      </c>
      <c r="AO76" s="32">
        <v>0.93069421867969848</v>
      </c>
      <c r="AP76" s="32">
        <v>0.83712121212121215</v>
      </c>
      <c r="AQ76" s="32">
        <v>0.90909090909090906</v>
      </c>
      <c r="AR76" s="32">
        <v>0.85984848484848486</v>
      </c>
      <c r="AS76" s="32">
        <v>0.9101123595505618</v>
      </c>
      <c r="AT76" s="32">
        <v>0.91481481481481486</v>
      </c>
      <c r="AU76" s="32">
        <v>0.92509363295880154</v>
      </c>
      <c r="AV76" s="32">
        <v>0.94094488188976377</v>
      </c>
      <c r="AW76" s="32">
        <v>0.89957518503922107</v>
      </c>
      <c r="AX76" s="32">
        <v>0.77902621722846443</v>
      </c>
      <c r="AY76" s="32">
        <v>0.9101123595505618</v>
      </c>
      <c r="AZ76" s="32">
        <v>0.76029962546816476</v>
      </c>
      <c r="BA76" s="32">
        <v>0.81273408239700373</v>
      </c>
      <c r="BB76" s="32">
        <v>0.88014981273408244</v>
      </c>
      <c r="BC76" s="32">
        <v>0.9101123595505618</v>
      </c>
      <c r="BD76" s="32">
        <v>0.91760299625468167</v>
      </c>
      <c r="BE76" s="32">
        <v>0.85286249331193165</v>
      </c>
      <c r="BF76" s="32">
        <v>0.8539325842696629</v>
      </c>
      <c r="BG76" s="32">
        <v>0.79591836734693877</v>
      </c>
      <c r="BH76" s="32">
        <v>0.89513108614232206</v>
      </c>
      <c r="BI76" s="32">
        <v>0.9101123595505618</v>
      </c>
      <c r="BJ76" s="32">
        <v>0.87777777777777777</v>
      </c>
      <c r="BK76" s="32">
        <v>0.77272727272727271</v>
      </c>
      <c r="BL76" s="32">
        <v>0.84469696969696972</v>
      </c>
      <c r="BM76" s="32">
        <v>0.85004234535878653</v>
      </c>
      <c r="BN76" s="32">
        <v>0.88086642599277976</v>
      </c>
      <c r="BO76" s="32">
        <v>0.967741935483871</v>
      </c>
      <c r="BP76" s="32">
        <v>0.90252707581227432</v>
      </c>
      <c r="BQ76" s="32">
        <v>0.955719557195572</v>
      </c>
      <c r="BR76" s="32">
        <v>0.91385767790262173</v>
      </c>
      <c r="BS76" s="32">
        <v>0.94758064516129037</v>
      </c>
      <c r="BT76" s="32">
        <v>0.91760299625468167</v>
      </c>
      <c r="BU76" s="32">
        <v>0.92655661625758434</v>
      </c>
      <c r="BV76" s="32">
        <v>0.89194617172944446</v>
      </c>
    </row>
    <row r="77" spans="33:74" x14ac:dyDescent="0.25">
      <c r="AG77" s="19" t="s">
        <v>140</v>
      </c>
      <c r="AH77" s="32">
        <v>0.94059405940594054</v>
      </c>
      <c r="AI77" s="32">
        <v>0.95345557122708036</v>
      </c>
      <c r="AJ77" s="32">
        <v>0.95049504950495045</v>
      </c>
      <c r="AK77" s="32">
        <v>0.97029702970297027</v>
      </c>
      <c r="AL77" s="32">
        <v>0.96483825597749651</v>
      </c>
      <c r="AM77" s="32">
        <v>0.95063469675599432</v>
      </c>
      <c r="AN77" s="32">
        <v>0.95756718528995755</v>
      </c>
      <c r="AO77" s="32">
        <v>0.95541169255205571</v>
      </c>
      <c r="AP77" s="32">
        <v>0.88401697312588401</v>
      </c>
      <c r="AQ77" s="32">
        <v>0.97482517482517483</v>
      </c>
      <c r="AR77" s="32">
        <v>0.87128712871287128</v>
      </c>
      <c r="AS77" s="32">
        <v>0.94342291371994347</v>
      </c>
      <c r="AT77" s="32">
        <v>0.95473833097595473</v>
      </c>
      <c r="AU77" s="32">
        <v>0.95921237693389594</v>
      </c>
      <c r="AV77" s="32">
        <v>0.96061884669479602</v>
      </c>
      <c r="AW77" s="32">
        <v>0.9354459635697886</v>
      </c>
      <c r="AX77" s="32">
        <v>0.85007072135785011</v>
      </c>
      <c r="AY77" s="32">
        <v>0.95774647887323938</v>
      </c>
      <c r="AZ77" s="32">
        <v>0.81188118811881194</v>
      </c>
      <c r="BA77" s="32">
        <v>0.8161244695898161</v>
      </c>
      <c r="BB77" s="32">
        <v>0.89957567185289955</v>
      </c>
      <c r="BC77" s="32">
        <v>0.95091164095371672</v>
      </c>
      <c r="BD77" s="32">
        <v>0.95652173913043481</v>
      </c>
      <c r="BE77" s="32">
        <v>0.8918331299823955</v>
      </c>
      <c r="BF77" s="32">
        <v>0.90664780763790664</v>
      </c>
      <c r="BG77" s="32">
        <v>0.72984441301272984</v>
      </c>
      <c r="BH77" s="32">
        <v>0.95049504950495045</v>
      </c>
      <c r="BI77" s="32">
        <v>0.9438202247191011</v>
      </c>
      <c r="BJ77" s="32">
        <v>0.91230551626591228</v>
      </c>
      <c r="BK77" s="32">
        <v>0.7482319660537482</v>
      </c>
      <c r="BL77" s="32">
        <v>0.85997171145686002</v>
      </c>
      <c r="BM77" s="32">
        <v>0.86447381266445844</v>
      </c>
      <c r="BN77" s="32">
        <v>0.93408134642356244</v>
      </c>
      <c r="BO77" s="32">
        <v>0.89250353606789246</v>
      </c>
      <c r="BP77" s="32">
        <v>0.9186535764375876</v>
      </c>
      <c r="BQ77" s="32">
        <v>0.92777777777777781</v>
      </c>
      <c r="BR77" s="32">
        <v>0.96061884669479602</v>
      </c>
      <c r="BS77" s="32">
        <v>0.94514767932489452</v>
      </c>
      <c r="BT77" s="32">
        <v>0.94965034965034967</v>
      </c>
      <c r="BU77" s="32">
        <v>0.93263330176812287</v>
      </c>
      <c r="BV77" s="32">
        <v>0.91595958010736411</v>
      </c>
    </row>
    <row r="78" spans="33:74" x14ac:dyDescent="0.25">
      <c r="AG78" s="19" t="s">
        <v>141</v>
      </c>
      <c r="AH78" s="32">
        <v>0.849942726231386</v>
      </c>
      <c r="AI78" s="32">
        <v>0.8512763596004439</v>
      </c>
      <c r="AJ78" s="32">
        <v>0.88317757009345799</v>
      </c>
      <c r="AK78" s="32">
        <v>0.90723981900452488</v>
      </c>
      <c r="AL78" s="32">
        <v>0.88228699551569512</v>
      </c>
      <c r="AM78" s="32">
        <v>0.87227074235807855</v>
      </c>
      <c r="AN78" s="32">
        <v>0.87554585152838427</v>
      </c>
      <c r="AO78" s="32">
        <v>0.87453429490456724</v>
      </c>
      <c r="AP78" s="32">
        <v>0.82366589327146167</v>
      </c>
      <c r="AQ78" s="32">
        <v>0.87748344370860931</v>
      </c>
      <c r="AR78" s="32">
        <v>0.84460260972716483</v>
      </c>
      <c r="AS78" s="32">
        <v>0.85745614035087714</v>
      </c>
      <c r="AT78" s="32">
        <v>0.83765501691093569</v>
      </c>
      <c r="AU78" s="32">
        <v>0.87636761487964987</v>
      </c>
      <c r="AV78" s="32">
        <v>0.86459489456159822</v>
      </c>
      <c r="AW78" s="32">
        <v>0.85454651620147093</v>
      </c>
      <c r="AX78" s="32">
        <v>0.74941995359628766</v>
      </c>
      <c r="AY78" s="32">
        <v>0.8794642857142857</v>
      </c>
      <c r="AZ78" s="32">
        <v>0.75174013921113692</v>
      </c>
      <c r="BA78" s="32">
        <v>0.7917146144994246</v>
      </c>
      <c r="BB78" s="32">
        <v>0.79333333333333333</v>
      </c>
      <c r="BC78" s="32">
        <v>0.85094549499443828</v>
      </c>
      <c r="BD78" s="32">
        <v>0.81664791901012368</v>
      </c>
      <c r="BE78" s="32">
        <v>0.80475224862271866</v>
      </c>
      <c r="BF78" s="32">
        <v>0.82603686635944695</v>
      </c>
      <c r="BG78" s="32">
        <v>0.71698113207547165</v>
      </c>
      <c r="BH78" s="32">
        <v>0.84757505773672059</v>
      </c>
      <c r="BI78" s="32">
        <v>0.87527839643652561</v>
      </c>
      <c r="BJ78" s="32">
        <v>0.82990867579908678</v>
      </c>
      <c r="BK78" s="32">
        <v>0.73231132075471694</v>
      </c>
      <c r="BL78" s="32">
        <v>0.78604651162790695</v>
      </c>
      <c r="BM78" s="32">
        <v>0.80201970868426797</v>
      </c>
      <c r="BN78" s="32">
        <v>0.86788154897494307</v>
      </c>
      <c r="BO78" s="32">
        <v>0.82326283987915405</v>
      </c>
      <c r="BP78" s="32">
        <v>0.8649592549476135</v>
      </c>
      <c r="BQ78" s="32">
        <v>0.88228699551569512</v>
      </c>
      <c r="BR78" s="32">
        <v>0.891156462585034</v>
      </c>
      <c r="BS78" s="32">
        <v>0.86264822134387353</v>
      </c>
      <c r="BT78" s="32">
        <v>0.88004362050163576</v>
      </c>
      <c r="BU78" s="32">
        <v>0.86746270624970701</v>
      </c>
      <c r="BV78" s="32">
        <v>0.84066309493254632</v>
      </c>
    </row>
    <row r="79" spans="33:74" x14ac:dyDescent="0.25">
      <c r="AG79" s="19" t="s">
        <v>142</v>
      </c>
      <c r="AH79" s="32">
        <v>0.92838709677419351</v>
      </c>
      <c r="AI79" s="32">
        <v>0.95085066162570886</v>
      </c>
      <c r="AJ79" s="32">
        <v>0.88451935081148569</v>
      </c>
      <c r="AK79" s="32">
        <v>0.94006514657980456</v>
      </c>
      <c r="AL79" s="32">
        <v>0.92394720301697042</v>
      </c>
      <c r="AM79" s="32">
        <v>0.94650723725613595</v>
      </c>
      <c r="AN79" s="32">
        <v>0.9127228027043639</v>
      </c>
      <c r="AO79" s="32">
        <v>0.92671421410980914</v>
      </c>
      <c r="AP79" s="32">
        <v>0.91682184978274361</v>
      </c>
      <c r="AQ79" s="32">
        <v>0.91076923076923078</v>
      </c>
      <c r="AR79" s="32">
        <v>0.89636027143738428</v>
      </c>
      <c r="AS79" s="32">
        <v>0.93526084223758643</v>
      </c>
      <c r="AT79" s="32">
        <v>0.90842935112189205</v>
      </c>
      <c r="AU79" s="32">
        <v>0.89540507859733975</v>
      </c>
      <c r="AV79" s="32">
        <v>0.90018148820326682</v>
      </c>
      <c r="AW79" s="32">
        <v>0.90903258744992044</v>
      </c>
      <c r="AX79" s="32">
        <v>0.91792929292929293</v>
      </c>
      <c r="AY79" s="32">
        <v>0.95285983658076678</v>
      </c>
      <c r="AZ79" s="32">
        <v>0.86580086580086579</v>
      </c>
      <c r="BA79" s="32">
        <v>0.81287605294825516</v>
      </c>
      <c r="BB79" s="32">
        <v>0.94871794871794868</v>
      </c>
      <c r="BC79" s="32">
        <v>0.97085492227979275</v>
      </c>
      <c r="BD79" s="32">
        <v>0.93869731800766287</v>
      </c>
      <c r="BE79" s="32">
        <v>0.9153908910377978</v>
      </c>
      <c r="BF79" s="32">
        <v>0.86341463414634145</v>
      </c>
      <c r="BG79" s="32">
        <v>0.81287605294825516</v>
      </c>
      <c r="BH79" s="32">
        <v>0.90602721970187949</v>
      </c>
      <c r="BI79" s="32">
        <v>0.91893644617380021</v>
      </c>
      <c r="BJ79" s="32">
        <v>0.91301504251144538</v>
      </c>
      <c r="BK79" s="32">
        <v>0.78249841471147752</v>
      </c>
      <c r="BL79" s="32">
        <v>0.83571428571428574</v>
      </c>
      <c r="BM79" s="32">
        <v>0.86178315655821203</v>
      </c>
      <c r="BN79" s="32">
        <v>0.93207547169811322</v>
      </c>
      <c r="BO79" s="32">
        <v>0.90109184328837511</v>
      </c>
      <c r="BP79" s="32">
        <v>0.92830188679245285</v>
      </c>
      <c r="BQ79" s="32">
        <v>0.93914680050188204</v>
      </c>
      <c r="BR79" s="32">
        <v>0.94562500000000005</v>
      </c>
      <c r="BS79" s="32">
        <v>0.90225080385852086</v>
      </c>
      <c r="BT79" s="32">
        <v>0.94162436548223349</v>
      </c>
      <c r="BU79" s="32">
        <v>0.92715945308879688</v>
      </c>
      <c r="BV79" s="32">
        <v>0.90801606044890737</v>
      </c>
    </row>
    <row r="80" spans="33:74" x14ac:dyDescent="0.25">
      <c r="AG80" s="19" t="s">
        <v>143</v>
      </c>
      <c r="AH80" s="32">
        <v>0.96108108108108103</v>
      </c>
      <c r="AI80" s="32">
        <v>0.95497382198952885</v>
      </c>
      <c r="AJ80" s="32">
        <v>0.95310796074154858</v>
      </c>
      <c r="AK80" s="32">
        <v>0.93633369923161358</v>
      </c>
      <c r="AL80" s="32">
        <v>0.977491961414791</v>
      </c>
      <c r="AM80" s="32">
        <v>0.98113207547169812</v>
      </c>
      <c r="AN80" s="32">
        <v>0.95872033023735814</v>
      </c>
      <c r="AO80" s="32">
        <v>0.96040584716680277</v>
      </c>
      <c r="AP80" s="32">
        <v>0.94288793103448276</v>
      </c>
      <c r="AQ80" s="32">
        <v>0.95314164004259849</v>
      </c>
      <c r="AR80" s="32">
        <v>0.94559303590859634</v>
      </c>
      <c r="AS80" s="32">
        <v>0.9360341151385928</v>
      </c>
      <c r="AT80" s="32">
        <v>0.97659574468085109</v>
      </c>
      <c r="AU80" s="32">
        <v>0.96133190118152523</v>
      </c>
      <c r="AV80" s="32">
        <v>0.98936170212765961</v>
      </c>
      <c r="AW80" s="32">
        <v>0.95784943858775817</v>
      </c>
      <c r="AX80" s="32">
        <v>0.95968645016797316</v>
      </c>
      <c r="AY80" s="32">
        <v>0.96927966101694918</v>
      </c>
      <c r="AZ80" s="32">
        <v>0.91153415453527431</v>
      </c>
      <c r="BA80" s="32">
        <v>0.92255125284738038</v>
      </c>
      <c r="BB80" s="32">
        <v>0.94220283533260629</v>
      </c>
      <c r="BC80" s="32">
        <v>0.96183206106870234</v>
      </c>
      <c r="BD80" s="32">
        <v>0.96931216931216935</v>
      </c>
      <c r="BE80" s="32">
        <v>0.94805694061157919</v>
      </c>
      <c r="BF80" s="32">
        <v>0.9358974358974359</v>
      </c>
      <c r="BG80" s="32">
        <v>0.8321513002364066</v>
      </c>
      <c r="BH80" s="32">
        <v>0.91744186046511633</v>
      </c>
      <c r="BI80" s="32">
        <v>0.93189964157706096</v>
      </c>
      <c r="BJ80" s="32">
        <v>0.87773933102652824</v>
      </c>
      <c r="BK80" s="32">
        <v>0.84397163120567376</v>
      </c>
      <c r="BL80" s="32">
        <v>0.89942196531791907</v>
      </c>
      <c r="BM80" s="32">
        <v>0.89121759510373444</v>
      </c>
      <c r="BN80" s="32">
        <v>0.90807174887892372</v>
      </c>
      <c r="BO80" s="32">
        <v>0.92650602409638549</v>
      </c>
      <c r="BP80" s="32">
        <v>0.90523968784838349</v>
      </c>
      <c r="BQ80" s="32">
        <v>0.88877005347593585</v>
      </c>
      <c r="BR80" s="32">
        <v>0.92794759825327511</v>
      </c>
      <c r="BS80" s="32">
        <v>0.9428238039673279</v>
      </c>
      <c r="BT80" s="32">
        <v>0.93150684931506844</v>
      </c>
      <c r="BU80" s="32">
        <v>0.91869510940504284</v>
      </c>
      <c r="BV80" s="32">
        <v>0.93524498617498364</v>
      </c>
    </row>
    <row r="81" spans="33:74" x14ac:dyDescent="0.25">
      <c r="AG81" s="19" t="s">
        <v>144</v>
      </c>
      <c r="AH81" s="32">
        <v>0.89788408463661451</v>
      </c>
      <c r="AI81" s="32">
        <v>0.93302752293577984</v>
      </c>
      <c r="AJ81" s="32">
        <v>0.93202979515828677</v>
      </c>
      <c r="AK81" s="32">
        <v>0.91643192488262915</v>
      </c>
      <c r="AL81" s="32">
        <v>0.93548387096774188</v>
      </c>
      <c r="AM81" s="32">
        <v>0.94079555966697503</v>
      </c>
      <c r="AN81" s="32">
        <v>0.91963470319634699</v>
      </c>
      <c r="AO81" s="32">
        <v>0.92504106592062485</v>
      </c>
      <c r="AP81" s="32">
        <v>0.87028518859245629</v>
      </c>
      <c r="AQ81" s="32">
        <v>0.94838709677419353</v>
      </c>
      <c r="AR81" s="32">
        <v>0.87802607076350092</v>
      </c>
      <c r="AS81" s="32">
        <v>0.89266055045871562</v>
      </c>
      <c r="AT81" s="32">
        <v>0.89972401103955846</v>
      </c>
      <c r="AU81" s="32">
        <v>0.91720331186752535</v>
      </c>
      <c r="AV81" s="32">
        <v>0.91042047531992687</v>
      </c>
      <c r="AW81" s="32">
        <v>0.90238667211655377</v>
      </c>
      <c r="AX81" s="32">
        <v>0.85556577736890527</v>
      </c>
      <c r="AY81" s="32">
        <v>0.90165441176470584</v>
      </c>
      <c r="AZ81" s="32">
        <v>0.84513692162417375</v>
      </c>
      <c r="BA81" s="32">
        <v>0.8706654170571696</v>
      </c>
      <c r="BB81" s="32">
        <v>0.88776448942042319</v>
      </c>
      <c r="BC81" s="32">
        <v>0.90633608815427003</v>
      </c>
      <c r="BD81" s="32">
        <v>0.89052437902483905</v>
      </c>
      <c r="BE81" s="32">
        <v>0.87966392634492674</v>
      </c>
      <c r="BF81" s="32">
        <v>0.86308973172987979</v>
      </c>
      <c r="BG81" s="32">
        <v>0.77434456928838946</v>
      </c>
      <c r="BH81" s="32">
        <v>0.90018656716417911</v>
      </c>
      <c r="BI81" s="32">
        <v>0.93215613382899631</v>
      </c>
      <c r="BJ81" s="32">
        <v>0.90708371665133392</v>
      </c>
      <c r="BK81" s="32">
        <v>0.7990654205607477</v>
      </c>
      <c r="BL81" s="32">
        <v>0.87150837988826813</v>
      </c>
      <c r="BM81" s="32">
        <v>0.86391921701597063</v>
      </c>
      <c r="BN81" s="32">
        <v>0.92824287028518859</v>
      </c>
      <c r="BO81" s="32">
        <v>0.91666666666666663</v>
      </c>
      <c r="BP81" s="32">
        <v>0.93492208982584779</v>
      </c>
      <c r="BQ81" s="32">
        <v>0.94731977818853974</v>
      </c>
      <c r="BR81" s="32">
        <v>0.92765567765567769</v>
      </c>
      <c r="BS81" s="32">
        <v>0.93638914873713752</v>
      </c>
      <c r="BT81" s="32">
        <v>0.9123287671232877</v>
      </c>
      <c r="BU81" s="32">
        <v>0.92907499978319219</v>
      </c>
      <c r="BV81" s="32">
        <v>0.90001717623625366</v>
      </c>
    </row>
    <row r="82" spans="33:74" x14ac:dyDescent="0.25">
      <c r="AG82" s="19" t="s">
        <v>145</v>
      </c>
      <c r="AH82" s="32">
        <v>0.9464285714285714</v>
      </c>
      <c r="AI82" s="32">
        <v>0.97450980392156861</v>
      </c>
      <c r="AJ82" s="32">
        <v>0.90693069306930696</v>
      </c>
      <c r="AK82" s="32">
        <v>0.95039682539682535</v>
      </c>
      <c r="AL82" s="32">
        <v>0.95427435387673953</v>
      </c>
      <c r="AM82" s="32">
        <v>0.97053045186640474</v>
      </c>
      <c r="AN82" s="32">
        <v>0.9393346379647749</v>
      </c>
      <c r="AO82" s="32">
        <v>0.94891504821774164</v>
      </c>
      <c r="AP82" s="32">
        <v>0.94106090373280948</v>
      </c>
      <c r="AQ82" s="32">
        <v>0.98058252427184467</v>
      </c>
      <c r="AR82" s="32">
        <v>0.9392156862745098</v>
      </c>
      <c r="AS82" s="32">
        <v>0.95348837209302328</v>
      </c>
      <c r="AT82" s="32">
        <v>0.99025341130604283</v>
      </c>
      <c r="AU82" s="32">
        <v>0.98255813953488369</v>
      </c>
      <c r="AV82" s="32">
        <v>0.97029702970297027</v>
      </c>
      <c r="AW82" s="32">
        <v>0.96535086670229775</v>
      </c>
      <c r="AX82" s="32">
        <v>0.91041666666666665</v>
      </c>
      <c r="AY82" s="32">
        <v>0.984375</v>
      </c>
      <c r="AZ82" s="32">
        <v>0.85416666666666663</v>
      </c>
      <c r="BA82" s="32">
        <v>0.86250000000000004</v>
      </c>
      <c r="BB82" s="32">
        <v>0.85626283367556466</v>
      </c>
      <c r="BC82" s="32">
        <v>0.96620278330019882</v>
      </c>
      <c r="BD82" s="32">
        <v>0.91129032258064513</v>
      </c>
      <c r="BE82" s="32">
        <v>0.90645918184139174</v>
      </c>
      <c r="BF82" s="32">
        <v>0.83505154639175261</v>
      </c>
      <c r="BG82" s="32">
        <v>0.78079331941544883</v>
      </c>
      <c r="BH82" s="32">
        <v>0.85889570552147243</v>
      </c>
      <c r="BI82" s="32">
        <v>0.86746987951807231</v>
      </c>
      <c r="BJ82" s="32">
        <v>0.80584551148225469</v>
      </c>
      <c r="BK82" s="32">
        <v>0.79540709812108557</v>
      </c>
      <c r="BL82" s="32">
        <v>0.80125523012552302</v>
      </c>
      <c r="BM82" s="32">
        <v>0.82067404151080137</v>
      </c>
      <c r="BN82" s="32">
        <v>0.89840637450199201</v>
      </c>
      <c r="BO82" s="32">
        <v>0.86862745098039218</v>
      </c>
      <c r="BP82" s="32">
        <v>0.92644135188866794</v>
      </c>
      <c r="BQ82" s="32">
        <v>0.94324853228962813</v>
      </c>
      <c r="BR82" s="32">
        <v>0.92292490118577075</v>
      </c>
      <c r="BS82" s="32">
        <v>0.90532544378698221</v>
      </c>
      <c r="BT82" s="32">
        <v>0.89783889980353637</v>
      </c>
      <c r="BU82" s="32">
        <v>0.90897327920528148</v>
      </c>
      <c r="BV82" s="32">
        <v>0.91007448349550246</v>
      </c>
    </row>
    <row r="83" spans="33:74" x14ac:dyDescent="0.25">
      <c r="AG83" s="19" t="s">
        <v>146</v>
      </c>
      <c r="AH83" s="32">
        <v>0.95161290322580649</v>
      </c>
      <c r="AI83" s="32">
        <v>0.95399999999999996</v>
      </c>
      <c r="AJ83" s="32">
        <v>0.95114656031904288</v>
      </c>
      <c r="AK83" s="32">
        <v>0.94699999999999995</v>
      </c>
      <c r="AL83" s="32">
        <v>0.9739217652958877</v>
      </c>
      <c r="AM83" s="32">
        <v>0.96392785571142281</v>
      </c>
      <c r="AN83" s="32">
        <v>0.96837944664031617</v>
      </c>
      <c r="AO83" s="32">
        <v>0.95856979017035371</v>
      </c>
      <c r="AP83" s="32">
        <v>0.94265593561368211</v>
      </c>
      <c r="AQ83" s="32">
        <v>0.96399999999999997</v>
      </c>
      <c r="AR83" s="32">
        <v>0.94848484848484849</v>
      </c>
      <c r="AS83" s="32">
        <v>0.94259818731117828</v>
      </c>
      <c r="AT83" s="32">
        <v>0.9487437185929648</v>
      </c>
      <c r="AU83" s="32">
        <v>0.97713717693836977</v>
      </c>
      <c r="AV83" s="32">
        <v>0.96906187624750495</v>
      </c>
      <c r="AW83" s="32">
        <v>0.95609739188407838</v>
      </c>
      <c r="AX83" s="32">
        <v>0.92176529588766298</v>
      </c>
      <c r="AY83" s="32">
        <v>0.96299999999999997</v>
      </c>
      <c r="AZ83" s="32">
        <v>0.89067201604814439</v>
      </c>
      <c r="BA83" s="32">
        <v>0.86359077231695081</v>
      </c>
      <c r="BB83" s="32">
        <v>0.96389167502507522</v>
      </c>
      <c r="BC83" s="32">
        <v>0.97720515361744298</v>
      </c>
      <c r="BD83" s="32">
        <v>0.97011952191235062</v>
      </c>
      <c r="BE83" s="32">
        <v>0.93574920497251812</v>
      </c>
      <c r="BF83" s="32">
        <v>0.92276830491474426</v>
      </c>
      <c r="BG83" s="32">
        <v>0.80742226680040119</v>
      </c>
      <c r="BH83" s="32">
        <v>0.92477432296890671</v>
      </c>
      <c r="BI83" s="32">
        <v>0.96978851963746227</v>
      </c>
      <c r="BJ83" s="32">
        <v>0.92660550458715596</v>
      </c>
      <c r="BK83" s="32">
        <v>0.83450351053159477</v>
      </c>
      <c r="BL83" s="32">
        <v>0.8935516888433982</v>
      </c>
      <c r="BM83" s="32">
        <v>0.8970591597548091</v>
      </c>
      <c r="BN83" s="32">
        <v>0.96819085487077539</v>
      </c>
      <c r="BO83" s="32">
        <v>0.95586760280842531</v>
      </c>
      <c r="BP83" s="32">
        <v>0.95436507936507942</v>
      </c>
      <c r="BQ83" s="32">
        <v>0.96376101860920671</v>
      </c>
      <c r="BR83" s="32">
        <v>0.96421663442940042</v>
      </c>
      <c r="BS83" s="32">
        <v>0.97786720321931586</v>
      </c>
      <c r="BT83" s="32">
        <v>0.96231884057971018</v>
      </c>
      <c r="BU83" s="32">
        <v>0.96379817626884468</v>
      </c>
      <c r="BV83" s="32">
        <v>0.94225474461012093</v>
      </c>
    </row>
    <row r="84" spans="33:74" x14ac:dyDescent="0.25">
      <c r="AG84" s="19" t="s">
        <v>147</v>
      </c>
      <c r="AH84" s="32">
        <v>0.96410256410256412</v>
      </c>
      <c r="AI84" s="32">
        <v>0.98560000000000003</v>
      </c>
      <c r="AJ84" s="32">
        <v>0.92544570502431123</v>
      </c>
      <c r="AK84" s="32">
        <v>0.9646869983948636</v>
      </c>
      <c r="AL84" s="32">
        <v>0.96955128205128205</v>
      </c>
      <c r="AM84" s="32">
        <v>0.98080000000000001</v>
      </c>
      <c r="AN84" s="32">
        <v>0.97596153846153844</v>
      </c>
      <c r="AO84" s="32">
        <v>0.96659258400493719</v>
      </c>
      <c r="AP84" s="32">
        <v>0.93300653594771243</v>
      </c>
      <c r="AQ84" s="32">
        <v>0.98560000000000003</v>
      </c>
      <c r="AR84" s="32">
        <v>0.93954248366013071</v>
      </c>
      <c r="AS84" s="32">
        <v>0.95161290322580649</v>
      </c>
      <c r="AT84" s="32">
        <v>0.97119999999999995</v>
      </c>
      <c r="AU84" s="32">
        <v>0.96153846153846156</v>
      </c>
      <c r="AV84" s="32">
        <v>0.97760000000000002</v>
      </c>
      <c r="AW84" s="32">
        <v>0.96001434062458724</v>
      </c>
      <c r="AX84" s="32">
        <v>0.85057471264367812</v>
      </c>
      <c r="AY84" s="32">
        <v>0.94628751974723535</v>
      </c>
      <c r="AZ84" s="32">
        <v>0.88778877887788776</v>
      </c>
      <c r="BA84" s="32">
        <v>0.9096774193548387</v>
      </c>
      <c r="BB84" s="32">
        <v>0.86421725239616609</v>
      </c>
      <c r="BC84" s="32">
        <v>0.92344497607655507</v>
      </c>
      <c r="BD84" s="32">
        <v>0.87060702875399365</v>
      </c>
      <c r="BE84" s="32">
        <v>0.89322824112147925</v>
      </c>
      <c r="BF84" s="32">
        <v>0.90982286634460552</v>
      </c>
      <c r="BG84" s="32">
        <v>0.84193548387096773</v>
      </c>
      <c r="BH84" s="32">
        <v>0.90938511326860838</v>
      </c>
      <c r="BI84" s="32">
        <v>0.94867549668874174</v>
      </c>
      <c r="BJ84" s="32">
        <v>0.90694006309148267</v>
      </c>
      <c r="BK84" s="32">
        <v>0.84814216478190629</v>
      </c>
      <c r="BL84" s="32">
        <v>0.88064516129032255</v>
      </c>
      <c r="BM84" s="32">
        <v>0.89222090704809076</v>
      </c>
      <c r="BN84" s="32">
        <v>0.91836734693877553</v>
      </c>
      <c r="BO84" s="32">
        <v>0.93152866242038213</v>
      </c>
      <c r="BP84" s="32">
        <v>0.90749601275917069</v>
      </c>
      <c r="BQ84" s="32">
        <v>0.92638036809815949</v>
      </c>
      <c r="BR84" s="32">
        <v>0.91755725190839699</v>
      </c>
      <c r="BS84" s="32">
        <v>0.91352201257861632</v>
      </c>
      <c r="BT84" s="32">
        <v>0.92500000000000004</v>
      </c>
      <c r="BU84" s="32">
        <v>0.91997880781478591</v>
      </c>
      <c r="BV84" s="32">
        <v>0.92640697612277612</v>
      </c>
    </row>
    <row r="85" spans="33:74" x14ac:dyDescent="0.25">
      <c r="AG85" s="19" t="s">
        <v>148</v>
      </c>
      <c r="AH85" s="32">
        <v>0.88437500000000002</v>
      </c>
      <c r="AI85" s="32">
        <v>0.88906009244992301</v>
      </c>
      <c r="AJ85" s="32">
        <v>0.81664098613251157</v>
      </c>
      <c r="AK85" s="32">
        <v>0.82790697674418601</v>
      </c>
      <c r="AL85" s="32">
        <v>0.88479262672811065</v>
      </c>
      <c r="AM85" s="32">
        <v>0.89723926380368102</v>
      </c>
      <c r="AN85" s="32">
        <v>0.89400921658986177</v>
      </c>
      <c r="AO85" s="32">
        <v>0.8705748803497535</v>
      </c>
      <c r="AP85" s="32">
        <v>0.83956386292834895</v>
      </c>
      <c r="AQ85" s="32">
        <v>0.83204930662557786</v>
      </c>
      <c r="AR85" s="32">
        <v>0.82325581395348835</v>
      </c>
      <c r="AS85" s="32">
        <v>0.8222565687789799</v>
      </c>
      <c r="AT85" s="32">
        <v>0.83881064162754304</v>
      </c>
      <c r="AU85" s="32">
        <v>0.83229813664596275</v>
      </c>
      <c r="AV85" s="32">
        <v>0.84012539184952983</v>
      </c>
      <c r="AW85" s="32">
        <v>0.83262281748706157</v>
      </c>
      <c r="AX85" s="32">
        <v>0.83206106870229013</v>
      </c>
      <c r="AY85" s="32">
        <v>0.83717357910906298</v>
      </c>
      <c r="AZ85" s="32">
        <v>0.81747269890795626</v>
      </c>
      <c r="BA85" s="32">
        <v>0.79581993569131837</v>
      </c>
      <c r="BB85" s="32">
        <v>0.87576687116564422</v>
      </c>
      <c r="BC85" s="32">
        <v>0.87211093990755006</v>
      </c>
      <c r="BD85" s="32">
        <v>0.86615384615384616</v>
      </c>
      <c r="BE85" s="32">
        <v>0.84236556280538111</v>
      </c>
      <c r="BF85" s="32">
        <v>0.89344262295081966</v>
      </c>
      <c r="BG85" s="32">
        <v>0.82154340836012862</v>
      </c>
      <c r="BH85" s="32">
        <v>0.85962145110410093</v>
      </c>
      <c r="BI85" s="32">
        <v>0.88607594936708856</v>
      </c>
      <c r="BJ85" s="32">
        <v>0.80944625407166126</v>
      </c>
      <c r="BK85" s="32">
        <v>0.70032573289902278</v>
      </c>
      <c r="BL85" s="32">
        <v>0.75</v>
      </c>
      <c r="BM85" s="32">
        <v>0.81720791696468875</v>
      </c>
      <c r="BN85" s="32">
        <v>0.88664596273291929</v>
      </c>
      <c r="BO85" s="32">
        <v>0.87968749999999996</v>
      </c>
      <c r="BP85" s="32">
        <v>0.90580847723704871</v>
      </c>
      <c r="BQ85" s="32">
        <v>0.90312499999999996</v>
      </c>
      <c r="BR85" s="32">
        <v>0.90186915887850472</v>
      </c>
      <c r="BS85" s="32">
        <v>0.87031250000000004</v>
      </c>
      <c r="BT85" s="32">
        <v>0.90357698289269051</v>
      </c>
      <c r="BU85" s="32">
        <v>0.89300365453445185</v>
      </c>
      <c r="BV85" s="32">
        <v>0.85115496642826771</v>
      </c>
    </row>
    <row r="86" spans="33:74" x14ac:dyDescent="0.25">
      <c r="AG86" s="19" t="s">
        <v>149</v>
      </c>
      <c r="AH86" s="32">
        <v>0.91411042944785281</v>
      </c>
      <c r="AI86" s="32">
        <v>0.91691842900302112</v>
      </c>
      <c r="AJ86" s="32">
        <v>0.92581143740340033</v>
      </c>
      <c r="AK86" s="32">
        <v>0.92156862745098034</v>
      </c>
      <c r="AL86" s="32">
        <v>0.92481203007518797</v>
      </c>
      <c r="AM86" s="32">
        <v>0.91479820627802688</v>
      </c>
      <c r="AN86" s="32">
        <v>0.92519083969465654</v>
      </c>
      <c r="AO86" s="32">
        <v>0.92045857133616082</v>
      </c>
      <c r="AP86" s="32">
        <v>0.90755007704160251</v>
      </c>
      <c r="AQ86" s="32">
        <v>0.93222891566265065</v>
      </c>
      <c r="AR86" s="32">
        <v>0.90654205607476634</v>
      </c>
      <c r="AS86" s="32">
        <v>0.92211838006230529</v>
      </c>
      <c r="AT86" s="32">
        <v>0.9152542372881356</v>
      </c>
      <c r="AU86" s="32">
        <v>0.9360730593607306</v>
      </c>
      <c r="AV86" s="32">
        <v>0.90743550834597875</v>
      </c>
      <c r="AW86" s="32">
        <v>0.9181717476908815</v>
      </c>
      <c r="AX86" s="32">
        <v>0.84920634920634919</v>
      </c>
      <c r="AY86" s="32">
        <v>0.90396341463414631</v>
      </c>
      <c r="AZ86" s="32">
        <v>0.80685358255451711</v>
      </c>
      <c r="BA86" s="32">
        <v>0.79559748427672961</v>
      </c>
      <c r="BB86" s="32">
        <v>0.86377708978328172</v>
      </c>
      <c r="BC86" s="32">
        <v>0.8893939393939394</v>
      </c>
      <c r="BD86" s="32">
        <v>0.90417310664605877</v>
      </c>
      <c r="BE86" s="32">
        <v>0.85899499521357459</v>
      </c>
      <c r="BF86" s="32">
        <v>0.88448844884488453</v>
      </c>
      <c r="BG86" s="32">
        <v>0.7009803921568627</v>
      </c>
      <c r="BH86" s="32">
        <v>0.81464174454828664</v>
      </c>
      <c r="BI86" s="32">
        <v>0.82371294851794075</v>
      </c>
      <c r="BJ86" s="32">
        <v>0.78899082568807344</v>
      </c>
      <c r="BK86" s="32">
        <v>0.75503355704697983</v>
      </c>
      <c r="BL86" s="32">
        <v>0.81487603305785128</v>
      </c>
      <c r="BM86" s="32">
        <v>0.7975319928372685</v>
      </c>
      <c r="BN86" s="32">
        <v>0.9330218068535826</v>
      </c>
      <c r="BO86" s="32">
        <v>0.93103448275862066</v>
      </c>
      <c r="BP86" s="32">
        <v>0.88749999999999996</v>
      </c>
      <c r="BQ86" s="32">
        <v>0.92935635792778648</v>
      </c>
      <c r="BR86" s="32">
        <v>0.92153846153846153</v>
      </c>
      <c r="BS86" s="32">
        <v>0.90551181102362199</v>
      </c>
      <c r="BT86" s="32">
        <v>0.90091463414634143</v>
      </c>
      <c r="BU86" s="32">
        <v>0.91555393632120208</v>
      </c>
      <c r="BV86" s="32">
        <v>0.88214224867981716</v>
      </c>
    </row>
    <row r="87" spans="33:74" x14ac:dyDescent="0.25">
      <c r="AG87" s="19" t="s">
        <v>150</v>
      </c>
      <c r="AH87" s="32">
        <v>0.94964028776978415</v>
      </c>
      <c r="AI87" s="32">
        <v>0.98201438848920863</v>
      </c>
      <c r="AJ87" s="32">
        <v>0.96182266009852213</v>
      </c>
      <c r="AK87" s="32">
        <v>0.98488664987405539</v>
      </c>
      <c r="AL87" s="32">
        <v>0.97674418604651159</v>
      </c>
      <c r="AM87" s="32">
        <v>0.96103896103896103</v>
      </c>
      <c r="AN87" s="32">
        <v>0.97048406139315235</v>
      </c>
      <c r="AO87" s="32">
        <v>0.9695187421014565</v>
      </c>
      <c r="AP87" s="32">
        <v>0.96043165467625902</v>
      </c>
      <c r="AQ87" s="32">
        <v>0.97599039615846339</v>
      </c>
      <c r="AR87" s="32">
        <v>0.9468599033816425</v>
      </c>
      <c r="AS87" s="32">
        <v>0.94545454545454544</v>
      </c>
      <c r="AT87" s="32">
        <v>0.97472924187725629</v>
      </c>
      <c r="AU87" s="32">
        <v>0.9927710843373494</v>
      </c>
      <c r="AV87" s="32">
        <v>0.97482014388489213</v>
      </c>
      <c r="AW87" s="32">
        <v>0.96729385282434399</v>
      </c>
      <c r="AX87" s="32">
        <v>0.93501805054151621</v>
      </c>
      <c r="AY87" s="32">
        <v>0.97951807228915666</v>
      </c>
      <c r="AZ87" s="32">
        <v>0.91656590084643286</v>
      </c>
      <c r="BA87" s="32">
        <v>0.91777509068923824</v>
      </c>
      <c r="BB87" s="32">
        <v>0.97104945717732205</v>
      </c>
      <c r="BC87" s="32">
        <v>0.99276236429433051</v>
      </c>
      <c r="BD87" s="32">
        <v>0.99155609167671899</v>
      </c>
      <c r="BE87" s="32">
        <v>0.95774928964495942</v>
      </c>
      <c r="BF87" s="32">
        <v>0.90745192307692313</v>
      </c>
      <c r="BG87" s="32">
        <v>0.87019230769230771</v>
      </c>
      <c r="BH87" s="32">
        <v>0.99038461538461542</v>
      </c>
      <c r="BI87" s="32">
        <v>0.93037214885954378</v>
      </c>
      <c r="BJ87" s="32">
        <v>0.90865384615384615</v>
      </c>
      <c r="BK87" s="32">
        <v>0.85817307692307687</v>
      </c>
      <c r="BL87" s="32">
        <v>0.89423076923076927</v>
      </c>
      <c r="BM87" s="32">
        <v>0.90849409818872595</v>
      </c>
      <c r="BN87" s="32">
        <v>0.91866028708133973</v>
      </c>
      <c r="BO87" s="32">
        <v>0.93957345971563977</v>
      </c>
      <c r="BP87" s="32">
        <v>0.93567961165048541</v>
      </c>
      <c r="BQ87" s="32">
        <v>0.96555819477434679</v>
      </c>
      <c r="BR87" s="32">
        <v>0.95552884615384615</v>
      </c>
      <c r="BS87" s="32">
        <v>0.94705174488567989</v>
      </c>
      <c r="BT87" s="32">
        <v>0.94484412470023982</v>
      </c>
      <c r="BU87" s="32">
        <v>0.94384232413736835</v>
      </c>
      <c r="BV87" s="32">
        <v>0.94937966137937091</v>
      </c>
    </row>
    <row r="88" spans="33:74" x14ac:dyDescent="0.25">
      <c r="AG88" s="19" t="s">
        <v>151</v>
      </c>
      <c r="AH88" s="32">
        <v>1</v>
      </c>
      <c r="AI88" s="32">
        <v>1</v>
      </c>
      <c r="AJ88" s="32">
        <v>1</v>
      </c>
      <c r="AK88" s="32">
        <v>1</v>
      </c>
      <c r="AL88" s="32">
        <v>1</v>
      </c>
      <c r="AM88" s="32">
        <v>1</v>
      </c>
      <c r="AN88" s="32">
        <v>1</v>
      </c>
      <c r="AO88" s="32">
        <v>1</v>
      </c>
      <c r="AP88" s="32">
        <v>0.89830508474576276</v>
      </c>
      <c r="AQ88" s="32">
        <v>0.9418886198547215</v>
      </c>
      <c r="AR88" s="32">
        <v>0.88861985472154958</v>
      </c>
      <c r="AS88" s="32">
        <v>0.93341404358353508</v>
      </c>
      <c r="AT88" s="32">
        <v>0.9733656174334141</v>
      </c>
      <c r="AU88" s="32">
        <v>0.9418886198547215</v>
      </c>
      <c r="AV88" s="32">
        <v>0.9418886198547215</v>
      </c>
      <c r="AW88" s="32">
        <v>0.93133863714977527</v>
      </c>
      <c r="AX88" s="32">
        <v>0.85432098765432096</v>
      </c>
      <c r="AY88" s="32">
        <v>0.91975308641975306</v>
      </c>
      <c r="AZ88" s="32">
        <v>0.86296296296296293</v>
      </c>
      <c r="BA88" s="32">
        <v>0.87037037037037035</v>
      </c>
      <c r="BB88" s="32">
        <v>0.91234567901234565</v>
      </c>
      <c r="BC88" s="32">
        <v>0.95185185185185184</v>
      </c>
      <c r="BD88" s="32">
        <v>0.95679012345679015</v>
      </c>
      <c r="BE88" s="32">
        <v>0.90405643738977071</v>
      </c>
      <c r="BF88" s="32">
        <v>0.90123456790123457</v>
      </c>
      <c r="BG88" s="32">
        <v>0.79135802469135808</v>
      </c>
      <c r="BH88" s="32">
        <v>0.9135802469135802</v>
      </c>
      <c r="BI88" s="32">
        <v>0.91111111111111109</v>
      </c>
      <c r="BJ88" s="32">
        <v>0.85802469135802473</v>
      </c>
      <c r="BK88" s="32">
        <v>0.80864197530864201</v>
      </c>
      <c r="BL88" s="32">
        <v>0.82839506172839505</v>
      </c>
      <c r="BM88" s="32">
        <v>0.85890652557319225</v>
      </c>
      <c r="BN88" s="32">
        <v>0.937037037037037</v>
      </c>
      <c r="BO88" s="32">
        <v>0.90617283950617289</v>
      </c>
      <c r="BP88" s="32">
        <v>0.94567901234567897</v>
      </c>
      <c r="BQ88" s="32">
        <v>0.96687116564417175</v>
      </c>
      <c r="BR88" s="32">
        <v>0.96666666666666667</v>
      </c>
      <c r="BS88" s="32">
        <v>0.92716049382716048</v>
      </c>
      <c r="BT88" s="32">
        <v>0.96200980392156865</v>
      </c>
      <c r="BU88" s="32">
        <v>0.94451385984977942</v>
      </c>
      <c r="BV88" s="32">
        <v>0.92776309199250351</v>
      </c>
    </row>
    <row r="89" spans="33:74" x14ac:dyDescent="0.25">
      <c r="AG89" s="19" t="s">
        <v>152</v>
      </c>
      <c r="AH89" s="32">
        <v>0.97566909975669103</v>
      </c>
      <c r="AI89" s="32">
        <v>0.99511002444987773</v>
      </c>
      <c r="AJ89" s="32">
        <v>0.96798029556650245</v>
      </c>
      <c r="AK89" s="32">
        <v>0.97815533980582525</v>
      </c>
      <c r="AL89" s="32">
        <v>0.97323600973236013</v>
      </c>
      <c r="AM89" s="32">
        <v>0.9853300733496333</v>
      </c>
      <c r="AN89" s="32">
        <v>0.99033816425120769</v>
      </c>
      <c r="AO89" s="32">
        <v>0.98083128670172837</v>
      </c>
      <c r="AP89" s="32">
        <v>0.97310513447432767</v>
      </c>
      <c r="AQ89" s="32">
        <v>0.99278846153846156</v>
      </c>
      <c r="AR89" s="32">
        <v>0.97788697788697787</v>
      </c>
      <c r="AS89" s="32">
        <v>0.9709443099273608</v>
      </c>
      <c r="AT89" s="32">
        <v>0.98789346246973364</v>
      </c>
      <c r="AU89" s="32">
        <v>0.99760191846522783</v>
      </c>
      <c r="AV89" s="32">
        <v>0.96199524940617576</v>
      </c>
      <c r="AW89" s="32">
        <v>0.98031650202403775</v>
      </c>
      <c r="AX89" s="32">
        <v>0.97270471464019848</v>
      </c>
      <c r="AY89" s="32">
        <v>0.98550724637681164</v>
      </c>
      <c r="AZ89" s="32">
        <v>0.92171717171717171</v>
      </c>
      <c r="BA89" s="32">
        <v>0.92191435768261965</v>
      </c>
      <c r="BB89" s="32">
        <v>0.93062200956937802</v>
      </c>
      <c r="BC89" s="32">
        <v>0.95913461538461542</v>
      </c>
      <c r="BD89" s="32">
        <v>0.96618357487922701</v>
      </c>
      <c r="BE89" s="32">
        <v>0.95111195575000307</v>
      </c>
      <c r="BF89" s="32">
        <v>0.9455445544554455</v>
      </c>
      <c r="BG89" s="32">
        <v>0.80904522613065322</v>
      </c>
      <c r="BH89" s="32">
        <v>0.9356435643564357</v>
      </c>
      <c r="BI89" s="32">
        <v>0.98072289156626502</v>
      </c>
      <c r="BJ89" s="32">
        <v>0.88557213930348255</v>
      </c>
      <c r="BK89" s="32">
        <v>0.8266331658291457</v>
      </c>
      <c r="BL89" s="32">
        <v>0.78643216080402012</v>
      </c>
      <c r="BM89" s="32">
        <v>0.88137052892077838</v>
      </c>
      <c r="BN89" s="32">
        <v>0.99007444168734493</v>
      </c>
      <c r="BO89" s="32">
        <v>0.99511002444987773</v>
      </c>
      <c r="BP89" s="32">
        <v>0.98529411764705888</v>
      </c>
      <c r="BQ89" s="32">
        <v>0.99529411764705877</v>
      </c>
      <c r="BR89" s="32">
        <v>0.98086124401913877</v>
      </c>
      <c r="BS89" s="32">
        <v>0.97058823529411764</v>
      </c>
      <c r="BT89" s="32">
        <v>1</v>
      </c>
      <c r="BU89" s="32">
        <v>0.98817459724922807</v>
      </c>
      <c r="BV89" s="32">
        <v>0.95636097412915511</v>
      </c>
    </row>
    <row r="90" spans="33:74" x14ac:dyDescent="0.25">
      <c r="AG90" s="19" t="s">
        <v>153</v>
      </c>
      <c r="AH90" s="32">
        <v>0.95921696574225124</v>
      </c>
      <c r="AI90" s="32">
        <v>0.95794392523364491</v>
      </c>
      <c r="AJ90" s="32">
        <v>0.96084828711256121</v>
      </c>
      <c r="AK90" s="32">
        <v>0.98242811501597449</v>
      </c>
      <c r="AL90" s="32">
        <v>0.92551505546751189</v>
      </c>
      <c r="AM90" s="32">
        <v>0.98887122416534179</v>
      </c>
      <c r="AN90" s="32">
        <v>0.94753577106518283</v>
      </c>
      <c r="AO90" s="32">
        <v>0.96033704911463835</v>
      </c>
      <c r="AP90" s="32">
        <v>0.95432300163132133</v>
      </c>
      <c r="AQ90" s="32">
        <v>0.96496815286624205</v>
      </c>
      <c r="AR90" s="32">
        <v>0.94453507340946163</v>
      </c>
      <c r="AS90" s="32">
        <v>0.975767366720517</v>
      </c>
      <c r="AT90" s="32">
        <v>0.92765273311897101</v>
      </c>
      <c r="AU90" s="32">
        <v>0.90476190476190477</v>
      </c>
      <c r="AV90" s="32">
        <v>0.9502407704654896</v>
      </c>
      <c r="AW90" s="32">
        <v>0.94603557185341536</v>
      </c>
      <c r="AX90" s="32">
        <v>0.8233387358184765</v>
      </c>
      <c r="AY90" s="32">
        <v>0.9371980676328503</v>
      </c>
      <c r="AZ90" s="32">
        <v>0.81391585760517804</v>
      </c>
      <c r="BA90" s="32">
        <v>0.8298555377207063</v>
      </c>
      <c r="BB90" s="32">
        <v>0.8725806451612903</v>
      </c>
      <c r="BC90" s="32">
        <v>0.94212218649517687</v>
      </c>
      <c r="BD90" s="32">
        <v>0.91599353796445881</v>
      </c>
      <c r="BE90" s="32">
        <v>0.87642922405687673</v>
      </c>
      <c r="BF90" s="32">
        <v>0.90016638935108151</v>
      </c>
      <c r="BG90" s="32">
        <v>0.68276972624798715</v>
      </c>
      <c r="BH90" s="32">
        <v>0.86644407345575958</v>
      </c>
      <c r="BI90" s="32">
        <v>0.93624161073825507</v>
      </c>
      <c r="BJ90" s="32">
        <v>0.84057971014492749</v>
      </c>
      <c r="BK90" s="32">
        <v>0.72141706924315618</v>
      </c>
      <c r="BL90" s="32">
        <v>0.78391167192429023</v>
      </c>
      <c r="BM90" s="32">
        <v>0.81879003587220822</v>
      </c>
      <c r="BN90" s="32">
        <v>0.93521594684385378</v>
      </c>
      <c r="BO90" s="32">
        <v>0.93031358885017423</v>
      </c>
      <c r="BP90" s="32">
        <v>0.92508143322475567</v>
      </c>
      <c r="BQ90" s="32">
        <v>0.95652173913043481</v>
      </c>
      <c r="BR90" s="32">
        <v>0.91103789126853374</v>
      </c>
      <c r="BS90" s="32">
        <v>0.92201039861351819</v>
      </c>
      <c r="BT90" s="32">
        <v>0.92229729729729726</v>
      </c>
      <c r="BU90" s="32">
        <v>0.92892547074693821</v>
      </c>
      <c r="BV90" s="32">
        <v>0.90610347032881533</v>
      </c>
    </row>
    <row r="91" spans="33:74" x14ac:dyDescent="0.25">
      <c r="AG91" s="19" t="s">
        <v>154</v>
      </c>
      <c r="AH91" s="32">
        <v>0.93324775353016687</v>
      </c>
      <c r="AI91" s="32">
        <v>0.98459563543003847</v>
      </c>
      <c r="AJ91" s="32">
        <v>0.93966623876765087</v>
      </c>
      <c r="AK91" s="32">
        <v>0.94865211810012839</v>
      </c>
      <c r="AL91" s="32">
        <v>0.97304236200256744</v>
      </c>
      <c r="AM91" s="32">
        <v>0.99614890885750962</v>
      </c>
      <c r="AN91" s="32">
        <v>0.97047496790757382</v>
      </c>
      <c r="AO91" s="32">
        <v>0.96368971208509091</v>
      </c>
      <c r="AP91" s="32">
        <v>0.91527599486521183</v>
      </c>
      <c r="AQ91" s="32">
        <v>0.94094993581514763</v>
      </c>
      <c r="AR91" s="32">
        <v>0.90500641848523744</v>
      </c>
      <c r="AS91" s="32">
        <v>0.92554557124518611</v>
      </c>
      <c r="AT91" s="32">
        <v>0.93068035943517335</v>
      </c>
      <c r="AU91" s="32">
        <v>0.95250320924261878</v>
      </c>
      <c r="AV91" s="32">
        <v>0.92939666238767649</v>
      </c>
      <c r="AW91" s="32">
        <v>0.92847973592517896</v>
      </c>
      <c r="AX91" s="32">
        <v>0.88575096277278564</v>
      </c>
      <c r="AY91" s="32">
        <v>0.93196405648267011</v>
      </c>
      <c r="AZ91" s="32">
        <v>0.84338896020539156</v>
      </c>
      <c r="BA91" s="32">
        <v>0.85365853658536583</v>
      </c>
      <c r="BB91" s="32">
        <v>0.88960205391527603</v>
      </c>
      <c r="BC91" s="32">
        <v>0.91655969191270859</v>
      </c>
      <c r="BD91" s="32">
        <v>0.8998716302952503</v>
      </c>
      <c r="BE91" s="32">
        <v>0.88868512745277839</v>
      </c>
      <c r="BF91" s="32">
        <v>0.92939666238767649</v>
      </c>
      <c r="BG91" s="32">
        <v>0.7869062901155327</v>
      </c>
      <c r="BH91" s="32">
        <v>0.90372272143774068</v>
      </c>
      <c r="BI91" s="32">
        <v>0.90372272143774068</v>
      </c>
      <c r="BJ91" s="32">
        <v>0.85879332477535297</v>
      </c>
      <c r="BK91" s="32">
        <v>0.80487804878048785</v>
      </c>
      <c r="BL91" s="32">
        <v>0.80487804878048785</v>
      </c>
      <c r="BM91" s="32">
        <v>0.85604254538785995</v>
      </c>
      <c r="BN91" s="32">
        <v>0.90243902439024393</v>
      </c>
      <c r="BO91" s="32">
        <v>0.90372272143774068</v>
      </c>
      <c r="BP91" s="32">
        <v>0.94608472400513477</v>
      </c>
      <c r="BQ91" s="32">
        <v>0.94736842105263153</v>
      </c>
      <c r="BR91" s="32">
        <v>0.93324775353016687</v>
      </c>
      <c r="BS91" s="32">
        <v>0.95892169448010267</v>
      </c>
      <c r="BT91" s="32">
        <v>0.93324775353016687</v>
      </c>
      <c r="BU91" s="32">
        <v>0.93214744177516962</v>
      </c>
      <c r="BV91" s="32">
        <v>0.91380891252521557</v>
      </c>
    </row>
    <row r="92" spans="33:74" x14ac:dyDescent="0.25">
      <c r="AG92" s="19" t="s">
        <v>155</v>
      </c>
      <c r="AH92" s="32">
        <v>0.98165137614678899</v>
      </c>
      <c r="AI92" s="32">
        <v>0.98829039812646369</v>
      </c>
      <c r="AJ92" s="32">
        <v>0.98578199052132698</v>
      </c>
      <c r="AK92" s="32">
        <v>0.95560747663551404</v>
      </c>
      <c r="AL92" s="32">
        <v>0.96705882352941175</v>
      </c>
      <c r="AM92" s="32">
        <v>0.94749403341288785</v>
      </c>
      <c r="AN92" s="32">
        <v>0.95529411764705885</v>
      </c>
      <c r="AO92" s="32">
        <v>0.96873974514563599</v>
      </c>
      <c r="AP92" s="32">
        <v>0.94497607655502391</v>
      </c>
      <c r="AQ92" s="32">
        <v>0.93704600484261502</v>
      </c>
      <c r="AR92" s="32">
        <v>0.9128329297820823</v>
      </c>
      <c r="AS92" s="32">
        <v>0.94444444444444442</v>
      </c>
      <c r="AT92" s="32">
        <v>0.92874109263657956</v>
      </c>
      <c r="AU92" s="32">
        <v>0.94244604316546765</v>
      </c>
      <c r="AV92" s="32">
        <v>0.92037470725995318</v>
      </c>
      <c r="AW92" s="32">
        <v>0.93298018552659534</v>
      </c>
      <c r="AX92" s="32">
        <v>0.88564476885644772</v>
      </c>
      <c r="AY92" s="32">
        <v>0.9425837320574163</v>
      </c>
      <c r="AZ92" s="32">
        <v>0.85365853658536583</v>
      </c>
      <c r="BA92" s="32">
        <v>0.8524173027989822</v>
      </c>
      <c r="BB92" s="32">
        <v>0.92251815980629537</v>
      </c>
      <c r="BC92" s="32">
        <v>0.92548076923076927</v>
      </c>
      <c r="BD92" s="32">
        <v>0.90533980582524276</v>
      </c>
      <c r="BE92" s="32">
        <v>0.89823472502293134</v>
      </c>
      <c r="BF92" s="32">
        <v>0.93187347931873477</v>
      </c>
      <c r="BG92" s="32">
        <v>0.78880407124681939</v>
      </c>
      <c r="BH92" s="32">
        <v>0.92176039119804398</v>
      </c>
      <c r="BI92" s="32">
        <v>0.96172248803827753</v>
      </c>
      <c r="BJ92" s="32">
        <v>0.92926829268292688</v>
      </c>
      <c r="BK92" s="32">
        <v>0.77353689567430028</v>
      </c>
      <c r="BL92" s="32">
        <v>0.86250000000000004</v>
      </c>
      <c r="BM92" s="32">
        <v>0.88135223116558603</v>
      </c>
      <c r="BN92" s="32">
        <v>0.95508274231678492</v>
      </c>
      <c r="BO92" s="32">
        <v>0.96135265700483097</v>
      </c>
      <c r="BP92" s="32">
        <v>0.96634615384615385</v>
      </c>
      <c r="BQ92" s="32">
        <v>0.96585365853658534</v>
      </c>
      <c r="BR92" s="32">
        <v>0.97481108312342568</v>
      </c>
      <c r="BS92" s="32">
        <v>0.91911764705882348</v>
      </c>
      <c r="BT92" s="32">
        <v>0.98072289156626502</v>
      </c>
      <c r="BU92" s="32">
        <v>0.96046954763612413</v>
      </c>
      <c r="BV92" s="32">
        <v>0.92835528689937497</v>
      </c>
    </row>
    <row r="93" spans="33:74" x14ac:dyDescent="0.25">
      <c r="AG93" s="19" t="s">
        <v>156</v>
      </c>
      <c r="AH93" s="32">
        <v>0.95798319327731096</v>
      </c>
      <c r="AI93" s="32">
        <v>0.97647058823529409</v>
      </c>
      <c r="AJ93" s="32">
        <v>0.99329983249581244</v>
      </c>
      <c r="AK93" s="32">
        <v>0.98666666666666669</v>
      </c>
      <c r="AL93" s="32">
        <v>0.96302521008403363</v>
      </c>
      <c r="AM93" s="32">
        <v>0.97993311036789299</v>
      </c>
      <c r="AN93" s="32">
        <v>0.94957983193277307</v>
      </c>
      <c r="AO93" s="32">
        <v>0.97242263329425493</v>
      </c>
      <c r="AP93" s="32">
        <v>0.8968386023294509</v>
      </c>
      <c r="AQ93" s="32">
        <v>0.98363338788870702</v>
      </c>
      <c r="AR93" s="32">
        <v>0.90713101160862353</v>
      </c>
      <c r="AS93" s="32">
        <v>0.90818030050083476</v>
      </c>
      <c r="AT93" s="32">
        <v>0.97333333333333338</v>
      </c>
      <c r="AU93" s="32">
        <v>0.95908346972176761</v>
      </c>
      <c r="AV93" s="32">
        <v>0.95901639344262291</v>
      </c>
      <c r="AW93" s="32">
        <v>0.94103092840362002</v>
      </c>
      <c r="AX93" s="32">
        <v>0.91122278056951422</v>
      </c>
      <c r="AY93" s="32">
        <v>0.91275167785234901</v>
      </c>
      <c r="AZ93" s="32">
        <v>0.89112227805695143</v>
      </c>
      <c r="BA93" s="32">
        <v>0.90954773869346739</v>
      </c>
      <c r="BB93" s="32">
        <v>0.91122278056951422</v>
      </c>
      <c r="BC93" s="32">
        <v>0.91122278056951422</v>
      </c>
      <c r="BD93" s="32">
        <v>0.91122278056951422</v>
      </c>
      <c r="BE93" s="32">
        <v>0.90833040241154639</v>
      </c>
      <c r="BF93" s="32">
        <v>0.92785234899328861</v>
      </c>
      <c r="BG93" s="32">
        <v>0.90954773869346739</v>
      </c>
      <c r="BH93" s="32">
        <v>0.93833333333333335</v>
      </c>
      <c r="BI93" s="32">
        <v>0.93143812709030105</v>
      </c>
      <c r="BJ93" s="32">
        <v>0.94639865996649919</v>
      </c>
      <c r="BK93" s="32">
        <v>0.91878172588832485</v>
      </c>
      <c r="BL93" s="32">
        <v>0.90524534686971236</v>
      </c>
      <c r="BM93" s="32">
        <v>0.92537104011927518</v>
      </c>
      <c r="BN93" s="32">
        <v>0.96192052980132448</v>
      </c>
      <c r="BO93" s="32">
        <v>0.91973244147157196</v>
      </c>
      <c r="BP93" s="32">
        <v>0.9642857142857143</v>
      </c>
      <c r="BQ93" s="32">
        <v>0.96103896103896103</v>
      </c>
      <c r="BR93" s="32">
        <v>0.94205298013245031</v>
      </c>
      <c r="BS93" s="32">
        <v>0.9370860927152318</v>
      </c>
      <c r="BT93" s="32">
        <v>0.96523178807947019</v>
      </c>
      <c r="BU93" s="32">
        <v>0.95019264393210345</v>
      </c>
      <c r="BV93" s="32">
        <v>0.93946952963215991</v>
      </c>
    </row>
    <row r="94" spans="33:74" x14ac:dyDescent="0.25">
      <c r="AG94" s="19" t="s">
        <v>157</v>
      </c>
      <c r="AH94" s="32">
        <v>0.87755102040816324</v>
      </c>
      <c r="AI94" s="32">
        <v>0.85034013605442171</v>
      </c>
      <c r="AJ94" s="32">
        <v>0.81506849315068497</v>
      </c>
      <c r="AK94" s="32">
        <v>0.65986394557823125</v>
      </c>
      <c r="AL94" s="32">
        <v>0.90909090909090906</v>
      </c>
      <c r="AM94" s="32">
        <v>0.891156462585034</v>
      </c>
      <c r="AN94" s="32">
        <v>0.90344827586206899</v>
      </c>
      <c r="AO94" s="32">
        <v>0.84378846324707335</v>
      </c>
      <c r="AP94" s="32">
        <v>0.70469798657718119</v>
      </c>
      <c r="AQ94" s="32">
        <v>0.88435374149659862</v>
      </c>
      <c r="AR94" s="32">
        <v>0.63194444444444442</v>
      </c>
      <c r="AS94" s="32">
        <v>0.6827586206896552</v>
      </c>
      <c r="AT94" s="32">
        <v>0.79591836734693877</v>
      </c>
      <c r="AU94" s="32">
        <v>0.9178082191780822</v>
      </c>
      <c r="AV94" s="32">
        <v>0.86986301369863017</v>
      </c>
      <c r="AW94" s="32">
        <v>0.78390634191879005</v>
      </c>
      <c r="AX94" s="32">
        <v>0.59183673469387754</v>
      </c>
      <c r="AY94" s="32">
        <v>0.75167785234899331</v>
      </c>
      <c r="AZ94" s="32">
        <v>0.54794520547945202</v>
      </c>
      <c r="BA94" s="32">
        <v>0.5547945205479452</v>
      </c>
      <c r="BB94" s="32">
        <v>0.72413793103448276</v>
      </c>
      <c r="BC94" s="32">
        <v>0.69798657718120805</v>
      </c>
      <c r="BD94" s="32">
        <v>0.73469387755102045</v>
      </c>
      <c r="BE94" s="32">
        <v>0.65758181411956851</v>
      </c>
      <c r="BF94" s="32">
        <v>0.48979591836734693</v>
      </c>
      <c r="BG94" s="32">
        <v>0.35172413793103446</v>
      </c>
      <c r="BH94" s="32">
        <v>0.50340136054421769</v>
      </c>
      <c r="BI94" s="32">
        <v>0.57042253521126762</v>
      </c>
      <c r="BJ94" s="32">
        <v>0.54421768707482998</v>
      </c>
      <c r="BK94" s="32">
        <v>0.46527777777777779</v>
      </c>
      <c r="BL94" s="32">
        <v>0.47945205479452052</v>
      </c>
      <c r="BM94" s="32">
        <v>0.48632735310014213</v>
      </c>
      <c r="BN94" s="32">
        <v>0.59183673469387754</v>
      </c>
      <c r="BO94" s="32">
        <v>0.49645390070921985</v>
      </c>
      <c r="BP94" s="32">
        <v>0.60689655172413792</v>
      </c>
      <c r="BQ94" s="32">
        <v>0.58620689655172409</v>
      </c>
      <c r="BR94" s="32">
        <v>0.55782312925170063</v>
      </c>
      <c r="BS94" s="32">
        <v>0.48275862068965519</v>
      </c>
      <c r="BT94" s="32">
        <v>0.59310344827586203</v>
      </c>
      <c r="BU94" s="32">
        <v>0.55929704027088245</v>
      </c>
      <c r="BV94" s="32">
        <v>0.66618020253129118</v>
      </c>
    </row>
    <row r="95" spans="33:74" x14ac:dyDescent="0.25">
      <c r="AG95" s="19" t="s">
        <v>158</v>
      </c>
      <c r="AH95" s="32">
        <v>0.9606533036377134</v>
      </c>
      <c r="AI95" s="32">
        <v>0.94935805991440803</v>
      </c>
      <c r="AJ95" s="32">
        <v>0.9688195991091314</v>
      </c>
      <c r="AK95" s="32">
        <v>0.93700787401574803</v>
      </c>
      <c r="AL95" s="32">
        <v>0.97485632183908044</v>
      </c>
      <c r="AM95" s="32">
        <v>0.95937277263007836</v>
      </c>
      <c r="AN95" s="32">
        <v>0.94261119081779055</v>
      </c>
      <c r="AO95" s="32">
        <v>0.95609701742342146</v>
      </c>
      <c r="AP95" s="32">
        <v>0.96706586826347307</v>
      </c>
      <c r="AQ95" s="32">
        <v>0.97424892703862664</v>
      </c>
      <c r="AR95" s="32">
        <v>0.96713965646004485</v>
      </c>
      <c r="AS95" s="32">
        <v>0.93073593073593075</v>
      </c>
      <c r="AT95" s="32">
        <v>0.97919655667144911</v>
      </c>
      <c r="AU95" s="32">
        <v>0.97204301075268817</v>
      </c>
      <c r="AV95" s="32">
        <v>0.97421203438395421</v>
      </c>
      <c r="AW95" s="32">
        <v>0.96637742632945245</v>
      </c>
      <c r="AX95" s="32">
        <v>0.91359879789631859</v>
      </c>
      <c r="AY95" s="32">
        <v>0.98418404025880657</v>
      </c>
      <c r="AZ95" s="32">
        <v>0.8958652373660031</v>
      </c>
      <c r="BA95" s="32">
        <v>0.92461197339246115</v>
      </c>
      <c r="BB95" s="32">
        <v>0.95086705202312138</v>
      </c>
      <c r="BC95" s="32">
        <v>0.98133524766690594</v>
      </c>
      <c r="BD95" s="32">
        <v>0.98120028922631963</v>
      </c>
      <c r="BE95" s="32">
        <v>0.94738037683284815</v>
      </c>
      <c r="BF95" s="32">
        <v>0.91213700670141473</v>
      </c>
      <c r="BG95" s="32">
        <v>0.80656934306569339</v>
      </c>
      <c r="BH95" s="32">
        <v>0.91660461653015635</v>
      </c>
      <c r="BI95" s="32">
        <v>0.95683453237410077</v>
      </c>
      <c r="BJ95" s="32">
        <v>0.91618075801749266</v>
      </c>
      <c r="BK95" s="32">
        <v>0.85693430656934311</v>
      </c>
      <c r="BL95" s="32">
        <v>0.82700729927007299</v>
      </c>
      <c r="BM95" s="32">
        <v>0.88460969464689643</v>
      </c>
      <c r="BN95" s="32">
        <v>0.9689119170984456</v>
      </c>
      <c r="BO95" s="32">
        <v>0.95081967213114749</v>
      </c>
      <c r="BP95" s="32">
        <v>0.97592997811816196</v>
      </c>
      <c r="BQ95" s="32">
        <v>0.93055555555555558</v>
      </c>
      <c r="BR95" s="32">
        <v>0.9466292134831461</v>
      </c>
      <c r="BS95" s="32">
        <v>0.96280400572246061</v>
      </c>
      <c r="BT95" s="32">
        <v>0.9648876404494382</v>
      </c>
      <c r="BU95" s="32">
        <v>0.95721971179405074</v>
      </c>
      <c r="BV95" s="32">
        <v>0.9423368454053338</v>
      </c>
    </row>
    <row r="96" spans="33:74" x14ac:dyDescent="0.25">
      <c r="AG96" s="19" t="s">
        <v>159</v>
      </c>
      <c r="AH96" s="32">
        <v>0.86184210526315785</v>
      </c>
      <c r="AI96" s="32">
        <v>0.92985318107667214</v>
      </c>
      <c r="AJ96" s="32">
        <v>0.86513157894736847</v>
      </c>
      <c r="AK96" s="32">
        <v>0.92269736842105265</v>
      </c>
      <c r="AL96" s="32">
        <v>0.91776315789473684</v>
      </c>
      <c r="AM96" s="32">
        <v>0.91803278688524592</v>
      </c>
      <c r="AN96" s="32">
        <v>0.96052631578947367</v>
      </c>
      <c r="AO96" s="32">
        <v>0.91083521346824392</v>
      </c>
      <c r="AP96" s="32">
        <v>0.84375</v>
      </c>
      <c r="AQ96" s="32">
        <v>0.95090016366612107</v>
      </c>
      <c r="AR96" s="32">
        <v>0.85197368421052633</v>
      </c>
      <c r="AS96" s="32">
        <v>0.86557377049180328</v>
      </c>
      <c r="AT96" s="32">
        <v>0.89309210526315785</v>
      </c>
      <c r="AU96" s="32">
        <v>0.96699669966996704</v>
      </c>
      <c r="AV96" s="32">
        <v>0.92598684210526316</v>
      </c>
      <c r="AW96" s="32">
        <v>0.89975332362954841</v>
      </c>
      <c r="AX96" s="32">
        <v>0.75728155339805825</v>
      </c>
      <c r="AY96" s="32">
        <v>0.8818770226537217</v>
      </c>
      <c r="AZ96" s="32">
        <v>0.75889967637540456</v>
      </c>
      <c r="BA96" s="32">
        <v>0.77580645161290318</v>
      </c>
      <c r="BB96" s="32">
        <v>0.81129032258064515</v>
      </c>
      <c r="BC96" s="32">
        <v>0.89482200647249188</v>
      </c>
      <c r="BD96" s="32">
        <v>0.8564516129032258</v>
      </c>
      <c r="BE96" s="32">
        <v>0.81948980657092141</v>
      </c>
      <c r="BF96" s="32">
        <v>0.88548387096774195</v>
      </c>
      <c r="BG96" s="32">
        <v>0.77580645161290318</v>
      </c>
      <c r="BH96" s="32">
        <v>0.82741935483870965</v>
      </c>
      <c r="BI96" s="32">
        <v>0.8403225806451613</v>
      </c>
      <c r="BJ96" s="32">
        <v>0.91612903225806452</v>
      </c>
      <c r="BK96" s="32">
        <v>0.77580645161290318</v>
      </c>
      <c r="BL96" s="32">
        <v>0.79032258064516125</v>
      </c>
      <c r="BM96" s="32">
        <v>0.83018433179723505</v>
      </c>
      <c r="BN96" s="32">
        <v>0.86774193548387102</v>
      </c>
      <c r="BO96" s="32">
        <v>0.8403225806451613</v>
      </c>
      <c r="BP96" s="32">
        <v>0.89193548387096777</v>
      </c>
      <c r="BQ96" s="32">
        <v>0.93548387096774188</v>
      </c>
      <c r="BR96" s="32">
        <v>0.9145161290322581</v>
      </c>
      <c r="BS96" s="32">
        <v>0.84516129032258069</v>
      </c>
      <c r="BT96" s="32">
        <v>0.90806451612903227</v>
      </c>
      <c r="BU96" s="32">
        <v>0.88617511520737324</v>
      </c>
      <c r="BV96" s="32">
        <v>0.86928755813466452</v>
      </c>
    </row>
    <row r="97" spans="33:74" x14ac:dyDescent="0.25">
      <c r="AG97" s="19" t="s">
        <v>160</v>
      </c>
      <c r="AH97" s="32">
        <v>0.9056047197640118</v>
      </c>
      <c r="AI97" s="32">
        <v>0.94475920679886682</v>
      </c>
      <c r="AJ97" s="32">
        <v>0.92532942898975112</v>
      </c>
      <c r="AK97" s="32">
        <v>0.95375722543352603</v>
      </c>
      <c r="AL97" s="32">
        <v>0.94205052005943535</v>
      </c>
      <c r="AM97" s="32">
        <v>0.914651493598862</v>
      </c>
      <c r="AN97" s="32">
        <v>0.9219653179190751</v>
      </c>
      <c r="AO97" s="32">
        <v>0.92973113036621846</v>
      </c>
      <c r="AP97" s="32">
        <v>0.88807069219440349</v>
      </c>
      <c r="AQ97" s="32">
        <v>0.94492753623188408</v>
      </c>
      <c r="AR97" s="32">
        <v>0.91994177583697234</v>
      </c>
      <c r="AS97" s="32">
        <v>0.94194484760522501</v>
      </c>
      <c r="AT97" s="32">
        <v>0.90173410404624277</v>
      </c>
      <c r="AU97" s="32">
        <v>0.93419170243204575</v>
      </c>
      <c r="AV97" s="32">
        <v>0.92</v>
      </c>
      <c r="AW97" s="32">
        <v>0.92154437976382475</v>
      </c>
      <c r="AX97" s="32">
        <v>0.88200589970501475</v>
      </c>
      <c r="AY97" s="32">
        <v>0.93776520509193773</v>
      </c>
      <c r="AZ97" s="32">
        <v>0.89686098654708524</v>
      </c>
      <c r="BA97" s="32">
        <v>0.92273402674591387</v>
      </c>
      <c r="BB97" s="32">
        <v>0.89526542324246772</v>
      </c>
      <c r="BC97" s="32">
        <v>0.91926345609065152</v>
      </c>
      <c r="BD97" s="32">
        <v>0.93839541547277938</v>
      </c>
      <c r="BE97" s="32">
        <v>0.91318434469940724</v>
      </c>
      <c r="BF97" s="32">
        <v>0.87388724035608312</v>
      </c>
      <c r="BG97" s="32">
        <v>0.79097744360902256</v>
      </c>
      <c r="BH97" s="32">
        <v>0.89317507418397624</v>
      </c>
      <c r="BI97" s="32">
        <v>0.91386861313868617</v>
      </c>
      <c r="BJ97" s="32">
        <v>0.8736998514115899</v>
      </c>
      <c r="BK97" s="32">
        <v>0.81325301204819278</v>
      </c>
      <c r="BL97" s="32">
        <v>0.8727544910179641</v>
      </c>
      <c r="BM97" s="32">
        <v>0.86165938939507369</v>
      </c>
      <c r="BN97" s="32">
        <v>0.88023088023088025</v>
      </c>
      <c r="BO97" s="32">
        <v>0.89766081871345027</v>
      </c>
      <c r="BP97" s="32">
        <v>0.9170243204577968</v>
      </c>
      <c r="BQ97" s="32">
        <v>0.94350282485875703</v>
      </c>
      <c r="BR97" s="32">
        <v>0.90701001430615169</v>
      </c>
      <c r="BS97" s="32">
        <v>0.9247787610619469</v>
      </c>
      <c r="BT97" s="32">
        <v>0.92539454806312771</v>
      </c>
      <c r="BU97" s="32">
        <v>0.91365745252744446</v>
      </c>
      <c r="BV97" s="32">
        <v>0.90795533935039363</v>
      </c>
    </row>
    <row r="98" spans="33:74" x14ac:dyDescent="0.25">
      <c r="AG98" s="19" t="s">
        <v>161</v>
      </c>
      <c r="AH98" s="32">
        <v>0.93264840182648401</v>
      </c>
      <c r="AI98" s="32">
        <v>0.92939814814814814</v>
      </c>
      <c r="AJ98" s="32">
        <v>0.93692660550458717</v>
      </c>
      <c r="AK98" s="32">
        <v>0.92635212888377449</v>
      </c>
      <c r="AL98" s="32">
        <v>0.95194508009153322</v>
      </c>
      <c r="AM98" s="32">
        <v>0.91408934707903777</v>
      </c>
      <c r="AN98" s="32">
        <v>0.92775229357798161</v>
      </c>
      <c r="AO98" s="32">
        <v>0.93130171501593517</v>
      </c>
      <c r="AP98" s="32">
        <v>0.91044776119402981</v>
      </c>
      <c r="AQ98" s="32">
        <v>0.92018244013683015</v>
      </c>
      <c r="AR98" s="32">
        <v>0.89207807118254878</v>
      </c>
      <c r="AS98" s="32">
        <v>0.88275862068965516</v>
      </c>
      <c r="AT98" s="32">
        <v>0.92668957617411229</v>
      </c>
      <c r="AU98" s="32">
        <v>0.92718998862343571</v>
      </c>
      <c r="AV98" s="32">
        <v>0.92898052691867128</v>
      </c>
      <c r="AW98" s="32">
        <v>0.91261814070275471</v>
      </c>
      <c r="AX98" s="32">
        <v>0.83372093023255811</v>
      </c>
      <c r="AY98" s="32">
        <v>0.908675799086758</v>
      </c>
      <c r="AZ98" s="32">
        <v>0.8578034682080925</v>
      </c>
      <c r="BA98" s="32">
        <v>0.81221198156682028</v>
      </c>
      <c r="BB98" s="32">
        <v>0.90857142857142859</v>
      </c>
      <c r="BC98" s="32">
        <v>0.91002277904328022</v>
      </c>
      <c r="BD98" s="32">
        <v>0.89737742303306722</v>
      </c>
      <c r="BE98" s="32">
        <v>0.87548340139171488</v>
      </c>
      <c r="BF98" s="32">
        <v>0.84807256235827666</v>
      </c>
      <c r="BG98" s="32">
        <v>0.69599999999999995</v>
      </c>
      <c r="BH98" s="32">
        <v>0.84632768361581923</v>
      </c>
      <c r="BI98" s="32">
        <v>0.89301801801801806</v>
      </c>
      <c r="BJ98" s="32">
        <v>0.83524027459954231</v>
      </c>
      <c r="BK98" s="32">
        <v>0.69069767441860463</v>
      </c>
      <c r="BL98" s="32">
        <v>0.76794258373205737</v>
      </c>
      <c r="BM98" s="32">
        <v>0.79675697096318832</v>
      </c>
      <c r="BN98" s="32">
        <v>0.9721603563474388</v>
      </c>
      <c r="BO98" s="32">
        <v>0.89373601789709167</v>
      </c>
      <c r="BP98" s="32">
        <v>0.90386740331491711</v>
      </c>
      <c r="BQ98" s="32">
        <v>0.92699115044247793</v>
      </c>
      <c r="BR98" s="32">
        <v>0.93169092945128784</v>
      </c>
      <c r="BS98" s="32">
        <v>0.8868571428571429</v>
      </c>
      <c r="BT98" s="32">
        <v>0.9296875</v>
      </c>
      <c r="BU98" s="32">
        <v>0.92071292861576526</v>
      </c>
      <c r="BV98" s="32">
        <v>0.88737463133787176</v>
      </c>
    </row>
    <row r="99" spans="33:74" x14ac:dyDescent="0.25">
      <c r="AG99" s="19" t="s">
        <v>162</v>
      </c>
      <c r="AH99" s="32">
        <v>0.80689655172413788</v>
      </c>
      <c r="AI99" s="32">
        <v>0.92758620689655169</v>
      </c>
      <c r="AJ99" s="32">
        <v>0.8413793103448276</v>
      </c>
      <c r="AK99" s="32">
        <v>0.94137931034482758</v>
      </c>
      <c r="AL99" s="32">
        <v>0.85862068965517246</v>
      </c>
      <c r="AM99" s="32">
        <v>0.88275862068965516</v>
      </c>
      <c r="AN99" s="32">
        <v>0.90689655172413797</v>
      </c>
      <c r="AO99" s="32">
        <v>0.88078817733990156</v>
      </c>
      <c r="AP99" s="32">
        <v>0.87671232876712324</v>
      </c>
      <c r="AQ99" s="32">
        <v>0.97586206896551719</v>
      </c>
      <c r="AR99" s="32">
        <v>0.92465753424657537</v>
      </c>
      <c r="AS99" s="32">
        <v>0.97945205479452058</v>
      </c>
      <c r="AT99" s="32">
        <v>0.88013698630136983</v>
      </c>
      <c r="AU99" s="32">
        <v>0.91034482758620694</v>
      </c>
      <c r="AV99" s="32">
        <v>0.93174061433447097</v>
      </c>
      <c r="AW99" s="32">
        <v>0.92555805928511214</v>
      </c>
      <c r="AX99" s="32">
        <v>0.81849315068493156</v>
      </c>
      <c r="AY99" s="32">
        <v>0.97278911564625847</v>
      </c>
      <c r="AZ99" s="32">
        <v>0.81849315068493156</v>
      </c>
      <c r="BA99" s="32">
        <v>0.86643835616438358</v>
      </c>
      <c r="BB99" s="32">
        <v>0.90410958904109584</v>
      </c>
      <c r="BC99" s="32">
        <v>0.91864406779661012</v>
      </c>
      <c r="BD99" s="32">
        <v>0.90136054421768708</v>
      </c>
      <c r="BE99" s="32">
        <v>0.88576113917655697</v>
      </c>
      <c r="BF99" s="32">
        <v>0.89347079037800692</v>
      </c>
      <c r="BG99" s="32">
        <v>0.7773972602739726</v>
      </c>
      <c r="BH99" s="32">
        <v>0.94845360824742264</v>
      </c>
      <c r="BI99" s="32">
        <v>0.97643097643097643</v>
      </c>
      <c r="BJ99" s="32">
        <v>0.90378006872852235</v>
      </c>
      <c r="BK99" s="32">
        <v>0.83904109589041098</v>
      </c>
      <c r="BL99" s="32">
        <v>0.88013698630136983</v>
      </c>
      <c r="BM99" s="32">
        <v>0.8883872551786689</v>
      </c>
      <c r="BN99" s="32">
        <v>0.92384105960264906</v>
      </c>
      <c r="BO99" s="32">
        <v>0.94863013698630139</v>
      </c>
      <c r="BP99" s="32">
        <v>0.95379537953795379</v>
      </c>
      <c r="BQ99" s="32">
        <v>0.97029702970297027</v>
      </c>
      <c r="BR99" s="32">
        <v>0.94217687074829937</v>
      </c>
      <c r="BS99" s="32">
        <v>0.96907216494845361</v>
      </c>
      <c r="BT99" s="32">
        <v>0.97594501718213056</v>
      </c>
      <c r="BU99" s="32">
        <v>0.95482252267267975</v>
      </c>
      <c r="BV99" s="32">
        <v>0.90706343073058393</v>
      </c>
    </row>
    <row r="100" spans="33:74" x14ac:dyDescent="0.25">
      <c r="AG100" s="19" t="s">
        <v>163</v>
      </c>
      <c r="AH100" s="32">
        <v>0.94860813704496783</v>
      </c>
      <c r="AI100" s="32">
        <v>0.95289079229122053</v>
      </c>
      <c r="AJ100" s="32">
        <v>0.90486725663716816</v>
      </c>
      <c r="AK100" s="32">
        <v>0.99557522123893805</v>
      </c>
      <c r="AL100" s="32">
        <v>0.95796460176991149</v>
      </c>
      <c r="AM100" s="32">
        <v>0.94690265486725667</v>
      </c>
      <c r="AN100" s="32">
        <v>0.97566371681415931</v>
      </c>
      <c r="AO100" s="32">
        <v>0.95463891152337443</v>
      </c>
      <c r="AP100" s="32">
        <v>0.95353982300884954</v>
      </c>
      <c r="AQ100" s="32">
        <v>0.95132743362831862</v>
      </c>
      <c r="AR100" s="32">
        <v>0.90486725663716816</v>
      </c>
      <c r="AS100" s="32">
        <v>0.91150442477876104</v>
      </c>
      <c r="AT100" s="32">
        <v>0.96460176991150437</v>
      </c>
      <c r="AU100" s="32">
        <v>0.95652173913043481</v>
      </c>
      <c r="AV100" s="32">
        <v>0.95217391304347831</v>
      </c>
      <c r="AW100" s="32">
        <v>0.94207662287693061</v>
      </c>
      <c r="AX100" s="32">
        <v>0.90707964601769908</v>
      </c>
      <c r="AY100" s="32">
        <v>0.97216274089935761</v>
      </c>
      <c r="AZ100" s="32">
        <v>0.86504424778761058</v>
      </c>
      <c r="BA100" s="32">
        <v>0.92920353982300885</v>
      </c>
      <c r="BB100" s="32">
        <v>0.87831858407079644</v>
      </c>
      <c r="BC100" s="32">
        <v>0.97345132743362828</v>
      </c>
      <c r="BD100" s="32">
        <v>0.93141592920353977</v>
      </c>
      <c r="BE100" s="32">
        <v>0.9223822878908059</v>
      </c>
      <c r="BF100" s="32">
        <v>0.91983122362869196</v>
      </c>
      <c r="BG100" s="32">
        <v>0.92920353982300885</v>
      </c>
      <c r="BH100" s="32">
        <v>0.89240506329113922</v>
      </c>
      <c r="BI100" s="32">
        <v>0.96835443037974689</v>
      </c>
      <c r="BJ100" s="32">
        <v>0.90265486725663713</v>
      </c>
      <c r="BK100" s="32">
        <v>0.96460176991150437</v>
      </c>
      <c r="BL100" s="32">
        <v>0.86283185840707965</v>
      </c>
      <c r="BM100" s="32">
        <v>0.91998325038540119</v>
      </c>
      <c r="BN100" s="32">
        <v>0.9831223628691983</v>
      </c>
      <c r="BO100" s="32">
        <v>0.9135021097046413</v>
      </c>
      <c r="BP100" s="32">
        <v>0.96506550218340614</v>
      </c>
      <c r="BQ100" s="32">
        <v>0.93670886075949367</v>
      </c>
      <c r="BR100" s="32">
        <v>0.99367088607594933</v>
      </c>
      <c r="BS100" s="32">
        <v>0.90928270042194093</v>
      </c>
      <c r="BT100" s="32">
        <v>0.91983122362869196</v>
      </c>
      <c r="BU100" s="32">
        <v>0.94588337794904587</v>
      </c>
      <c r="BV100" s="32">
        <v>0.93699289012511167</v>
      </c>
    </row>
    <row r="101" spans="33:74" x14ac:dyDescent="0.25">
      <c r="AG101" s="19" t="s">
        <v>164</v>
      </c>
      <c r="AH101" s="32">
        <v>0.94528301886792454</v>
      </c>
      <c r="AI101" s="32">
        <v>0.9427480916030534</v>
      </c>
      <c r="AJ101" s="32">
        <v>0.92075471698113209</v>
      </c>
      <c r="AK101" s="32">
        <v>0.96603773584905661</v>
      </c>
      <c r="AL101" s="32">
        <v>0.92264150943396228</v>
      </c>
      <c r="AM101" s="32">
        <v>0.95849056603773586</v>
      </c>
      <c r="AN101" s="32">
        <v>0.96603773584905661</v>
      </c>
      <c r="AO101" s="32">
        <v>0.94599905351741731</v>
      </c>
      <c r="AP101" s="32">
        <v>0.96603773584905661</v>
      </c>
      <c r="AQ101" s="32">
        <v>0.9679245283018868</v>
      </c>
      <c r="AR101" s="32">
        <v>0.94905660377358492</v>
      </c>
      <c r="AS101" s="32">
        <v>0.96226415094339623</v>
      </c>
      <c r="AT101" s="32">
        <v>0.95660377358490567</v>
      </c>
      <c r="AU101" s="32">
        <v>0.97547169811320755</v>
      </c>
      <c r="AV101" s="32">
        <v>0.95283018867924529</v>
      </c>
      <c r="AW101" s="32">
        <v>0.96145552560646885</v>
      </c>
      <c r="AX101" s="32">
        <v>0.88301886792452833</v>
      </c>
      <c r="AY101" s="32">
        <v>0.95094339622641511</v>
      </c>
      <c r="AZ101" s="32">
        <v>0.86037735849056607</v>
      </c>
      <c r="BA101" s="32">
        <v>0.87547169811320757</v>
      </c>
      <c r="BB101" s="32">
        <v>0.93018867924528303</v>
      </c>
      <c r="BC101" s="32">
        <v>0.94716981132075473</v>
      </c>
      <c r="BD101" s="32">
        <v>0.94716981132075473</v>
      </c>
      <c r="BE101" s="32">
        <v>0.9134770889487871</v>
      </c>
      <c r="BF101" s="32">
        <v>0.92452830188679247</v>
      </c>
      <c r="BG101" s="32">
        <v>0.80566037735849061</v>
      </c>
      <c r="BH101" s="32">
        <v>0.93396226415094341</v>
      </c>
      <c r="BI101" s="32">
        <v>0.96603773584905661</v>
      </c>
      <c r="BJ101" s="32">
        <v>0.94339622641509435</v>
      </c>
      <c r="BK101" s="32">
        <v>0.84716981132075475</v>
      </c>
      <c r="BL101" s="32">
        <v>0.92641509433962266</v>
      </c>
      <c r="BM101" s="32">
        <v>0.9067385444743935</v>
      </c>
      <c r="BN101" s="32">
        <v>0.94150943396226416</v>
      </c>
      <c r="BO101" s="32">
        <v>0.93207547169811322</v>
      </c>
      <c r="BP101" s="32">
        <v>0.92641509433962266</v>
      </c>
      <c r="BQ101" s="32">
        <v>0.96981132075471699</v>
      </c>
      <c r="BR101" s="32">
        <v>0.94150943396226416</v>
      </c>
      <c r="BS101" s="32">
        <v>0.96226415094339623</v>
      </c>
      <c r="BT101" s="32">
        <v>0.98679245283018868</v>
      </c>
      <c r="BU101" s="32">
        <v>0.95148247978436662</v>
      </c>
      <c r="BV101" s="32">
        <v>0.93583053846628661</v>
      </c>
    </row>
    <row r="102" spans="33:74" x14ac:dyDescent="0.25">
      <c r="AG102" s="19" t="s">
        <v>165</v>
      </c>
      <c r="AH102" s="32">
        <v>0.92950391644908614</v>
      </c>
      <c r="AI102" s="32">
        <v>0.98191214470284238</v>
      </c>
      <c r="AJ102" s="32">
        <v>0.94056847545219635</v>
      </c>
      <c r="AK102" s="32">
        <v>0.94936708860759489</v>
      </c>
      <c r="AL102" s="32">
        <v>0.98694516971279378</v>
      </c>
      <c r="AM102" s="32">
        <v>0.98963730569948183</v>
      </c>
      <c r="AN102" s="32">
        <v>0.93229166666666663</v>
      </c>
      <c r="AO102" s="32">
        <v>0.95860368104152305</v>
      </c>
      <c r="AP102" s="32">
        <v>0.8886010362694301</v>
      </c>
      <c r="AQ102" s="32">
        <v>0.97692307692307689</v>
      </c>
      <c r="AR102" s="32">
        <v>0.94358974358974357</v>
      </c>
      <c r="AS102" s="32">
        <v>0.90792838874680304</v>
      </c>
      <c r="AT102" s="32">
        <v>0.90932642487046633</v>
      </c>
      <c r="AU102" s="32">
        <v>0.95090439276485783</v>
      </c>
      <c r="AV102" s="32">
        <v>0.93023255813953487</v>
      </c>
      <c r="AW102" s="32">
        <v>0.9296436601862732</v>
      </c>
      <c r="AX102" s="32">
        <v>0.96623376623376622</v>
      </c>
      <c r="AY102" s="32">
        <v>0.95865633074935397</v>
      </c>
      <c r="AZ102" s="32">
        <v>0.89005235602094246</v>
      </c>
      <c r="BA102" s="32">
        <v>0.96858638743455494</v>
      </c>
      <c r="BB102" s="32">
        <v>0.93540051679586567</v>
      </c>
      <c r="BC102" s="32">
        <v>0.95607235142118863</v>
      </c>
      <c r="BD102" s="32">
        <v>0.98966408268733852</v>
      </c>
      <c r="BE102" s="32">
        <v>0.95209511304900141</v>
      </c>
      <c r="BF102" s="32">
        <v>0.91578947368421049</v>
      </c>
      <c r="BG102" s="32">
        <v>0.80423280423280419</v>
      </c>
      <c r="BH102" s="32">
        <v>0.91315789473684206</v>
      </c>
      <c r="BI102" s="32">
        <v>0.98465473145780047</v>
      </c>
      <c r="BJ102" s="32">
        <v>0.99206349206349209</v>
      </c>
      <c r="BK102" s="32">
        <v>0.85978835978835977</v>
      </c>
      <c r="BL102" s="32">
        <v>0.99224806201550386</v>
      </c>
      <c r="BM102" s="32">
        <v>0.92313354542557313</v>
      </c>
      <c r="BN102" s="32">
        <v>0.9356435643564357</v>
      </c>
      <c r="BO102" s="32">
        <v>0.94683544303797473</v>
      </c>
      <c r="BP102" s="32">
        <v>0.9455445544554455</v>
      </c>
      <c r="BQ102" s="32">
        <v>0.97122302158273377</v>
      </c>
      <c r="BR102" s="32">
        <v>0.99489795918367352</v>
      </c>
      <c r="BS102" s="32">
        <v>1</v>
      </c>
      <c r="BT102" s="32">
        <v>0.99489795918367352</v>
      </c>
      <c r="BU102" s="32">
        <v>0.96986321454284818</v>
      </c>
      <c r="BV102" s="32">
        <v>0.94666784284904393</v>
      </c>
    </row>
    <row r="103" spans="33:74" x14ac:dyDescent="0.25">
      <c r="AG103" s="19" t="s">
        <v>166</v>
      </c>
      <c r="AH103" s="32">
        <v>0.97333333333333338</v>
      </c>
      <c r="AI103" s="32">
        <v>0.99151515151515146</v>
      </c>
      <c r="AJ103" s="32">
        <v>0.96969696969696972</v>
      </c>
      <c r="AK103" s="32">
        <v>0.97333333333333338</v>
      </c>
      <c r="AL103" s="32">
        <v>0.97333333333333338</v>
      </c>
      <c r="AM103" s="32">
        <v>0.98787878787878791</v>
      </c>
      <c r="AN103" s="32">
        <v>0.98311218335343786</v>
      </c>
      <c r="AO103" s="32">
        <v>0.97888615606347817</v>
      </c>
      <c r="AP103" s="32">
        <v>0.95636363636363642</v>
      </c>
      <c r="AQ103" s="32">
        <v>0.97949336550060317</v>
      </c>
      <c r="AR103" s="32">
        <v>0.96121212121212118</v>
      </c>
      <c r="AS103" s="32">
        <v>0.97575757575757571</v>
      </c>
      <c r="AT103" s="32">
        <v>0.99151515151515146</v>
      </c>
      <c r="AU103" s="32">
        <v>0.97575757575757571</v>
      </c>
      <c r="AV103" s="32">
        <v>0.96969696969696972</v>
      </c>
      <c r="AW103" s="32">
        <v>0.97282805654337612</v>
      </c>
      <c r="AX103" s="32">
        <v>0.93090909090909091</v>
      </c>
      <c r="AY103" s="32">
        <v>0.97818181818181815</v>
      </c>
      <c r="AZ103" s="32">
        <v>0.93090909090909091</v>
      </c>
      <c r="BA103" s="32">
        <v>0.92121212121212126</v>
      </c>
      <c r="BB103" s="32">
        <v>0.96606060606060606</v>
      </c>
      <c r="BC103" s="32">
        <v>0.94424242424242422</v>
      </c>
      <c r="BD103" s="32">
        <v>0.96363636363636362</v>
      </c>
      <c r="BE103" s="32">
        <v>0.94787878787878788</v>
      </c>
      <c r="BF103" s="32">
        <v>0.89672544080604533</v>
      </c>
      <c r="BG103" s="32">
        <v>0.84476067270375166</v>
      </c>
      <c r="BH103" s="32">
        <v>0.87279596977329976</v>
      </c>
      <c r="BI103" s="32">
        <v>0.97003745318352064</v>
      </c>
      <c r="BJ103" s="32">
        <v>0.91558441558441561</v>
      </c>
      <c r="BK103" s="32">
        <v>0.86804657179818889</v>
      </c>
      <c r="BL103" s="32">
        <v>0.91461836998706336</v>
      </c>
      <c r="BM103" s="32">
        <v>0.89750984197661221</v>
      </c>
      <c r="BN103" s="32">
        <v>0.98465171192443923</v>
      </c>
      <c r="BO103" s="32">
        <v>0.96121212121212118</v>
      </c>
      <c r="BP103" s="32">
        <v>0.98465171192443923</v>
      </c>
      <c r="BQ103" s="32">
        <v>0.99173553719008267</v>
      </c>
      <c r="BR103" s="32">
        <v>0.98465171192443923</v>
      </c>
      <c r="BS103" s="32">
        <v>0.96670630202140306</v>
      </c>
      <c r="BT103" s="32">
        <v>0.96930342384887835</v>
      </c>
      <c r="BU103" s="32">
        <v>0.97755893143511474</v>
      </c>
      <c r="BV103" s="32">
        <v>0.95493235477947358</v>
      </c>
    </row>
    <row r="104" spans="33:74" x14ac:dyDescent="0.25">
      <c r="AG104" s="19" t="s">
        <v>167</v>
      </c>
      <c r="AH104" s="32">
        <v>0.96064139941690962</v>
      </c>
      <c r="AI104" s="32">
        <v>0.95238095238095233</v>
      </c>
      <c r="AJ104" s="32">
        <v>0.95029239766081874</v>
      </c>
      <c r="AK104" s="32">
        <v>0.95924308588064044</v>
      </c>
      <c r="AL104" s="32">
        <v>0.94211287988422576</v>
      </c>
      <c r="AM104" s="32">
        <v>0.97333333333333338</v>
      </c>
      <c r="AN104" s="32">
        <v>0.96449704142011838</v>
      </c>
      <c r="AO104" s="32">
        <v>0.95750015571099978</v>
      </c>
      <c r="AP104" s="32">
        <v>0.92330383480825962</v>
      </c>
      <c r="AQ104" s="32">
        <v>0.95182481751824821</v>
      </c>
      <c r="AR104" s="32">
        <v>0.9247787610619469</v>
      </c>
      <c r="AS104" s="32">
        <v>0.95259259259259255</v>
      </c>
      <c r="AT104" s="32">
        <v>0.95007342143906015</v>
      </c>
      <c r="AU104" s="32">
        <v>0.96449704142011838</v>
      </c>
      <c r="AV104" s="32">
        <v>0.93676470588235294</v>
      </c>
      <c r="AW104" s="32">
        <v>0.94340502496036838</v>
      </c>
      <c r="AX104" s="32">
        <v>0.93442622950819676</v>
      </c>
      <c r="AY104" s="32">
        <v>0.96920821114369504</v>
      </c>
      <c r="AZ104" s="32">
        <v>0.92296296296296299</v>
      </c>
      <c r="BA104" s="32">
        <v>0.92109038737446203</v>
      </c>
      <c r="BB104" s="32">
        <v>0.91887905604719766</v>
      </c>
      <c r="BC104" s="32">
        <v>0.97784342688330872</v>
      </c>
      <c r="BD104" s="32">
        <v>0.94845360824742264</v>
      </c>
      <c r="BE104" s="32">
        <v>0.9418376974524636</v>
      </c>
      <c r="BF104" s="32">
        <v>0.96165191740412981</v>
      </c>
      <c r="BG104" s="32">
        <v>0.79666160849772383</v>
      </c>
      <c r="BH104" s="32">
        <v>0.96783625730994149</v>
      </c>
      <c r="BI104" s="32">
        <v>0.94759825327510916</v>
      </c>
      <c r="BJ104" s="32">
        <v>0.9419642857142857</v>
      </c>
      <c r="BK104" s="32">
        <v>0.82648401826484019</v>
      </c>
      <c r="BL104" s="32">
        <v>0.90243902439024393</v>
      </c>
      <c r="BM104" s="32">
        <v>0.90637648069375343</v>
      </c>
      <c r="BN104" s="32">
        <v>0.97266187050359709</v>
      </c>
      <c r="BO104" s="32">
        <v>0.94227994227994227</v>
      </c>
      <c r="BP104" s="32">
        <v>0.97813411078717205</v>
      </c>
      <c r="BQ104" s="32">
        <v>0.9668587896253602</v>
      </c>
      <c r="BR104" s="32">
        <v>0.99262536873156337</v>
      </c>
      <c r="BS104" s="32">
        <v>0.95735294117647063</v>
      </c>
      <c r="BT104" s="32">
        <v>0.97492625368731567</v>
      </c>
      <c r="BU104" s="32">
        <v>0.96926275382734584</v>
      </c>
      <c r="BV104" s="32">
        <v>0.94367642252898631</v>
      </c>
    </row>
    <row r="105" spans="33:74" x14ac:dyDescent="0.25">
      <c r="AG105" s="19" t="s">
        <v>168</v>
      </c>
      <c r="AH105" s="32">
        <v>0.90156250000000004</v>
      </c>
      <c r="AI105" s="32">
        <v>0.96232339089481944</v>
      </c>
      <c r="AJ105" s="32">
        <v>0.94786729857819907</v>
      </c>
      <c r="AK105" s="32">
        <v>0.94505494505494503</v>
      </c>
      <c r="AL105" s="32">
        <v>0.97368421052631582</v>
      </c>
      <c r="AM105" s="32">
        <v>0.97832817337461297</v>
      </c>
      <c r="AN105" s="32">
        <v>0.97368421052631582</v>
      </c>
      <c r="AO105" s="32">
        <v>0.95464353270788682</v>
      </c>
      <c r="AP105" s="32">
        <v>0.91718750000000004</v>
      </c>
      <c r="AQ105" s="32">
        <v>0.95356037151702788</v>
      </c>
      <c r="AR105" s="32">
        <v>0.939873417721519</v>
      </c>
      <c r="AS105" s="32">
        <v>0.97160883280757093</v>
      </c>
      <c r="AT105" s="32">
        <v>0.94736842105263153</v>
      </c>
      <c r="AU105" s="32">
        <v>0.9504643962848297</v>
      </c>
      <c r="AV105" s="32">
        <v>0.96904024767801855</v>
      </c>
      <c r="AW105" s="32">
        <v>0.94987188386594268</v>
      </c>
      <c r="AX105" s="32">
        <v>0.85468750000000004</v>
      </c>
      <c r="AY105" s="32">
        <v>0.94753086419753085</v>
      </c>
      <c r="AZ105" s="32">
        <v>0.87183544303797467</v>
      </c>
      <c r="BA105" s="32">
        <v>0.86234177215189878</v>
      </c>
      <c r="BB105" s="32">
        <v>0.89570552147239269</v>
      </c>
      <c r="BC105" s="32">
        <v>0.93404907975460127</v>
      </c>
      <c r="BD105" s="32">
        <v>0.92791411042944782</v>
      </c>
      <c r="BE105" s="32">
        <v>0.89915204157769224</v>
      </c>
      <c r="BF105" s="32">
        <v>0.9</v>
      </c>
      <c r="BG105" s="32">
        <v>0.77244582043343657</v>
      </c>
      <c r="BH105" s="32">
        <v>0.90981012658227844</v>
      </c>
      <c r="BI105" s="32">
        <v>0.91167192429022081</v>
      </c>
      <c r="BJ105" s="32">
        <v>0.88699690402476783</v>
      </c>
      <c r="BK105" s="32">
        <v>0.80804953560371517</v>
      </c>
      <c r="BL105" s="32">
        <v>0.84365325077399378</v>
      </c>
      <c r="BM105" s="32">
        <v>0.86180393738691596</v>
      </c>
      <c r="BN105" s="32">
        <v>0.90809968847352029</v>
      </c>
      <c r="BO105" s="32">
        <v>0.8834355828220859</v>
      </c>
      <c r="BP105" s="32">
        <v>0.91640378548895896</v>
      </c>
      <c r="BQ105" s="32">
        <v>0.94164037854889593</v>
      </c>
      <c r="BR105" s="32">
        <v>0.92438271604938271</v>
      </c>
      <c r="BS105" s="32">
        <v>0.89110429447852757</v>
      </c>
      <c r="BT105" s="32">
        <v>0.92129629629629628</v>
      </c>
      <c r="BU105" s="32">
        <v>0.91233753459395273</v>
      </c>
      <c r="BV105" s="32">
        <v>0.91556178602647831</v>
      </c>
    </row>
    <row r="106" spans="33:74" x14ac:dyDescent="0.25">
      <c r="AG106" s="19" t="s">
        <v>169</v>
      </c>
      <c r="AH106" s="32">
        <v>0.96217105263157898</v>
      </c>
      <c r="AI106" s="32">
        <v>0.97723577235772363</v>
      </c>
      <c r="AJ106" s="32">
        <v>0.97082658022690438</v>
      </c>
      <c r="AK106" s="32">
        <v>0.97377049180327868</v>
      </c>
      <c r="AL106" s="32">
        <v>0.95348837209302328</v>
      </c>
      <c r="AM106" s="32">
        <v>0.95758564437194127</v>
      </c>
      <c r="AN106" s="32">
        <v>0.96849087893864017</v>
      </c>
      <c r="AO106" s="32">
        <v>0.9662241132032986</v>
      </c>
      <c r="AP106" s="32">
        <v>0.95364238410596025</v>
      </c>
      <c r="AQ106" s="32">
        <v>0.9691558441558441</v>
      </c>
      <c r="AR106" s="32">
        <v>0.94728171334431632</v>
      </c>
      <c r="AS106" s="32">
        <v>0.9688524590163935</v>
      </c>
      <c r="AT106" s="32">
        <v>0.95371900826446276</v>
      </c>
      <c r="AU106" s="32">
        <v>0.97024793388429753</v>
      </c>
      <c r="AV106" s="32">
        <v>0.95921696574225124</v>
      </c>
      <c r="AW106" s="32">
        <v>0.96030232978764651</v>
      </c>
      <c r="AX106" s="32">
        <v>0.91528239202657802</v>
      </c>
      <c r="AY106" s="32">
        <v>0.97893030794165314</v>
      </c>
      <c r="AZ106" s="32">
        <v>0.9408783783783784</v>
      </c>
      <c r="BA106" s="32">
        <v>0.96108291032148896</v>
      </c>
      <c r="BB106" s="32">
        <v>0.94918032786885242</v>
      </c>
      <c r="BC106" s="32">
        <v>0.97540983606557374</v>
      </c>
      <c r="BD106" s="32">
        <v>0.96217105263157898</v>
      </c>
      <c r="BE106" s="32">
        <v>0.95470502931915757</v>
      </c>
      <c r="BF106" s="32">
        <v>0.98190789473684215</v>
      </c>
      <c r="BG106" s="32">
        <v>0.88225255972696248</v>
      </c>
      <c r="BH106" s="32">
        <v>0.9819672131147541</v>
      </c>
      <c r="BI106" s="32">
        <v>0.9822294022617124</v>
      </c>
      <c r="BJ106" s="32">
        <v>0.96</v>
      </c>
      <c r="BK106" s="32">
        <v>0.88737201365187712</v>
      </c>
      <c r="BL106" s="32">
        <v>0.94227504244482174</v>
      </c>
      <c r="BM106" s="32">
        <v>0.94542916084813855</v>
      </c>
      <c r="BN106" s="32">
        <v>0.95269168026101136</v>
      </c>
      <c r="BO106" s="32">
        <v>0.98536585365853657</v>
      </c>
      <c r="BP106" s="32">
        <v>0.967741935483871</v>
      </c>
      <c r="BQ106" s="32">
        <v>0.9838709677419355</v>
      </c>
      <c r="BR106" s="32">
        <v>0.97464342313787644</v>
      </c>
      <c r="BS106" s="32">
        <v>0.9856459330143541</v>
      </c>
      <c r="BT106" s="32">
        <v>0.97484276729559749</v>
      </c>
      <c r="BU106" s="32">
        <v>0.97497179437045467</v>
      </c>
      <c r="BV106" s="32">
        <v>0.9603264855057394</v>
      </c>
    </row>
    <row r="107" spans="33:74" x14ac:dyDescent="0.25">
      <c r="AG107" s="19" t="s">
        <v>170</v>
      </c>
      <c r="AH107" s="32">
        <v>0.86714975845410625</v>
      </c>
      <c r="AI107" s="32">
        <v>0.98557692307692313</v>
      </c>
      <c r="AJ107" s="32">
        <v>0.89855072463768115</v>
      </c>
      <c r="AK107" s="32">
        <v>0.86714975845410625</v>
      </c>
      <c r="AL107" s="32">
        <v>0.96634615384615385</v>
      </c>
      <c r="AM107" s="32">
        <v>0.96859903381642509</v>
      </c>
      <c r="AN107" s="32">
        <v>0.95893719806763289</v>
      </c>
      <c r="AO107" s="32">
        <v>0.93032993576471845</v>
      </c>
      <c r="AP107" s="32">
        <v>0.92028985507246375</v>
      </c>
      <c r="AQ107" s="32">
        <v>0.98329355608591884</v>
      </c>
      <c r="AR107" s="32">
        <v>0.93478260869565222</v>
      </c>
      <c r="AS107" s="32">
        <v>0.95169082125603865</v>
      </c>
      <c r="AT107" s="32">
        <v>0.94004796163069548</v>
      </c>
      <c r="AU107" s="32">
        <v>0.96172248803827753</v>
      </c>
      <c r="AV107" s="32">
        <v>0.9301204819277108</v>
      </c>
      <c r="AW107" s="32">
        <v>0.9459925389581082</v>
      </c>
      <c r="AX107" s="32">
        <v>0.83574879227053145</v>
      </c>
      <c r="AY107" s="32">
        <v>0.94216867469879517</v>
      </c>
      <c r="AZ107" s="32">
        <v>0.85024154589371981</v>
      </c>
      <c r="BA107" s="32">
        <v>0.86714975845410625</v>
      </c>
      <c r="BB107" s="32">
        <v>0.93961352657004826</v>
      </c>
      <c r="BC107" s="32">
        <v>0.95192307692307687</v>
      </c>
      <c r="BD107" s="32">
        <v>0.94951923076923073</v>
      </c>
      <c r="BE107" s="32">
        <v>0.9051949436542156</v>
      </c>
      <c r="BF107" s="32">
        <v>0.91105769230769229</v>
      </c>
      <c r="BG107" s="32">
        <v>0.78019323671497587</v>
      </c>
      <c r="BH107" s="32">
        <v>0.93779904306220097</v>
      </c>
      <c r="BI107" s="32">
        <v>0.98130841121495327</v>
      </c>
      <c r="BJ107" s="32">
        <v>0.88942307692307687</v>
      </c>
      <c r="BK107" s="32">
        <v>0.80676328502415462</v>
      </c>
      <c r="BL107" s="32">
        <v>0.90579710144927539</v>
      </c>
      <c r="BM107" s="32">
        <v>0.88747740667090425</v>
      </c>
      <c r="BN107" s="32">
        <v>0.95933014354066981</v>
      </c>
      <c r="BO107" s="32">
        <v>0.944578313253012</v>
      </c>
      <c r="BP107" s="32">
        <v>0.97447795823665895</v>
      </c>
      <c r="BQ107" s="32">
        <v>0.99305555555555558</v>
      </c>
      <c r="BR107" s="32">
        <v>0.98333333333333328</v>
      </c>
      <c r="BS107" s="32">
        <v>0.97108433734939759</v>
      </c>
      <c r="BT107" s="32">
        <v>0.97393364928909953</v>
      </c>
      <c r="BU107" s="32">
        <v>0.97139904150824663</v>
      </c>
      <c r="BV107" s="32">
        <v>0.92807877331123845</v>
      </c>
    </row>
    <row r="108" spans="33:74" x14ac:dyDescent="0.25">
      <c r="AG108" s="19" t="s">
        <v>171</v>
      </c>
      <c r="AH108" s="32">
        <v>0.92400690846286704</v>
      </c>
      <c r="AI108" s="32">
        <v>0.93642611683848798</v>
      </c>
      <c r="AJ108" s="32">
        <v>0.93031358885017423</v>
      </c>
      <c r="AK108" s="32">
        <v>0.94608695652173913</v>
      </c>
      <c r="AL108" s="32">
        <v>0.92724196277495774</v>
      </c>
      <c r="AM108" s="32">
        <v>0.94137931034482758</v>
      </c>
      <c r="AN108" s="32">
        <v>0.94915254237288138</v>
      </c>
      <c r="AO108" s="32">
        <v>0.93637248373799076</v>
      </c>
      <c r="AP108" s="32">
        <v>0.88754325259515576</v>
      </c>
      <c r="AQ108" s="32">
        <v>0.97931034482758617</v>
      </c>
      <c r="AR108" s="32">
        <v>0.86873920552677031</v>
      </c>
      <c r="AS108" s="32">
        <v>0.92881944444444442</v>
      </c>
      <c r="AT108" s="32">
        <v>0.93310463121783882</v>
      </c>
      <c r="AU108" s="32">
        <v>0.9525423728813559</v>
      </c>
      <c r="AV108" s="32">
        <v>0.92592592592592593</v>
      </c>
      <c r="AW108" s="32">
        <v>0.92514073963129684</v>
      </c>
      <c r="AX108" s="32">
        <v>0.8519163763066202</v>
      </c>
      <c r="AY108" s="32">
        <v>0.9343696027633851</v>
      </c>
      <c r="AZ108" s="32">
        <v>0.82055749128919864</v>
      </c>
      <c r="BA108" s="32">
        <v>0.8240418118466899</v>
      </c>
      <c r="BB108" s="32">
        <v>0.89774696707105717</v>
      </c>
      <c r="BC108" s="32">
        <v>0.92055267702936094</v>
      </c>
      <c r="BD108" s="32">
        <v>0.93793103448275861</v>
      </c>
      <c r="BE108" s="32">
        <v>0.88387370868415294</v>
      </c>
      <c r="BF108" s="32">
        <v>0.8519163763066202</v>
      </c>
      <c r="BG108" s="32">
        <v>0.72648083623693382</v>
      </c>
      <c r="BH108" s="32">
        <v>0.85763888888888884</v>
      </c>
      <c r="BI108" s="32">
        <v>0.91766723842195541</v>
      </c>
      <c r="BJ108" s="32">
        <v>0.8623693379790941</v>
      </c>
      <c r="BK108" s="32">
        <v>0.75958188153310102</v>
      </c>
      <c r="BL108" s="32">
        <v>0.82578397212543553</v>
      </c>
      <c r="BM108" s="32">
        <v>0.82877693307028977</v>
      </c>
      <c r="BN108" s="32">
        <v>0.94237288135593222</v>
      </c>
      <c r="BO108" s="32">
        <v>0.92844974446337314</v>
      </c>
      <c r="BP108" s="32">
        <v>0.95270270270270274</v>
      </c>
      <c r="BQ108" s="32">
        <v>0.97394136807817588</v>
      </c>
      <c r="BR108" s="32">
        <v>0.9595278246205734</v>
      </c>
      <c r="BS108" s="32">
        <v>0.96440677966101696</v>
      </c>
      <c r="BT108" s="32">
        <v>0.9576271186440678</v>
      </c>
      <c r="BU108" s="32">
        <v>0.95414691707512034</v>
      </c>
      <c r="BV108" s="32">
        <v>0.90566215643976999</v>
      </c>
    </row>
    <row r="109" spans="33:74" x14ac:dyDescent="0.25">
      <c r="AG109" s="19" t="s">
        <v>172</v>
      </c>
      <c r="AH109" s="32">
        <v>0.94598765432098764</v>
      </c>
      <c r="AI109" s="32">
        <v>0.97222222222222221</v>
      </c>
      <c r="AJ109" s="32">
        <v>0.95833333333333337</v>
      </c>
      <c r="AK109" s="32">
        <v>0.95833333333333337</v>
      </c>
      <c r="AL109" s="32">
        <v>0.97376543209876543</v>
      </c>
      <c r="AM109" s="32">
        <v>0.97839506172839508</v>
      </c>
      <c r="AN109" s="32">
        <v>0.96759259259259256</v>
      </c>
      <c r="AO109" s="32">
        <v>0.96494708994709</v>
      </c>
      <c r="AP109" s="32">
        <v>0.93312597200622083</v>
      </c>
      <c r="AQ109" s="32">
        <v>0.96450617283950613</v>
      </c>
      <c r="AR109" s="32">
        <v>0.9272445820433437</v>
      </c>
      <c r="AS109" s="32">
        <v>0.93044822256568782</v>
      </c>
      <c r="AT109" s="32">
        <v>0.96111975116640747</v>
      </c>
      <c r="AU109" s="32">
        <v>0.95833333333333337</v>
      </c>
      <c r="AV109" s="32">
        <v>0.97356143079315705</v>
      </c>
      <c r="AW109" s="32">
        <v>0.94976278067823661</v>
      </c>
      <c r="AX109" s="32">
        <v>0.92990654205607481</v>
      </c>
      <c r="AY109" s="32">
        <v>0.94376899696048633</v>
      </c>
      <c r="AZ109" s="32">
        <v>0.90438871473354232</v>
      </c>
      <c r="BA109" s="32">
        <v>0.87066246056782337</v>
      </c>
      <c r="BB109" s="32">
        <v>0.93653250773993812</v>
      </c>
      <c r="BC109" s="32">
        <v>0.92249240121580545</v>
      </c>
      <c r="BD109" s="32">
        <v>0.91033434650455924</v>
      </c>
      <c r="BE109" s="32">
        <v>0.91686942425403284</v>
      </c>
      <c r="BF109" s="32">
        <v>0.92834890965732086</v>
      </c>
      <c r="BG109" s="32">
        <v>0.81072555205047314</v>
      </c>
      <c r="BH109" s="32">
        <v>0.92834890965732086</v>
      </c>
      <c r="BI109" s="32">
        <v>0.92211838006230529</v>
      </c>
      <c r="BJ109" s="32">
        <v>0.93613707165109039</v>
      </c>
      <c r="BK109" s="32">
        <v>0.82176656151419558</v>
      </c>
      <c r="BL109" s="32">
        <v>0.88785046728971961</v>
      </c>
      <c r="BM109" s="32">
        <v>0.89075655026891798</v>
      </c>
      <c r="BN109" s="32">
        <v>0.94200626959247646</v>
      </c>
      <c r="BO109" s="32">
        <v>0.92163009404388718</v>
      </c>
      <c r="BP109" s="32">
        <v>0.93260188087774298</v>
      </c>
      <c r="BQ109" s="32">
        <v>0.96551724137931039</v>
      </c>
      <c r="BR109" s="32">
        <v>0.94200626959247646</v>
      </c>
      <c r="BS109" s="32">
        <v>0.92056074766355145</v>
      </c>
      <c r="BT109" s="32">
        <v>0.93769470404984423</v>
      </c>
      <c r="BU109" s="32">
        <v>0.93743102959989844</v>
      </c>
      <c r="BV109" s="32">
        <v>0.93195337494963504</v>
      </c>
    </row>
    <row r="110" spans="33:74" x14ac:dyDescent="0.25">
      <c r="AG110" s="19" t="s">
        <v>173</v>
      </c>
      <c r="AH110" s="32">
        <v>0.96026490066225167</v>
      </c>
      <c r="AI110" s="32">
        <v>1</v>
      </c>
      <c r="AJ110" s="32">
        <v>0.98645598194130923</v>
      </c>
      <c r="AK110" s="32">
        <v>0.99775280898876406</v>
      </c>
      <c r="AL110" s="32">
        <v>0.99779249448123619</v>
      </c>
      <c r="AM110" s="32">
        <v>0.99126637554585151</v>
      </c>
      <c r="AN110" s="32">
        <v>0.986784140969163</v>
      </c>
      <c r="AO110" s="32">
        <v>0.98861667179836787</v>
      </c>
      <c r="AP110" s="32">
        <v>0.97945205479452058</v>
      </c>
      <c r="AQ110" s="32">
        <v>0.99777777777777776</v>
      </c>
      <c r="AR110" s="32">
        <v>0.98858447488584478</v>
      </c>
      <c r="AS110" s="32">
        <v>0.99777282850779514</v>
      </c>
      <c r="AT110" s="32">
        <v>0.98401826484018262</v>
      </c>
      <c r="AU110" s="32">
        <v>0.99336283185840712</v>
      </c>
      <c r="AV110" s="32">
        <v>0.98222222222222222</v>
      </c>
      <c r="AW110" s="32">
        <v>0.98902720784096421</v>
      </c>
      <c r="AX110" s="32">
        <v>0.93378995433789957</v>
      </c>
      <c r="AY110" s="32">
        <v>0.9933035714285714</v>
      </c>
      <c r="AZ110" s="32">
        <v>0.92889908256880738</v>
      </c>
      <c r="BA110" s="32">
        <v>0.95890410958904104</v>
      </c>
      <c r="BB110" s="32">
        <v>0.98654708520179368</v>
      </c>
      <c r="BC110" s="32">
        <v>0.99775784753363228</v>
      </c>
      <c r="BD110" s="32">
        <v>1</v>
      </c>
      <c r="BE110" s="32">
        <v>0.97131452152282083</v>
      </c>
      <c r="BF110" s="32">
        <v>0.9655963302752294</v>
      </c>
      <c r="BG110" s="32">
        <v>0.86073059360730597</v>
      </c>
      <c r="BH110" s="32">
        <v>0.97247706422018354</v>
      </c>
      <c r="BI110" s="32">
        <v>1</v>
      </c>
      <c r="BJ110" s="32">
        <v>0.98165137614678899</v>
      </c>
      <c r="BK110" s="32">
        <v>0.92201834862385323</v>
      </c>
      <c r="BL110" s="32">
        <v>0.96100917431192656</v>
      </c>
      <c r="BM110" s="32">
        <v>0.95192612674075527</v>
      </c>
      <c r="BN110" s="32">
        <v>0.99327354260089684</v>
      </c>
      <c r="BO110" s="32">
        <v>0.95796460176991149</v>
      </c>
      <c r="BP110" s="32">
        <v>0.99334811529933487</v>
      </c>
      <c r="BQ110" s="32">
        <v>1</v>
      </c>
      <c r="BR110" s="32">
        <v>0.98444444444444446</v>
      </c>
      <c r="BS110" s="32">
        <v>0.99333333333333329</v>
      </c>
      <c r="BT110" s="32">
        <v>0.98233995584988965</v>
      </c>
      <c r="BU110" s="32">
        <v>0.9863862847568301</v>
      </c>
      <c r="BV110" s="32">
        <v>0.97745416253194761</v>
      </c>
    </row>
    <row r="111" spans="33:74" x14ac:dyDescent="0.25">
      <c r="AG111" s="19" t="s">
        <v>174</v>
      </c>
      <c r="AH111" s="32">
        <v>0.82884748102139405</v>
      </c>
      <c r="AI111" s="32">
        <v>0.8336620644312952</v>
      </c>
      <c r="AJ111" s="32">
        <v>0.82440056417489427</v>
      </c>
      <c r="AK111" s="32">
        <v>0.81296421336934499</v>
      </c>
      <c r="AL111" s="32">
        <v>0.8667554963357762</v>
      </c>
      <c r="AM111" s="32">
        <v>0.83860342555994727</v>
      </c>
      <c r="AN111" s="32">
        <v>0.82960526315789473</v>
      </c>
      <c r="AO111" s="32">
        <v>0.83354835829293528</v>
      </c>
      <c r="AP111" s="32">
        <v>0.78758620689655168</v>
      </c>
      <c r="AQ111" s="32">
        <v>0.82219251336898391</v>
      </c>
      <c r="AR111" s="32">
        <v>0.78450704225352108</v>
      </c>
      <c r="AS111" s="32">
        <v>0.77320954907161799</v>
      </c>
      <c r="AT111" s="32">
        <v>0.80933333333333335</v>
      </c>
      <c r="AU111" s="32">
        <v>0.8173970783532537</v>
      </c>
      <c r="AV111" s="32">
        <v>0.81025299600532619</v>
      </c>
      <c r="AW111" s="32">
        <v>0.80063981704036968</v>
      </c>
      <c r="AX111" s="32">
        <v>0.70575988896599584</v>
      </c>
      <c r="AY111" s="32">
        <v>0.80936675461741425</v>
      </c>
      <c r="AZ111" s="32">
        <v>0.68587491215741392</v>
      </c>
      <c r="BA111" s="32">
        <v>0.660377358490566</v>
      </c>
      <c r="BB111" s="32">
        <v>0.80040053404539391</v>
      </c>
      <c r="BC111" s="32">
        <v>0.81315789473684208</v>
      </c>
      <c r="BD111" s="32">
        <v>0.80277044854881263</v>
      </c>
      <c r="BE111" s="32">
        <v>0.75395825593749133</v>
      </c>
      <c r="BF111" s="32">
        <v>0.70999301187980435</v>
      </c>
      <c r="BG111" s="32">
        <v>0.55950752393980852</v>
      </c>
      <c r="BH111" s="32">
        <v>0.71971830985915497</v>
      </c>
      <c r="BI111" s="32">
        <v>0.72861952861952861</v>
      </c>
      <c r="BJ111" s="32">
        <v>0.69365721997300944</v>
      </c>
      <c r="BK111" s="32">
        <v>0.56898907103825136</v>
      </c>
      <c r="BL111" s="32">
        <v>0.62975543478260865</v>
      </c>
      <c r="BM111" s="32">
        <v>0.6586057285845951</v>
      </c>
      <c r="BN111" s="32">
        <v>0.78382053025152953</v>
      </c>
      <c r="BO111" s="32">
        <v>0.69972826086956519</v>
      </c>
      <c r="BP111" s="32">
        <v>0.78224687933425796</v>
      </c>
      <c r="BQ111" s="32">
        <v>0.78888153540701522</v>
      </c>
      <c r="BR111" s="32">
        <v>0.80515191545574638</v>
      </c>
      <c r="BS111" s="32">
        <v>0.72029372496662214</v>
      </c>
      <c r="BT111" s="32">
        <v>0.77434210526315794</v>
      </c>
      <c r="BU111" s="32">
        <v>0.76492356450684196</v>
      </c>
      <c r="BV111" s="32">
        <v>0.76233514487244669</v>
      </c>
    </row>
    <row r="112" spans="33:74" x14ac:dyDescent="0.25">
      <c r="AG112" s="19" t="s">
        <v>175</v>
      </c>
      <c r="AH112" s="32">
        <v>0.9920844327176781</v>
      </c>
      <c r="AI112" s="32">
        <v>1</v>
      </c>
      <c r="AJ112" s="32">
        <v>0.98153034300791553</v>
      </c>
      <c r="AK112" s="32">
        <v>0.97889182058047497</v>
      </c>
      <c r="AL112" s="32">
        <v>0.98944591029023743</v>
      </c>
      <c r="AM112" s="32">
        <v>0.99477806788511747</v>
      </c>
      <c r="AN112" s="32">
        <v>1</v>
      </c>
      <c r="AO112" s="32">
        <v>0.99096151064020332</v>
      </c>
      <c r="AP112" s="32">
        <v>1</v>
      </c>
      <c r="AQ112" s="32">
        <v>0.9762532981530343</v>
      </c>
      <c r="AR112" s="32">
        <v>0.99736147757255933</v>
      </c>
      <c r="AS112" s="32">
        <v>0.99736147757255933</v>
      </c>
      <c r="AT112" s="32">
        <v>1</v>
      </c>
      <c r="AU112" s="32">
        <v>1</v>
      </c>
      <c r="AV112" s="32">
        <v>1</v>
      </c>
      <c r="AW112" s="32">
        <v>0.99585375047116476</v>
      </c>
      <c r="AX112" s="32">
        <v>0.9762532981530343</v>
      </c>
      <c r="AY112" s="32">
        <v>0.99736147757255933</v>
      </c>
      <c r="AZ112" s="32">
        <v>0.9525065963060686</v>
      </c>
      <c r="BA112" s="32">
        <v>0.97361477572559363</v>
      </c>
      <c r="BB112" s="32">
        <v>0.98680738786279687</v>
      </c>
      <c r="BC112" s="32">
        <v>0.99472295514511877</v>
      </c>
      <c r="BD112" s="32">
        <v>0.99472295514511877</v>
      </c>
      <c r="BE112" s="32">
        <v>0.98228420655861282</v>
      </c>
      <c r="BF112" s="32">
        <v>0.99472295514511877</v>
      </c>
      <c r="BG112" s="32">
        <v>0.9287598944591029</v>
      </c>
      <c r="BH112" s="32">
        <v>0.99736147757255933</v>
      </c>
      <c r="BI112" s="32" t="e">
        <v>#NUM!</v>
      </c>
      <c r="BJ112" s="32">
        <v>0.98153034300791553</v>
      </c>
      <c r="BK112" s="32">
        <v>0.91556728232189977</v>
      </c>
      <c r="BL112" s="32">
        <v>0.9525065963060686</v>
      </c>
      <c r="BM112" s="32" t="e">
        <v>#NUM!</v>
      </c>
      <c r="BN112" s="32" t="e">
        <v>#NUM!</v>
      </c>
      <c r="BO112" s="32" t="e">
        <v>#NUM!</v>
      </c>
      <c r="BP112" s="32" t="e">
        <v>#NUM!</v>
      </c>
      <c r="BQ112" s="32" t="e">
        <v>#NUM!</v>
      </c>
      <c r="BR112" s="32" t="e">
        <v>#NUM!</v>
      </c>
      <c r="BS112" s="32" t="e">
        <v>#NUM!</v>
      </c>
      <c r="BT112" s="32" t="e">
        <v>#NUM!</v>
      </c>
      <c r="BU112" s="32" t="e">
        <v>#NUM!</v>
      </c>
      <c r="BV112" s="32" t="e">
        <v>#NUM!</v>
      </c>
    </row>
    <row r="113" spans="33:74" x14ac:dyDescent="0.25">
      <c r="AG113" s="19" t="s">
        <v>176</v>
      </c>
      <c r="AH113" s="32">
        <v>0.97572815533980584</v>
      </c>
      <c r="AI113" s="32">
        <v>0.98777506112469438</v>
      </c>
      <c r="AJ113" s="32">
        <v>0.970873786407767</v>
      </c>
      <c r="AK113" s="32">
        <v>0.99045346062052508</v>
      </c>
      <c r="AL113" s="32">
        <v>0.97572815533980584</v>
      </c>
      <c r="AM113" s="32">
        <v>0.99264705882352944</v>
      </c>
      <c r="AN113" s="32">
        <v>0.98067632850241548</v>
      </c>
      <c r="AO113" s="32">
        <v>0.98198314373693485</v>
      </c>
      <c r="AP113" s="32">
        <v>0.94840294840294836</v>
      </c>
      <c r="AQ113" s="32">
        <v>0.99045346062052508</v>
      </c>
      <c r="AR113" s="32">
        <v>0.95823095823095827</v>
      </c>
      <c r="AS113" s="32">
        <v>0.99036144578313257</v>
      </c>
      <c r="AT113" s="32">
        <v>0.97596153846153844</v>
      </c>
      <c r="AU113" s="32">
        <v>0.9928057553956835</v>
      </c>
      <c r="AV113" s="32">
        <v>0.96634615384615385</v>
      </c>
      <c r="AW113" s="32">
        <v>0.97465175153442019</v>
      </c>
      <c r="AX113" s="32">
        <v>0.91325301204819276</v>
      </c>
      <c r="AY113" s="32">
        <v>0.99036144578313257</v>
      </c>
      <c r="AZ113" s="32">
        <v>0.91325301204819276</v>
      </c>
      <c r="BA113" s="32">
        <v>0.89879518072289155</v>
      </c>
      <c r="BB113" s="32">
        <v>0.91325301204819276</v>
      </c>
      <c r="BC113" s="32">
        <v>0.99036144578313257</v>
      </c>
      <c r="BD113" s="32">
        <v>0.95662650602409638</v>
      </c>
      <c r="BE113" s="32">
        <v>0.9394148020654044</v>
      </c>
      <c r="BF113" s="32">
        <v>0.97493734335839599</v>
      </c>
      <c r="BG113" s="32">
        <v>0.87228915662650608</v>
      </c>
      <c r="BH113" s="32">
        <v>0.98309178743961356</v>
      </c>
      <c r="BI113" s="32">
        <v>0.98984771573604058</v>
      </c>
      <c r="BJ113" s="32">
        <v>0.97493734335839599</v>
      </c>
      <c r="BK113" s="32">
        <v>0.81927710843373491</v>
      </c>
      <c r="BL113" s="32">
        <v>0.96411483253588515</v>
      </c>
      <c r="BM113" s="32">
        <v>0.93978504106979599</v>
      </c>
      <c r="BN113" s="32">
        <v>0.97536945812807885</v>
      </c>
      <c r="BO113" s="32">
        <v>0.99242424242424243</v>
      </c>
      <c r="BP113" s="32">
        <v>0.97536945812807885</v>
      </c>
      <c r="BQ113" s="32">
        <v>0.93516209476309231</v>
      </c>
      <c r="BR113" s="32">
        <v>0.99242424242424243</v>
      </c>
      <c r="BS113" s="32">
        <v>0.99242424242424243</v>
      </c>
      <c r="BT113" s="32">
        <v>0.99242424242424243</v>
      </c>
      <c r="BU113" s="32">
        <v>0.97937114010231707</v>
      </c>
      <c r="BV113" s="32">
        <v>0.96304117570177439</v>
      </c>
    </row>
    <row r="114" spans="33:74" x14ac:dyDescent="0.25">
      <c r="AG114" s="19" t="s">
        <v>177</v>
      </c>
      <c r="AH114" s="32">
        <v>0.96231155778894473</v>
      </c>
      <c r="AI114" s="32">
        <v>0.98492462311557794</v>
      </c>
      <c r="AJ114" s="32">
        <v>0.96482412060301503</v>
      </c>
      <c r="AK114" s="32">
        <v>0.98492462311557794</v>
      </c>
      <c r="AL114" s="32">
        <v>0.95979899497487442</v>
      </c>
      <c r="AM114" s="32">
        <v>0.97236180904522618</v>
      </c>
      <c r="AN114" s="32">
        <v>0.96482412060301503</v>
      </c>
      <c r="AO114" s="32">
        <v>0.97056712132089018</v>
      </c>
      <c r="AP114" s="32">
        <v>0.99246231155778897</v>
      </c>
      <c r="AQ114" s="32">
        <v>0.98492462311557794</v>
      </c>
      <c r="AR114" s="32">
        <v>0.92964824120603018</v>
      </c>
      <c r="AS114" s="32">
        <v>0.98492462311557794</v>
      </c>
      <c r="AT114" s="32">
        <v>0.98492462311557794</v>
      </c>
      <c r="AU114" s="32">
        <v>0.98743718592964824</v>
      </c>
      <c r="AV114" s="32">
        <v>0.97989949748743721</v>
      </c>
      <c r="AW114" s="32">
        <v>0.97774587221823406</v>
      </c>
      <c r="AX114" s="32">
        <v>0.97989949748743721</v>
      </c>
      <c r="AY114" s="32">
        <v>0.98743718592964824</v>
      </c>
      <c r="AZ114" s="32">
        <v>0.9346733668341709</v>
      </c>
      <c r="BA114" s="32">
        <v>0.93969849246231152</v>
      </c>
      <c r="BB114" s="32">
        <v>0.99497487437185927</v>
      </c>
      <c r="BC114" s="32">
        <v>0.99497487437185927</v>
      </c>
      <c r="BD114" s="32">
        <v>0.98492462311557794</v>
      </c>
      <c r="BE114" s="32">
        <v>0.97379755922469502</v>
      </c>
      <c r="BF114" s="32">
        <v>0.95979899497487442</v>
      </c>
      <c r="BG114" s="32">
        <v>0.92713567839195976</v>
      </c>
      <c r="BH114" s="32">
        <v>0.93718592964824121</v>
      </c>
      <c r="BI114" s="32">
        <v>0.98762376237623761</v>
      </c>
      <c r="BJ114" s="32">
        <v>0.95959595959595956</v>
      </c>
      <c r="BK114" s="32">
        <v>0.85678391959798994</v>
      </c>
      <c r="BL114" s="32">
        <v>0.93939393939393945</v>
      </c>
      <c r="BM114" s="32">
        <v>0.9382168834256005</v>
      </c>
      <c r="BN114" s="32">
        <v>0.97989949748743721</v>
      </c>
      <c r="BO114" s="32">
        <v>0.97029702970297027</v>
      </c>
      <c r="BP114" s="32">
        <v>0.98492462311557794</v>
      </c>
      <c r="BQ114" s="32">
        <v>0.99246231155778897</v>
      </c>
      <c r="BR114" s="32">
        <v>0.98267326732673266</v>
      </c>
      <c r="BS114" s="32">
        <v>0.98759305210918114</v>
      </c>
      <c r="BT114" s="32">
        <v>1</v>
      </c>
      <c r="BU114" s="32">
        <v>0.9854071116142411</v>
      </c>
      <c r="BV114" s="32">
        <v>0.96914690956073213</v>
      </c>
    </row>
    <row r="115" spans="33:74" x14ac:dyDescent="0.25">
      <c r="AG115" s="19" t="s">
        <v>178</v>
      </c>
      <c r="AH115" s="32">
        <v>0.95726495726495731</v>
      </c>
      <c r="AI115" s="32">
        <v>0.92624356775300176</v>
      </c>
      <c r="AJ115" s="32">
        <v>0.888507718696398</v>
      </c>
      <c r="AK115" s="32">
        <v>0.94501718213058417</v>
      </c>
      <c r="AL115" s="32">
        <v>0.95051194539249151</v>
      </c>
      <c r="AM115" s="32">
        <v>0.94709897610921501</v>
      </c>
      <c r="AN115" s="32">
        <v>0.92320819112627983</v>
      </c>
      <c r="AO115" s="32">
        <v>0.93397893406756105</v>
      </c>
      <c r="AP115" s="32">
        <v>0.91595197255574612</v>
      </c>
      <c r="AQ115" s="32">
        <v>0.92624356775300176</v>
      </c>
      <c r="AR115" s="32">
        <v>0.91896551724137931</v>
      </c>
      <c r="AS115" s="32">
        <v>0.8867924528301887</v>
      </c>
      <c r="AT115" s="32">
        <v>0.934819897084048</v>
      </c>
      <c r="AU115" s="32">
        <v>0.90705679862306365</v>
      </c>
      <c r="AV115" s="32">
        <v>0.90311418685121103</v>
      </c>
      <c r="AW115" s="32">
        <v>0.9132777704198054</v>
      </c>
      <c r="AX115" s="32">
        <v>0.91952054794520544</v>
      </c>
      <c r="AY115" s="32">
        <v>0.93686006825938561</v>
      </c>
      <c r="AZ115" s="32">
        <v>0.90138408304498274</v>
      </c>
      <c r="BA115" s="32">
        <v>0.8571428571428571</v>
      </c>
      <c r="BB115" s="32">
        <v>0.9193825042881647</v>
      </c>
      <c r="BC115" s="32">
        <v>0.91595197255574612</v>
      </c>
      <c r="BD115" s="32">
        <v>0.9268707482993197</v>
      </c>
      <c r="BE115" s="32">
        <v>0.91101611164795149</v>
      </c>
      <c r="BF115" s="32">
        <v>0.84053156146179397</v>
      </c>
      <c r="BG115" s="32">
        <v>0.75474956822107087</v>
      </c>
      <c r="BH115" s="32">
        <v>0.87646076794657768</v>
      </c>
      <c r="BI115" s="32">
        <v>0.88480801335559267</v>
      </c>
      <c r="BJ115" s="32">
        <v>0.82558139534883723</v>
      </c>
      <c r="BK115" s="32">
        <v>0.78756476683937826</v>
      </c>
      <c r="BL115" s="32">
        <v>0.85789473684210527</v>
      </c>
      <c r="BM115" s="32">
        <v>0.83251297285933656</v>
      </c>
      <c r="BN115" s="32">
        <v>0.89666666666666661</v>
      </c>
      <c r="BO115" s="32">
        <v>0.845514950166113</v>
      </c>
      <c r="BP115" s="32">
        <v>0.94499999999999995</v>
      </c>
      <c r="BQ115" s="32">
        <v>0.92822966507177029</v>
      </c>
      <c r="BR115" s="32">
        <v>0.89900662251655628</v>
      </c>
      <c r="BS115" s="32">
        <v>0.86833333333333329</v>
      </c>
      <c r="BT115" s="32">
        <v>0.90397350993377479</v>
      </c>
      <c r="BU115" s="32">
        <v>0.89810353538403054</v>
      </c>
      <c r="BV115" s="32">
        <v>0.89777786487573719</v>
      </c>
    </row>
    <row r="116" spans="33:74" x14ac:dyDescent="0.25">
      <c r="AG116" s="19" t="s">
        <v>179</v>
      </c>
      <c r="AH116" s="32">
        <v>0.90039840637450197</v>
      </c>
      <c r="AI116" s="32">
        <v>0.92695883134130141</v>
      </c>
      <c r="AJ116" s="32">
        <v>0.8844621513944223</v>
      </c>
      <c r="AK116" s="32">
        <v>0.90969455511288178</v>
      </c>
      <c r="AL116" s="32">
        <v>0.89774236387782202</v>
      </c>
      <c r="AM116" s="32">
        <v>0.9083665338645418</v>
      </c>
      <c r="AN116" s="32">
        <v>0.91102257636122175</v>
      </c>
      <c r="AO116" s="32">
        <v>0.90552077404667042</v>
      </c>
      <c r="AP116" s="32">
        <v>0.84462151394422313</v>
      </c>
      <c r="AQ116" s="32">
        <v>0.90571049136786186</v>
      </c>
      <c r="AR116" s="32">
        <v>0.8751660026560425</v>
      </c>
      <c r="AS116" s="32">
        <v>0.88844621513944222</v>
      </c>
      <c r="AT116" s="32">
        <v>0.89641434262948205</v>
      </c>
      <c r="AU116" s="32">
        <v>0.90969455511288178</v>
      </c>
      <c r="AV116" s="32">
        <v>0.89641434262948205</v>
      </c>
      <c r="AW116" s="32">
        <v>0.88806678049705934</v>
      </c>
      <c r="AX116" s="32">
        <v>0.8751660026560425</v>
      </c>
      <c r="AY116" s="32">
        <v>0.92430278884462147</v>
      </c>
      <c r="AZ116" s="32">
        <v>0.81673306772908372</v>
      </c>
      <c r="BA116" s="32">
        <v>0.9083665338645418</v>
      </c>
      <c r="BB116" s="32">
        <v>0.88844621513944222</v>
      </c>
      <c r="BC116" s="32">
        <v>0.91633466135458164</v>
      </c>
      <c r="BD116" s="32">
        <v>0.90172642762284194</v>
      </c>
      <c r="BE116" s="32">
        <v>0.89015367103016507</v>
      </c>
      <c r="BF116" s="32">
        <v>0.84993359893758302</v>
      </c>
      <c r="BG116" s="32">
        <v>0.7596281540504648</v>
      </c>
      <c r="BH116" s="32">
        <v>0.85391766268260294</v>
      </c>
      <c r="BI116" s="32">
        <v>0.86985391766268261</v>
      </c>
      <c r="BJ116" s="32">
        <v>0.8605577689243028</v>
      </c>
      <c r="BK116" s="32">
        <v>0.74900398406374502</v>
      </c>
      <c r="BL116" s="32">
        <v>0.79946879150066397</v>
      </c>
      <c r="BM116" s="32">
        <v>0.82033769683172075</v>
      </c>
      <c r="BN116" s="32">
        <v>0.88844621513944222</v>
      </c>
      <c r="BO116" s="32">
        <v>0.86188579017264277</v>
      </c>
      <c r="BP116" s="32">
        <v>0.90703851261620183</v>
      </c>
      <c r="BQ116" s="32">
        <v>0.91766268260292161</v>
      </c>
      <c r="BR116" s="32">
        <v>0.91766268260292161</v>
      </c>
      <c r="BS116" s="32">
        <v>0.90039840637450197</v>
      </c>
      <c r="BT116" s="32">
        <v>0.90305444887118191</v>
      </c>
      <c r="BU116" s="32">
        <v>0.89944981976854488</v>
      </c>
      <c r="BV116" s="32">
        <v>0.88070574843483163</v>
      </c>
    </row>
    <row r="117" spans="33:74" x14ac:dyDescent="0.25">
      <c r="AG117" s="19" t="s">
        <v>180</v>
      </c>
      <c r="AH117" s="32">
        <v>0.86486486486486491</v>
      </c>
      <c r="AI117" s="32">
        <v>0.91898734177215191</v>
      </c>
      <c r="AJ117" s="32">
        <v>0.85675675675675678</v>
      </c>
      <c r="AK117" s="32">
        <v>0.94864864864864862</v>
      </c>
      <c r="AL117" s="32">
        <v>0.89459459459459456</v>
      </c>
      <c r="AM117" s="32">
        <v>0.8746803069053708</v>
      </c>
      <c r="AN117" s="32">
        <v>0.89459459459459456</v>
      </c>
      <c r="AO117" s="32">
        <v>0.89330387259099742</v>
      </c>
      <c r="AP117" s="32">
        <v>0.8405405405405405</v>
      </c>
      <c r="AQ117" s="32">
        <v>0.9513513513513514</v>
      </c>
      <c r="AR117" s="32">
        <v>0.89189189189189189</v>
      </c>
      <c r="AS117" s="32">
        <v>0.91891891891891897</v>
      </c>
      <c r="AT117" s="32">
        <v>0.91621621621621618</v>
      </c>
      <c r="AU117" s="32">
        <v>0.91891891891891897</v>
      </c>
      <c r="AV117" s="32">
        <v>0.89729729729729735</v>
      </c>
      <c r="AW117" s="32">
        <v>0.90501930501930516</v>
      </c>
      <c r="AX117" s="32">
        <v>0.8683544303797468</v>
      </c>
      <c r="AY117" s="32">
        <v>0.93513513513513513</v>
      </c>
      <c r="AZ117" s="32">
        <v>0.84324324324324329</v>
      </c>
      <c r="BA117" s="32">
        <v>0.86486486486486491</v>
      </c>
      <c r="BB117" s="32">
        <v>0.927027027027027</v>
      </c>
      <c r="BC117" s="32">
        <v>0.94780219780219777</v>
      </c>
      <c r="BD117" s="32">
        <v>0.93681318681318682</v>
      </c>
      <c r="BE117" s="32">
        <v>0.90332001218077174</v>
      </c>
      <c r="BF117" s="32">
        <v>0.91891891891891897</v>
      </c>
      <c r="BG117" s="32">
        <v>0.73513513513513518</v>
      </c>
      <c r="BH117" s="32">
        <v>0.88918918918918921</v>
      </c>
      <c r="BI117" s="32">
        <v>0.93783783783783781</v>
      </c>
      <c r="BJ117" s="32">
        <v>0.88378378378378375</v>
      </c>
      <c r="BK117" s="32">
        <v>0.73076923076923073</v>
      </c>
      <c r="BL117" s="32">
        <v>0.85945945945945945</v>
      </c>
      <c r="BM117" s="32">
        <v>0.85072765072765077</v>
      </c>
      <c r="BN117" s="32">
        <v>0.927027027027027</v>
      </c>
      <c r="BO117" s="32">
        <v>0.93513513513513513</v>
      </c>
      <c r="BP117" s="32">
        <v>0.93783783783783781</v>
      </c>
      <c r="BQ117" s="32">
        <v>0.94864864864864862</v>
      </c>
      <c r="BR117" s="32">
        <v>0.92162162162162165</v>
      </c>
      <c r="BS117" s="32">
        <v>0.93513513513513513</v>
      </c>
      <c r="BT117" s="32">
        <v>0.92432432432432432</v>
      </c>
      <c r="BU117" s="32">
        <v>0.93281853281853278</v>
      </c>
      <c r="BV117" s="32">
        <v>0.89703787466745122</v>
      </c>
    </row>
    <row r="118" spans="33:74" x14ac:dyDescent="0.25">
      <c r="AG118" s="19" t="s">
        <v>181</v>
      </c>
      <c r="AH118" s="32">
        <v>0.9658848614072495</v>
      </c>
      <c r="AI118" s="32">
        <v>0.87965921192758256</v>
      </c>
      <c r="AJ118" s="32">
        <v>0.93803418803418803</v>
      </c>
      <c r="AK118" s="32">
        <v>0.89625668449197859</v>
      </c>
      <c r="AL118" s="32">
        <v>0.95793901156677186</v>
      </c>
      <c r="AM118" s="32">
        <v>0.87685774946921446</v>
      </c>
      <c r="AN118" s="32">
        <v>0.88191489361702124</v>
      </c>
      <c r="AO118" s="32">
        <v>0.91379237150200088</v>
      </c>
      <c r="AP118" s="32">
        <v>0.95614035087719296</v>
      </c>
      <c r="AQ118" s="32">
        <v>0.96190476190476193</v>
      </c>
      <c r="AR118" s="32">
        <v>0.97689768976897695</v>
      </c>
      <c r="AS118" s="32">
        <v>0.90393013100436681</v>
      </c>
      <c r="AT118" s="32">
        <v>0.96377607025246981</v>
      </c>
      <c r="AU118" s="32">
        <v>0.95983086680761098</v>
      </c>
      <c r="AV118" s="32">
        <v>0.96375266524520253</v>
      </c>
      <c r="AW118" s="32">
        <v>0.9551760765515116</v>
      </c>
      <c r="AX118" s="32">
        <v>0.93348115299334811</v>
      </c>
      <c r="AY118" s="32">
        <v>0.94372294372294374</v>
      </c>
      <c r="AZ118" s="32">
        <v>0.85033259423503327</v>
      </c>
      <c r="BA118" s="32">
        <v>0.89977973568281944</v>
      </c>
      <c r="BB118" s="32">
        <v>0.94922737306843263</v>
      </c>
      <c r="BC118" s="32">
        <v>0.97518878101402373</v>
      </c>
      <c r="BD118" s="32">
        <v>0.95217391304347831</v>
      </c>
      <c r="BE118" s="32">
        <v>0.92912949910858267</v>
      </c>
      <c r="BF118" s="32">
        <v>0.93133997785160572</v>
      </c>
      <c r="BG118" s="32">
        <v>0.81243063263041071</v>
      </c>
      <c r="BH118" s="32">
        <v>0.93311403508771928</v>
      </c>
      <c r="BI118" s="32">
        <v>0.95718990120746428</v>
      </c>
      <c r="BJ118" s="32">
        <v>0.94013303769401335</v>
      </c>
      <c r="BK118" s="32">
        <v>0.83831672203765228</v>
      </c>
      <c r="BL118" s="32">
        <v>0.89479512735326694</v>
      </c>
      <c r="BM118" s="32">
        <v>0.901045633408876</v>
      </c>
      <c r="BN118" s="32">
        <v>0.96141479099678462</v>
      </c>
      <c r="BO118" s="32">
        <v>0.94498381877022652</v>
      </c>
      <c r="BP118" s="32">
        <v>0.96493092454835283</v>
      </c>
      <c r="BQ118" s="32">
        <v>0.96101159114857748</v>
      </c>
      <c r="BR118" s="32">
        <v>0.96898395721925135</v>
      </c>
      <c r="BS118" s="32">
        <v>0.95366379310344829</v>
      </c>
      <c r="BT118" s="32">
        <v>0.96351931330472107</v>
      </c>
      <c r="BU118" s="32">
        <v>0.95978688415590885</v>
      </c>
      <c r="BV118" s="32">
        <v>0.93178609294537595</v>
      </c>
    </row>
    <row r="119" spans="33:74" x14ac:dyDescent="0.25">
      <c r="AG119" s="19" t="s">
        <v>182</v>
      </c>
      <c r="AH119" s="32">
        <v>0.84532374100719421</v>
      </c>
      <c r="AI119" s="32">
        <v>0.80769230769230771</v>
      </c>
      <c r="AJ119" s="32">
        <v>0.84068627450980393</v>
      </c>
      <c r="AK119" s="32">
        <v>0.73076923076923073</v>
      </c>
      <c r="AL119" s="32">
        <v>0.80668016194331982</v>
      </c>
      <c r="AM119" s="32">
        <v>0.80263157894736847</v>
      </c>
      <c r="AN119" s="32">
        <v>0.81578947368421051</v>
      </c>
      <c r="AO119" s="32">
        <v>0.80708182407906215</v>
      </c>
      <c r="AP119" s="32">
        <v>0.84412470023980812</v>
      </c>
      <c r="AQ119" s="32">
        <v>0.78137651821862353</v>
      </c>
      <c r="AR119" s="32">
        <v>0.83213429256594729</v>
      </c>
      <c r="AS119" s="32">
        <v>0.73380566801619429</v>
      </c>
      <c r="AT119" s="32">
        <v>0.77631578947368418</v>
      </c>
      <c r="AU119" s="32">
        <v>0.791497975708502</v>
      </c>
      <c r="AV119" s="32">
        <v>0.80465587044534415</v>
      </c>
      <c r="AW119" s="32">
        <v>0.79484440209544338</v>
      </c>
      <c r="AX119" s="32">
        <v>0.74460431654676262</v>
      </c>
      <c r="AY119" s="32">
        <v>0.78137651821862353</v>
      </c>
      <c r="AZ119" s="32">
        <v>0.70743405275779381</v>
      </c>
      <c r="BA119" s="32">
        <v>0.57186234817813764</v>
      </c>
      <c r="BB119" s="32">
        <v>0.75708502024291502</v>
      </c>
      <c r="BC119" s="32">
        <v>0.79453441295546556</v>
      </c>
      <c r="BD119" s="32">
        <v>0.78744939271255066</v>
      </c>
      <c r="BE119" s="32">
        <v>0.73490658023032118</v>
      </c>
      <c r="BF119" s="32">
        <v>0.69117647058823528</v>
      </c>
      <c r="BG119" s="32">
        <v>0.48178137651821862</v>
      </c>
      <c r="BH119" s="32">
        <v>0.66421568627450978</v>
      </c>
      <c r="BI119" s="32">
        <v>0.58603238866396756</v>
      </c>
      <c r="BJ119" s="32">
        <v>0.56983805668016196</v>
      </c>
      <c r="BK119" s="32">
        <v>0.47874493927125505</v>
      </c>
      <c r="BL119" s="32">
        <v>0.52327935222672062</v>
      </c>
      <c r="BM119" s="32">
        <v>0.57072403860329557</v>
      </c>
      <c r="BN119" s="32">
        <v>0.66396761133603244</v>
      </c>
      <c r="BO119" s="32">
        <v>0.59172852598091197</v>
      </c>
      <c r="BP119" s="32">
        <v>0.78776978417266186</v>
      </c>
      <c r="BQ119" s="32">
        <v>0.71558704453441291</v>
      </c>
      <c r="BR119" s="32">
        <v>0.70242914979757087</v>
      </c>
      <c r="BS119" s="32">
        <v>0.62348178137651822</v>
      </c>
      <c r="BT119" s="32">
        <v>0.66801619433198378</v>
      </c>
      <c r="BU119" s="32">
        <v>0.67899715593287024</v>
      </c>
      <c r="BV119" s="32">
        <v>0.71731080018819859</v>
      </c>
    </row>
    <row r="120" spans="33:74" x14ac:dyDescent="0.25">
      <c r="AG120" s="19" t="s">
        <v>183</v>
      </c>
      <c r="AH120" s="32">
        <v>0.88240200166805671</v>
      </c>
      <c r="AI120" s="32">
        <v>0.92301255230125523</v>
      </c>
      <c r="AJ120" s="32">
        <v>0.88767812238055321</v>
      </c>
      <c r="AK120" s="32">
        <v>0.91242702251876562</v>
      </c>
      <c r="AL120" s="32">
        <v>0.91826522101751462</v>
      </c>
      <c r="AM120" s="32">
        <v>0.93661384487072563</v>
      </c>
      <c r="AN120" s="32">
        <v>0.94829024186822353</v>
      </c>
      <c r="AO120" s="32">
        <v>0.91552700094644202</v>
      </c>
      <c r="AP120" s="32">
        <v>0.88490408673894916</v>
      </c>
      <c r="AQ120" s="32">
        <v>0.93405676126878134</v>
      </c>
      <c r="AR120" s="32">
        <v>0.87823185988323604</v>
      </c>
      <c r="AS120" s="32">
        <v>0.91576313594662218</v>
      </c>
      <c r="AT120" s="32">
        <v>0.92749999999999999</v>
      </c>
      <c r="AU120" s="32">
        <v>0.93071786310517535</v>
      </c>
      <c r="AV120" s="32">
        <v>0.93054393305439331</v>
      </c>
      <c r="AW120" s="32">
        <v>0.91453109142816535</v>
      </c>
      <c r="AX120" s="32">
        <v>0.89130434782608692</v>
      </c>
      <c r="AY120" s="32">
        <v>0.92243536280233529</v>
      </c>
      <c r="AZ120" s="32">
        <v>0.82259414225941418</v>
      </c>
      <c r="BA120" s="32">
        <v>0.85271966527196652</v>
      </c>
      <c r="BB120" s="32">
        <v>0.91555183946488294</v>
      </c>
      <c r="BC120" s="32">
        <v>0.90984974958263776</v>
      </c>
      <c r="BD120" s="32">
        <v>0.91304347826086951</v>
      </c>
      <c r="BE120" s="32">
        <v>0.88964265506688478</v>
      </c>
      <c r="BF120" s="32">
        <v>0.8351464435146444</v>
      </c>
      <c r="BG120" s="32">
        <v>0.77740585774058579</v>
      </c>
      <c r="BH120" s="32">
        <v>0.87542087542087543</v>
      </c>
      <c r="BI120" s="32">
        <v>0.89681208053691275</v>
      </c>
      <c r="BJ120" s="32">
        <v>0.81171548117154813</v>
      </c>
      <c r="BK120" s="32">
        <v>0.74979079497907952</v>
      </c>
      <c r="BL120" s="32">
        <v>0.83347280334728036</v>
      </c>
      <c r="BM120" s="32">
        <v>0.82568061953013228</v>
      </c>
      <c r="BN120" s="32">
        <v>0.92660550458715596</v>
      </c>
      <c r="BO120" s="32">
        <v>0.86806722689075633</v>
      </c>
      <c r="BP120" s="32">
        <v>0.91409507923269395</v>
      </c>
      <c r="BQ120" s="32">
        <v>0.9524603836530442</v>
      </c>
      <c r="BR120" s="32">
        <v>0.91631799163179917</v>
      </c>
      <c r="BS120" s="32">
        <v>0.88823529411764701</v>
      </c>
      <c r="BT120" s="32">
        <v>0.91519731318219988</v>
      </c>
      <c r="BU120" s="32">
        <v>0.91156839904218534</v>
      </c>
      <c r="BV120" s="32">
        <v>0.89138995320276204</v>
      </c>
    </row>
    <row r="121" spans="33:74" x14ac:dyDescent="0.25">
      <c r="AG121" s="19" t="s">
        <v>184</v>
      </c>
      <c r="AH121" s="32">
        <v>0.93516949152542372</v>
      </c>
      <c r="AI121" s="32">
        <v>0.94031105506515344</v>
      </c>
      <c r="AJ121" s="32">
        <v>0.93093220338983051</v>
      </c>
      <c r="AK121" s="32">
        <v>0.93705111956062526</v>
      </c>
      <c r="AL121" s="32">
        <v>0.94040574809805577</v>
      </c>
      <c r="AM121" s="32">
        <v>0.95124001681378734</v>
      </c>
      <c r="AN121" s="32">
        <v>0.94845796366708912</v>
      </c>
      <c r="AO121" s="32">
        <v>0.94050965687428068</v>
      </c>
      <c r="AP121" s="32">
        <v>0.9517562420651714</v>
      </c>
      <c r="AQ121" s="32">
        <v>0.9489235964542001</v>
      </c>
      <c r="AR121" s="32">
        <v>0.94736842105263153</v>
      </c>
      <c r="AS121" s="32">
        <v>0.94048121570282817</v>
      </c>
      <c r="AT121" s="32">
        <v>0.9551417689377909</v>
      </c>
      <c r="AU121" s="32">
        <v>0.96204133277098269</v>
      </c>
      <c r="AV121" s="32">
        <v>0.957752429235319</v>
      </c>
      <c r="AW121" s="32">
        <v>0.95192357231698921</v>
      </c>
      <c r="AX121" s="32">
        <v>0.92509521794329241</v>
      </c>
      <c r="AY121" s="32">
        <v>0.94716821639898563</v>
      </c>
      <c r="AZ121" s="32">
        <v>0.89335590351248417</v>
      </c>
      <c r="BA121" s="32">
        <v>0.90435886584849767</v>
      </c>
      <c r="BB121" s="32">
        <v>0.95314478682988601</v>
      </c>
      <c r="BC121" s="32">
        <v>0.963229078613694</v>
      </c>
      <c r="BD121" s="32">
        <v>0.95393068469991549</v>
      </c>
      <c r="BE121" s="32">
        <v>0.93432610769239355</v>
      </c>
      <c r="BF121" s="32">
        <v>0.92105263157894735</v>
      </c>
      <c r="BG121" s="32">
        <v>0.87881355932203387</v>
      </c>
      <c r="BH121" s="32">
        <v>0.92188805346700087</v>
      </c>
      <c r="BI121" s="32">
        <v>0.93934358122143746</v>
      </c>
      <c r="BJ121" s="32">
        <v>0.91464435146443512</v>
      </c>
      <c r="BK121" s="32">
        <v>0.83855932203389827</v>
      </c>
      <c r="BL121" s="32">
        <v>0.88202959830866812</v>
      </c>
      <c r="BM121" s="32">
        <v>0.89947587105663163</v>
      </c>
      <c r="BN121" s="32">
        <v>0.95960428689200328</v>
      </c>
      <c r="BO121" s="32">
        <v>0.95305359368508513</v>
      </c>
      <c r="BP121" s="32">
        <v>0.95098846787479407</v>
      </c>
      <c r="BQ121" s="32">
        <v>0.94948665297741275</v>
      </c>
      <c r="BR121" s="32">
        <v>0.96453608247422684</v>
      </c>
      <c r="BS121" s="32">
        <v>0.94582299421009097</v>
      </c>
      <c r="BT121" s="32">
        <v>0.95507007419620771</v>
      </c>
      <c r="BU121" s="32">
        <v>0.95408030747283146</v>
      </c>
      <c r="BV121" s="32">
        <v>0.9360631030826253</v>
      </c>
    </row>
    <row r="122" spans="33:74" x14ac:dyDescent="0.25">
      <c r="AG122" s="19" t="s">
        <v>185</v>
      </c>
      <c r="AH122" s="32">
        <v>0.90812720848056538</v>
      </c>
      <c r="AI122" s="32">
        <v>0.94982497082847139</v>
      </c>
      <c r="AJ122" s="32">
        <v>0.91166077738515905</v>
      </c>
      <c r="AK122" s="32">
        <v>0.90046838407494145</v>
      </c>
      <c r="AL122" s="32">
        <v>0.94923258559622192</v>
      </c>
      <c r="AM122" s="32">
        <v>0.94976635514018692</v>
      </c>
      <c r="AN122" s="32">
        <v>0.96698113207547165</v>
      </c>
      <c r="AO122" s="32">
        <v>0.93372305908300268</v>
      </c>
      <c r="AP122" s="32">
        <v>0.85546415981198587</v>
      </c>
      <c r="AQ122" s="32">
        <v>0.95199063231850112</v>
      </c>
      <c r="AR122" s="32">
        <v>0.8484136310223267</v>
      </c>
      <c r="AS122" s="32">
        <v>0.8981042654028436</v>
      </c>
      <c r="AT122" s="32">
        <v>0.89894242068155117</v>
      </c>
      <c r="AU122" s="32">
        <v>0.92998833138856474</v>
      </c>
      <c r="AV122" s="32">
        <v>0.93419506462984725</v>
      </c>
      <c r="AW122" s="32">
        <v>0.90244264360794568</v>
      </c>
      <c r="AX122" s="32">
        <v>0.81656804733727806</v>
      </c>
      <c r="AY122" s="32">
        <v>0.93735224586288413</v>
      </c>
      <c r="AZ122" s="32">
        <v>0.8224852071005917</v>
      </c>
      <c r="BA122" s="32">
        <v>0.81828978622327786</v>
      </c>
      <c r="BB122" s="32">
        <v>0.91952662721893497</v>
      </c>
      <c r="BC122" s="32">
        <v>0.9276393831553974</v>
      </c>
      <c r="BD122" s="32">
        <v>0.94899169632265723</v>
      </c>
      <c r="BE122" s="32">
        <v>0.88440757046014584</v>
      </c>
      <c r="BF122" s="32">
        <v>0.8644470868014269</v>
      </c>
      <c r="BG122" s="32">
        <v>0.7220902612826603</v>
      </c>
      <c r="BH122" s="32">
        <v>0.87928994082840239</v>
      </c>
      <c r="BI122" s="32">
        <v>0.89319248826291076</v>
      </c>
      <c r="BJ122" s="32">
        <v>0.85255648038049936</v>
      </c>
      <c r="BK122" s="32">
        <v>0.74109263657957247</v>
      </c>
      <c r="BL122" s="32">
        <v>0.8145065398335315</v>
      </c>
      <c r="BM122" s="32">
        <v>0.82388220485271479</v>
      </c>
      <c r="BN122" s="32">
        <v>0.859338061465721</v>
      </c>
      <c r="BO122" s="32">
        <v>0.85446009389671362</v>
      </c>
      <c r="BP122" s="32">
        <v>0.84633569739952719</v>
      </c>
      <c r="BQ122" s="32">
        <v>0.89610389610389607</v>
      </c>
      <c r="BR122" s="32">
        <v>0.8971631205673759</v>
      </c>
      <c r="BS122" s="32">
        <v>0.90812720848056538</v>
      </c>
      <c r="BT122" s="32">
        <v>0.91242603550295853</v>
      </c>
      <c r="BU122" s="32">
        <v>0.88199344477382247</v>
      </c>
      <c r="BV122" s="32">
        <v>0.88528978455552632</v>
      </c>
    </row>
    <row r="123" spans="33:74" x14ac:dyDescent="0.25">
      <c r="AG123" s="19" t="s">
        <v>186</v>
      </c>
      <c r="AH123" s="32">
        <v>0.95487364620938631</v>
      </c>
      <c r="AI123" s="32">
        <v>0.98487544483985767</v>
      </c>
      <c r="AJ123" s="32">
        <v>0.96567299006323393</v>
      </c>
      <c r="AK123" s="32">
        <v>0.97935368043087967</v>
      </c>
      <c r="AL123" s="32">
        <v>0.95938628158844763</v>
      </c>
      <c r="AM123" s="32">
        <v>0.97939068100358428</v>
      </c>
      <c r="AN123" s="32">
        <v>0.97647058823529409</v>
      </c>
      <c r="AO123" s="32">
        <v>0.97143190176724048</v>
      </c>
      <c r="AP123" s="32">
        <v>0.96747967479674801</v>
      </c>
      <c r="AQ123" s="32">
        <v>0.98737601442741207</v>
      </c>
      <c r="AR123" s="32">
        <v>0.97018970189701892</v>
      </c>
      <c r="AS123" s="32">
        <v>0.978494623655914</v>
      </c>
      <c r="AT123" s="32">
        <v>0.97757847533632292</v>
      </c>
      <c r="AU123" s="32">
        <v>0.982094897045658</v>
      </c>
      <c r="AV123" s="32">
        <v>0.989247311827957</v>
      </c>
      <c r="AW123" s="32">
        <v>0.97892295699814724</v>
      </c>
      <c r="AX123" s="32">
        <v>0.90974729241877261</v>
      </c>
      <c r="AY123" s="32">
        <v>0.98565022421524662</v>
      </c>
      <c r="AZ123" s="32">
        <v>0.90489130434782605</v>
      </c>
      <c r="BA123" s="32">
        <v>0.92475067996373528</v>
      </c>
      <c r="BB123" s="32">
        <v>0.96678635547576297</v>
      </c>
      <c r="BC123" s="32">
        <v>0.98118279569892475</v>
      </c>
      <c r="BD123" s="32">
        <v>0.97857142857142854</v>
      </c>
      <c r="BE123" s="32">
        <v>0.95022572581309961</v>
      </c>
      <c r="BF123" s="32">
        <v>0.91772151898734178</v>
      </c>
      <c r="BG123" s="32">
        <v>0.82986425339366521</v>
      </c>
      <c r="BH123" s="32">
        <v>0.94751131221719453</v>
      </c>
      <c r="BI123" s="32">
        <v>0.96591928251121073</v>
      </c>
      <c r="BJ123" s="32">
        <v>0.92314647377938519</v>
      </c>
      <c r="BK123" s="32">
        <v>0.84239130434782605</v>
      </c>
      <c r="BL123" s="32">
        <v>0.88677536231884058</v>
      </c>
      <c r="BM123" s="32">
        <v>0.90190421536506626</v>
      </c>
      <c r="BN123" s="32">
        <v>0.95130748422001798</v>
      </c>
      <c r="BO123" s="32">
        <v>0.956989247311828</v>
      </c>
      <c r="BP123" s="32">
        <v>0.971996386630533</v>
      </c>
      <c r="BQ123" s="32">
        <v>0.98478066248880936</v>
      </c>
      <c r="BR123" s="32">
        <v>0.96788581623550396</v>
      </c>
      <c r="BS123" s="32">
        <v>0.97853309481216455</v>
      </c>
      <c r="BT123" s="32">
        <v>0.97944593386952639</v>
      </c>
      <c r="BU123" s="32">
        <v>0.97013408936691192</v>
      </c>
      <c r="BV123" s="32">
        <v>0.95452377786209297</v>
      </c>
    </row>
    <row r="124" spans="33:74" x14ac:dyDescent="0.25">
      <c r="AG124" s="19" t="s">
        <v>279</v>
      </c>
      <c r="AH124" s="32">
        <v>0.8593639575971731</v>
      </c>
      <c r="AI124" s="32">
        <v>0.87932251235003533</v>
      </c>
      <c r="AJ124" s="32">
        <v>0.84512022630834516</v>
      </c>
      <c r="AK124" s="32">
        <v>0.8571428571428571</v>
      </c>
      <c r="AL124" s="32">
        <v>0.888339222614841</v>
      </c>
      <c r="AM124" s="32">
        <v>0.90106007067137805</v>
      </c>
      <c r="AN124" s="32">
        <v>0.9047954866008463</v>
      </c>
      <c r="AO124" s="32">
        <v>0.87644919046935377</v>
      </c>
      <c r="AP124" s="32">
        <v>0.84180790960451979</v>
      </c>
      <c r="AQ124" s="32">
        <v>0.89913544668587897</v>
      </c>
      <c r="AR124" s="32">
        <v>0.81188118811881194</v>
      </c>
      <c r="AS124" s="32">
        <v>0.8536067892503536</v>
      </c>
      <c r="AT124" s="32">
        <v>0.86610288935870328</v>
      </c>
      <c r="AU124" s="32">
        <v>0.90190543401552581</v>
      </c>
      <c r="AV124" s="32">
        <v>0.88912429378531077</v>
      </c>
      <c r="AW124" s="32">
        <v>0.8662234215455864</v>
      </c>
      <c r="AX124" s="32">
        <v>0.82522903453136009</v>
      </c>
      <c r="AY124" s="32">
        <v>0.8593639575971731</v>
      </c>
      <c r="AZ124" s="32">
        <v>0.79661016949152541</v>
      </c>
      <c r="BA124" s="32">
        <v>0.81864161849710981</v>
      </c>
      <c r="BB124" s="32">
        <v>0.84848484848484851</v>
      </c>
      <c r="BC124" s="32">
        <v>0.87174066243833681</v>
      </c>
      <c r="BD124" s="32">
        <v>0.85825105782792666</v>
      </c>
      <c r="BE124" s="32">
        <v>0.83976019269546864</v>
      </c>
      <c r="BF124" s="32">
        <v>0.84283727399165509</v>
      </c>
      <c r="BG124" s="32">
        <v>0.71852899575671858</v>
      </c>
      <c r="BH124" s="32">
        <v>0.85763888888888884</v>
      </c>
      <c r="BI124" s="32">
        <v>0.88660524450744149</v>
      </c>
      <c r="BJ124" s="32">
        <v>0.84675141242937857</v>
      </c>
      <c r="BK124" s="32">
        <v>0.71287128712871284</v>
      </c>
      <c r="BL124" s="32">
        <v>0.76166902404526171</v>
      </c>
      <c r="BM124" s="32">
        <v>0.8038431609640081</v>
      </c>
      <c r="BN124" s="32">
        <v>0.90228690228690234</v>
      </c>
      <c r="BO124" s="32">
        <v>0.88357588357588357</v>
      </c>
      <c r="BP124" s="32">
        <v>0.8993754337265788</v>
      </c>
      <c r="BQ124" s="32">
        <v>0.94113475177304962</v>
      </c>
      <c r="BR124" s="32">
        <v>0.89882189882189878</v>
      </c>
      <c r="BS124" s="32">
        <v>0.87986111111111109</v>
      </c>
      <c r="BT124" s="32">
        <v>0.90291262135922334</v>
      </c>
      <c r="BU124" s="32">
        <v>0.90113837180780687</v>
      </c>
      <c r="BV124" s="32">
        <v>0.85748286749644498</v>
      </c>
    </row>
    <row r="125" spans="33:74" x14ac:dyDescent="0.25">
      <c r="AG125" s="19" t="s">
        <v>187</v>
      </c>
      <c r="AH125" s="32">
        <v>0.89056356487549149</v>
      </c>
      <c r="AI125" s="32">
        <v>0.94560943643512452</v>
      </c>
      <c r="AJ125" s="32">
        <v>0.88335517693315857</v>
      </c>
      <c r="AK125" s="32">
        <v>0.9076015727391874</v>
      </c>
      <c r="AL125" s="32">
        <v>0.91284403669724767</v>
      </c>
      <c r="AM125" s="32">
        <v>0.91218872870249013</v>
      </c>
      <c r="AN125" s="32">
        <v>0.93643512450851896</v>
      </c>
      <c r="AO125" s="32">
        <v>0.91265680584160269</v>
      </c>
      <c r="AP125" s="32">
        <v>0.88779527559055116</v>
      </c>
      <c r="AQ125" s="32">
        <v>0.90551181102362199</v>
      </c>
      <c r="AR125" s="32">
        <v>0.88582677165354329</v>
      </c>
      <c r="AS125" s="32">
        <v>0.91387245233399084</v>
      </c>
      <c r="AT125" s="32">
        <v>0.91272965879265089</v>
      </c>
      <c r="AU125" s="32">
        <v>0.90419947506561682</v>
      </c>
      <c r="AV125" s="32">
        <v>0.91338582677165359</v>
      </c>
      <c r="AW125" s="32">
        <v>0.90333161017594699</v>
      </c>
      <c r="AX125" s="32">
        <v>0.86876640419947504</v>
      </c>
      <c r="AY125" s="32">
        <v>0.93700787401574803</v>
      </c>
      <c r="AZ125" s="32">
        <v>0.83989501312335957</v>
      </c>
      <c r="BA125" s="32">
        <v>0.84776902887139105</v>
      </c>
      <c r="BB125" s="32">
        <v>0.90026246719160108</v>
      </c>
      <c r="BC125" s="32">
        <v>0.93635170603674545</v>
      </c>
      <c r="BD125" s="32">
        <v>0.90748031496062997</v>
      </c>
      <c r="BE125" s="32">
        <v>0.89107611548556431</v>
      </c>
      <c r="BF125" s="32">
        <v>0.8648293963254593</v>
      </c>
      <c r="BG125" s="32">
        <v>0.74081364829396323</v>
      </c>
      <c r="BH125" s="32">
        <v>0.88254593175853013</v>
      </c>
      <c r="BI125" s="32">
        <v>0.90485564304461941</v>
      </c>
      <c r="BJ125" s="32">
        <v>0.85564304461942253</v>
      </c>
      <c r="BK125" s="32">
        <v>0.74868766404199472</v>
      </c>
      <c r="BL125" s="32">
        <v>0.80774278215223094</v>
      </c>
      <c r="BM125" s="32">
        <v>0.82930258717660299</v>
      </c>
      <c r="BN125" s="32">
        <v>0.90104166666666663</v>
      </c>
      <c r="BO125" s="32">
        <v>0.85039370078740162</v>
      </c>
      <c r="BP125" s="32">
        <v>0.90299479166666663</v>
      </c>
      <c r="BQ125" s="32">
        <v>0.9296875</v>
      </c>
      <c r="BR125" s="32">
        <v>0.91861979166666663</v>
      </c>
      <c r="BS125" s="32">
        <v>0.89107611548556431</v>
      </c>
      <c r="BT125" s="32">
        <v>0.904296875</v>
      </c>
      <c r="BU125" s="32">
        <v>0.89973006303899516</v>
      </c>
      <c r="BV125" s="32">
        <v>0.88721943634374245</v>
      </c>
    </row>
    <row r="126" spans="33:74" x14ac:dyDescent="0.25">
      <c r="AG126" s="19" t="s">
        <v>188</v>
      </c>
      <c r="AH126" s="32">
        <v>0.90557275541795668</v>
      </c>
      <c r="AI126" s="32">
        <v>0.9272445820433437</v>
      </c>
      <c r="AJ126" s="32">
        <v>0.89938080495356032</v>
      </c>
      <c r="AK126" s="32">
        <v>0.92260061919504643</v>
      </c>
      <c r="AL126" s="32">
        <v>0.89628482972136225</v>
      </c>
      <c r="AM126" s="32">
        <v>0.92414860681114552</v>
      </c>
      <c r="AN126" s="32">
        <v>0.92569659442724461</v>
      </c>
      <c r="AO126" s="32">
        <v>0.91441839893852284</v>
      </c>
      <c r="AP126" s="32">
        <v>0.8809891808346213</v>
      </c>
      <c r="AQ126" s="32">
        <v>0.95524691358024694</v>
      </c>
      <c r="AR126" s="32">
        <v>0.89180834621329208</v>
      </c>
      <c r="AS126" s="32">
        <v>0.91808346213292114</v>
      </c>
      <c r="AT126" s="32">
        <v>0.86553323029366303</v>
      </c>
      <c r="AU126" s="32">
        <v>0.93663060278207111</v>
      </c>
      <c r="AV126" s="32">
        <v>0.89953632148377127</v>
      </c>
      <c r="AW126" s="32">
        <v>0.90683257961722674</v>
      </c>
      <c r="AX126" s="32">
        <v>0.84829721362229105</v>
      </c>
      <c r="AY126" s="32">
        <v>0.92426584234930453</v>
      </c>
      <c r="AZ126" s="32">
        <v>0.84210526315789469</v>
      </c>
      <c r="BA126" s="32">
        <v>0.82817337461300311</v>
      </c>
      <c r="BB126" s="32">
        <v>0.86553323029366303</v>
      </c>
      <c r="BC126" s="32">
        <v>0.91962905718701704</v>
      </c>
      <c r="BD126" s="32">
        <v>0.91344667697063364</v>
      </c>
      <c r="BE126" s="32">
        <v>0.87735009402768671</v>
      </c>
      <c r="BF126" s="32">
        <v>0.90092879256965941</v>
      </c>
      <c r="BG126" s="32">
        <v>0.7678018575851393</v>
      </c>
      <c r="BH126" s="32">
        <v>0.89318885448916407</v>
      </c>
      <c r="BI126" s="32">
        <v>0.93188854489164086</v>
      </c>
      <c r="BJ126" s="32">
        <v>0.87925696594427249</v>
      </c>
      <c r="BK126" s="32">
        <v>0.78947368421052633</v>
      </c>
      <c r="BL126" s="32">
        <v>0.85913312693498456</v>
      </c>
      <c r="BM126" s="32">
        <v>0.86023883237505527</v>
      </c>
      <c r="BN126" s="32">
        <v>0.91950464396284826</v>
      </c>
      <c r="BO126" s="32">
        <v>0.90557275541795668</v>
      </c>
      <c r="BP126" s="32">
        <v>0.92056074766355145</v>
      </c>
      <c r="BQ126" s="32">
        <v>0.95665634674922606</v>
      </c>
      <c r="BR126" s="32">
        <v>0.91021671826625383</v>
      </c>
      <c r="BS126" s="32">
        <v>0.93962848297213619</v>
      </c>
      <c r="BT126" s="32">
        <v>0.95201238390092879</v>
      </c>
      <c r="BU126" s="32">
        <v>0.92916458270470026</v>
      </c>
      <c r="BV126" s="32">
        <v>0.89760089753263828</v>
      </c>
    </row>
    <row r="127" spans="33:74" x14ac:dyDescent="0.25">
      <c r="AG127" s="19" t="s">
        <v>189</v>
      </c>
      <c r="AH127" s="32">
        <v>0.94677661169415295</v>
      </c>
      <c r="AI127" s="32">
        <v>0.96776611694152925</v>
      </c>
      <c r="AJ127" s="32">
        <v>0.95652173913043481</v>
      </c>
      <c r="AK127" s="32">
        <v>0.95502248875562223</v>
      </c>
      <c r="AL127" s="32">
        <v>0.96251874062968512</v>
      </c>
      <c r="AM127" s="32">
        <v>0.97226386806596699</v>
      </c>
      <c r="AN127" s="32">
        <v>0.9647676161919041</v>
      </c>
      <c r="AO127" s="32">
        <v>0.96080531162989935</v>
      </c>
      <c r="AP127" s="32">
        <v>0.91754122938530736</v>
      </c>
      <c r="AQ127" s="32">
        <v>0.95577211394302852</v>
      </c>
      <c r="AR127" s="32">
        <v>0.95427286356821595</v>
      </c>
      <c r="AS127" s="32">
        <v>0.95427286356821595</v>
      </c>
      <c r="AT127" s="32">
        <v>0.92953523238380809</v>
      </c>
      <c r="AU127" s="32">
        <v>0.92503748125937035</v>
      </c>
      <c r="AV127" s="32">
        <v>0.94002998500749624</v>
      </c>
      <c r="AW127" s="32">
        <v>0.93949453844506325</v>
      </c>
      <c r="AX127" s="32">
        <v>0.94452773613193408</v>
      </c>
      <c r="AY127" s="32">
        <v>0.9647676161919041</v>
      </c>
      <c r="AZ127" s="32">
        <v>0.93103448275862066</v>
      </c>
      <c r="BA127" s="32">
        <v>0.93403298350824593</v>
      </c>
      <c r="BB127" s="32">
        <v>0.94752623688155924</v>
      </c>
      <c r="BC127" s="32">
        <v>0.96551724137931039</v>
      </c>
      <c r="BD127" s="32">
        <v>0.96851574212893554</v>
      </c>
      <c r="BE127" s="32">
        <v>0.9508460055686444</v>
      </c>
      <c r="BF127" s="32">
        <v>0.93553223388305851</v>
      </c>
      <c r="BG127" s="32">
        <v>0.86356821589205401</v>
      </c>
      <c r="BH127" s="32">
        <v>0.94752623688155924</v>
      </c>
      <c r="BI127" s="32">
        <v>0.96926536731634183</v>
      </c>
      <c r="BJ127" s="32">
        <v>0.94377811094452768</v>
      </c>
      <c r="BK127" s="32">
        <v>0.88830584707646176</v>
      </c>
      <c r="BL127" s="32">
        <v>0.91679160419790107</v>
      </c>
      <c r="BM127" s="32">
        <v>0.92353823088455778</v>
      </c>
      <c r="BN127" s="32">
        <v>0.96626686656671668</v>
      </c>
      <c r="BO127" s="32">
        <v>0.97001499250374812</v>
      </c>
      <c r="BP127" s="32">
        <v>0.9715142428785607</v>
      </c>
      <c r="BQ127" s="32">
        <v>0.97526236881559225</v>
      </c>
      <c r="BR127" s="32">
        <v>0.97826086956521741</v>
      </c>
      <c r="BS127" s="32">
        <v>0.9647676161919041</v>
      </c>
      <c r="BT127" s="32">
        <v>0.97301349325337327</v>
      </c>
      <c r="BU127" s="32">
        <v>0.9713000642535875</v>
      </c>
      <c r="BV127" s="32">
        <v>0.94919683015635026</v>
      </c>
    </row>
    <row r="128" spans="33:74" x14ac:dyDescent="0.25">
      <c r="AG128" s="19" t="s">
        <v>265</v>
      </c>
      <c r="AH128" s="32">
        <v>0.95151515151515154</v>
      </c>
      <c r="AI128" s="32">
        <v>0.9821002386634845</v>
      </c>
      <c r="AJ128" s="32">
        <v>0.94781553398058249</v>
      </c>
      <c r="AK128" s="32">
        <v>0.96634615384615385</v>
      </c>
      <c r="AL128" s="32">
        <v>0.97699757869249393</v>
      </c>
      <c r="AM128" s="32">
        <v>0.96754807692307687</v>
      </c>
      <c r="AN128" s="32">
        <v>0.99152542372881358</v>
      </c>
      <c r="AO128" s="32">
        <v>0.9691211653356796</v>
      </c>
      <c r="AP128" s="32">
        <v>0.96219512195121948</v>
      </c>
      <c r="AQ128" s="32">
        <v>0.99045346062052508</v>
      </c>
      <c r="AR128" s="32">
        <v>0.95498783454987834</v>
      </c>
      <c r="AS128" s="32">
        <v>0.98192771084337349</v>
      </c>
      <c r="AT128" s="32">
        <v>0.9856459330143541</v>
      </c>
      <c r="AU128" s="32">
        <v>0.98805256869772995</v>
      </c>
      <c r="AV128" s="32">
        <v>0.98928571428571432</v>
      </c>
      <c r="AW128" s="32">
        <v>0.9789354777089706</v>
      </c>
      <c r="AX128" s="32">
        <v>0.94964028776978415</v>
      </c>
      <c r="AY128" s="32">
        <v>0.97836538461538458</v>
      </c>
      <c r="AZ128" s="32">
        <v>0.91937424789410349</v>
      </c>
      <c r="BA128" s="32">
        <v>0.9301204819277108</v>
      </c>
      <c r="BB128" s="32">
        <v>0.95600475624256842</v>
      </c>
      <c r="BC128" s="32">
        <v>0.96844660194174759</v>
      </c>
      <c r="BD128" s="32">
        <v>0.95888754534461906</v>
      </c>
      <c r="BE128" s="32">
        <v>0.95154847224798833</v>
      </c>
      <c r="BF128" s="32">
        <v>0.90985576923076927</v>
      </c>
      <c r="BG128" s="32">
        <v>0.84344660194174759</v>
      </c>
      <c r="BH128" s="32">
        <v>0.92772511848341233</v>
      </c>
      <c r="BI128" s="32">
        <v>0.95610913404507714</v>
      </c>
      <c r="BJ128" s="32">
        <v>0.93779904306220097</v>
      </c>
      <c r="BK128" s="32">
        <v>0.87239263803680978</v>
      </c>
      <c r="BL128" s="32">
        <v>0.90071770334928225</v>
      </c>
      <c r="BM128" s="32">
        <v>0.90686371544989985</v>
      </c>
      <c r="BN128" s="32">
        <v>0.96099290780141844</v>
      </c>
      <c r="BO128" s="32">
        <v>0.95764705882352941</v>
      </c>
      <c r="BP128" s="32">
        <v>0.96941176470588231</v>
      </c>
      <c r="BQ128" s="32">
        <v>0.98615916955017302</v>
      </c>
      <c r="BR128" s="32">
        <v>0.97549591598599772</v>
      </c>
      <c r="BS128" s="32">
        <v>0.97884841363102237</v>
      </c>
      <c r="BT128" s="32">
        <v>0.99414519906323184</v>
      </c>
      <c r="BU128" s="32">
        <v>0.974671489937322</v>
      </c>
      <c r="BV128" s="32">
        <v>0.95622806413597206</v>
      </c>
    </row>
    <row r="129" spans="33:74" x14ac:dyDescent="0.25">
      <c r="AG129" s="19" t="s">
        <v>190</v>
      </c>
      <c r="AH129" s="32">
        <v>0.99021526418786687</v>
      </c>
      <c r="AI129" s="32">
        <v>0.99806949806949807</v>
      </c>
      <c r="AJ129" s="32">
        <v>0.98043052837573386</v>
      </c>
      <c r="AK129" s="32">
        <v>0.98825831702544031</v>
      </c>
      <c r="AL129" s="32">
        <v>0.9941291585127201</v>
      </c>
      <c r="AM129" s="32">
        <v>0.98635477582845998</v>
      </c>
      <c r="AN129" s="32">
        <v>0.98238747553816042</v>
      </c>
      <c r="AO129" s="32">
        <v>0.98854928821969701</v>
      </c>
      <c r="AP129" s="32">
        <v>1</v>
      </c>
      <c r="AQ129" s="32">
        <v>0.99806949806949807</v>
      </c>
      <c r="AR129" s="32">
        <v>1</v>
      </c>
      <c r="AS129" s="32">
        <v>0.9923518164435946</v>
      </c>
      <c r="AT129" s="32">
        <v>1</v>
      </c>
      <c r="AU129" s="32">
        <v>0.9943074003795066</v>
      </c>
      <c r="AV129" s="32">
        <v>0.99250936329588013</v>
      </c>
      <c r="AW129" s="32">
        <v>0.99674829688406852</v>
      </c>
      <c r="AX129" s="32">
        <v>0.98481973434535108</v>
      </c>
      <c r="AY129" s="32">
        <v>0.99051233396584437</v>
      </c>
      <c r="AZ129" s="32">
        <v>0.96963946869070206</v>
      </c>
      <c r="BA129" s="32">
        <v>0.97115384615384615</v>
      </c>
      <c r="BB129" s="32">
        <v>1</v>
      </c>
      <c r="BC129" s="32">
        <v>0.98109640831758038</v>
      </c>
      <c r="BD129" s="32">
        <v>0.99054820415879019</v>
      </c>
      <c r="BE129" s="32">
        <v>0.98396714223315918</v>
      </c>
      <c r="BF129" s="32">
        <v>0.99615384615384617</v>
      </c>
      <c r="BG129" s="32">
        <v>0.93737769080234834</v>
      </c>
      <c r="BH129" s="32">
        <v>0.98669201520912553</v>
      </c>
      <c r="BI129" s="32">
        <v>0.99811676082862522</v>
      </c>
      <c r="BJ129" s="32">
        <v>1</v>
      </c>
      <c r="BK129" s="32">
        <v>0.97455968688845396</v>
      </c>
      <c r="BL129" s="32">
        <v>0.98825831702544031</v>
      </c>
      <c r="BM129" s="32">
        <v>0.9830226167011199</v>
      </c>
      <c r="BN129" s="32">
        <v>0.99279279279279276</v>
      </c>
      <c r="BO129" s="32">
        <v>1</v>
      </c>
      <c r="BP129" s="32">
        <v>0.99279279279279276</v>
      </c>
      <c r="BQ129" s="32">
        <v>1</v>
      </c>
      <c r="BR129" s="32">
        <v>1</v>
      </c>
      <c r="BS129" s="32">
        <v>0.99446494464944646</v>
      </c>
      <c r="BT129" s="32">
        <v>0.9963833634719711</v>
      </c>
      <c r="BU129" s="32">
        <v>0.99663341338671463</v>
      </c>
      <c r="BV129" s="32">
        <v>0.98978415148495213</v>
      </c>
    </row>
    <row r="130" spans="33:74" x14ac:dyDescent="0.25">
      <c r="AG130" s="19" t="s">
        <v>191</v>
      </c>
      <c r="AH130" s="32">
        <v>0.89504950495049507</v>
      </c>
      <c r="AI130" s="32">
        <v>0.89083820662768032</v>
      </c>
      <c r="AJ130" s="32">
        <v>0.89702970297029705</v>
      </c>
      <c r="AK130" s="32">
        <v>0.87103174603174605</v>
      </c>
      <c r="AL130" s="32">
        <v>0.90077821011673154</v>
      </c>
      <c r="AM130" s="32">
        <v>0.91554702495201534</v>
      </c>
      <c r="AN130" s="32">
        <v>0.92528735632183912</v>
      </c>
      <c r="AO130" s="32">
        <v>0.89936596456725781</v>
      </c>
      <c r="AP130" s="32">
        <v>0.87896825396825395</v>
      </c>
      <c r="AQ130" s="32">
        <v>0.89748549323017413</v>
      </c>
      <c r="AR130" s="32">
        <v>0.87349397590361444</v>
      </c>
      <c r="AS130" s="32">
        <v>0.87920792079207921</v>
      </c>
      <c r="AT130" s="32">
        <v>0.87896825396825395</v>
      </c>
      <c r="AU130" s="32">
        <v>0.89473684210526316</v>
      </c>
      <c r="AV130" s="32">
        <v>0.88104838709677424</v>
      </c>
      <c r="AW130" s="32">
        <v>0.88341558958063049</v>
      </c>
      <c r="AX130" s="32">
        <v>0.85771543086172342</v>
      </c>
      <c r="AY130" s="32">
        <v>0.88844621513944222</v>
      </c>
      <c r="AZ130" s="32">
        <v>0.85341365461847385</v>
      </c>
      <c r="BA130" s="32">
        <v>0.85140562248995988</v>
      </c>
      <c r="BB130" s="32">
        <v>0.85458167330677293</v>
      </c>
      <c r="BC130" s="32">
        <v>0.90258449304174948</v>
      </c>
      <c r="BD130" s="32">
        <v>0.87301587301587302</v>
      </c>
      <c r="BE130" s="32">
        <v>0.86873756606771357</v>
      </c>
      <c r="BF130" s="32">
        <v>0.81365313653136528</v>
      </c>
      <c r="BG130" s="32">
        <v>0.78514056224899598</v>
      </c>
      <c r="BH130" s="32">
        <v>0.81481481481481477</v>
      </c>
      <c r="BI130" s="32">
        <v>0.86764705882352944</v>
      </c>
      <c r="BJ130" s="32">
        <v>0.87209302325581395</v>
      </c>
      <c r="BK130" s="32">
        <v>0.78714859437751006</v>
      </c>
      <c r="BL130" s="32">
        <v>0.85770750988142297</v>
      </c>
      <c r="BM130" s="32">
        <v>0.82831495713335024</v>
      </c>
      <c r="BN130" s="32">
        <v>0.88533834586466165</v>
      </c>
      <c r="BO130" s="32">
        <v>0.87114337568058076</v>
      </c>
      <c r="BP130" s="32">
        <v>0.87360594795539037</v>
      </c>
      <c r="BQ130" s="32">
        <v>0.87522935779816513</v>
      </c>
      <c r="BR130" s="32">
        <v>0.8970588235294118</v>
      </c>
      <c r="BS130" s="32">
        <v>0.87385740402193779</v>
      </c>
      <c r="BT130" s="32">
        <v>0.88256880733944953</v>
      </c>
      <c r="BU130" s="32">
        <v>0.87982886602708532</v>
      </c>
      <c r="BV130" s="32">
        <v>0.87193258867520751</v>
      </c>
    </row>
    <row r="131" spans="33:74" x14ac:dyDescent="0.25">
      <c r="AG131" s="19" t="s">
        <v>192</v>
      </c>
      <c r="AH131" s="32">
        <v>0.9206586826347305</v>
      </c>
      <c r="AI131" s="32">
        <v>0.88</v>
      </c>
      <c r="AJ131" s="32">
        <v>0.92686567164179101</v>
      </c>
      <c r="AK131" s="32">
        <v>0.93148688046647232</v>
      </c>
      <c r="AL131" s="32">
        <v>0.94298245614035092</v>
      </c>
      <c r="AM131" s="32">
        <v>0.91703703703703698</v>
      </c>
      <c r="AN131" s="32">
        <v>0.92261904761904767</v>
      </c>
      <c r="AO131" s="32">
        <v>0.92023568221991869</v>
      </c>
      <c r="AP131" s="32">
        <v>0.90075187969924808</v>
      </c>
      <c r="AQ131" s="32">
        <v>0.92608695652173911</v>
      </c>
      <c r="AR131" s="32">
        <v>0.913767019667171</v>
      </c>
      <c r="AS131" s="32">
        <v>0.92985074626865671</v>
      </c>
      <c r="AT131" s="32">
        <v>0.91891891891891897</v>
      </c>
      <c r="AU131" s="32">
        <v>0.93195266272189348</v>
      </c>
      <c r="AV131" s="32">
        <v>0.92575757575757578</v>
      </c>
      <c r="AW131" s="32">
        <v>0.92101225136502907</v>
      </c>
      <c r="AX131" s="32">
        <v>0.83568075117370888</v>
      </c>
      <c r="AY131" s="32">
        <v>0.87406296851574217</v>
      </c>
      <c r="AZ131" s="32">
        <v>0.839622641509434</v>
      </c>
      <c r="BA131" s="32">
        <v>0.8110236220472441</v>
      </c>
      <c r="BB131" s="32">
        <v>0.93846153846153846</v>
      </c>
      <c r="BC131" s="32">
        <v>0.94453004622496151</v>
      </c>
      <c r="BD131" s="32">
        <v>0.96018376722817766</v>
      </c>
      <c r="BE131" s="32">
        <v>0.88622361930868687</v>
      </c>
      <c r="BF131" s="32">
        <v>0.9069020866773676</v>
      </c>
      <c r="BG131" s="32">
        <v>0.73322683706070291</v>
      </c>
      <c r="BH131" s="32">
        <v>0.91359999999999997</v>
      </c>
      <c r="BI131" s="32">
        <v>0.9391025641025641</v>
      </c>
      <c r="BJ131" s="32">
        <v>0.90880000000000005</v>
      </c>
      <c r="BK131" s="32">
        <v>0.76996805111821087</v>
      </c>
      <c r="BL131" s="32">
        <v>0.88658146964856233</v>
      </c>
      <c r="BM131" s="32">
        <v>0.86545442980105813</v>
      </c>
      <c r="BN131" s="32">
        <v>0.88921282798833823</v>
      </c>
      <c r="BO131" s="32">
        <v>0.94668820678513732</v>
      </c>
      <c r="BP131" s="32">
        <v>0.92521994134897356</v>
      </c>
      <c r="BQ131" s="32">
        <v>0.93598862019914653</v>
      </c>
      <c r="BR131" s="32">
        <v>0.9240687679083095</v>
      </c>
      <c r="BS131" s="32">
        <v>0.91862284820031304</v>
      </c>
      <c r="BT131" s="32">
        <v>0.90254872563718136</v>
      </c>
      <c r="BU131" s="32">
        <v>0.92033570543819987</v>
      </c>
      <c r="BV131" s="32">
        <v>0.90265233762657859</v>
      </c>
    </row>
    <row r="132" spans="33:74" x14ac:dyDescent="0.25">
      <c r="AG132" s="19" t="s">
        <v>193</v>
      </c>
      <c r="AH132" s="32">
        <v>0.9007633587786259</v>
      </c>
      <c r="AI132" s="32">
        <v>0.99504950495049505</v>
      </c>
      <c r="AJ132" s="32">
        <v>0.91133004926108374</v>
      </c>
      <c r="AK132" s="32">
        <v>0.96915167095115684</v>
      </c>
      <c r="AL132" s="32">
        <v>0.97179487179487178</v>
      </c>
      <c r="AM132" s="32">
        <v>0.96700507614213194</v>
      </c>
      <c r="AN132" s="32">
        <v>0.97698209718670082</v>
      </c>
      <c r="AO132" s="32">
        <v>0.95601094700929512</v>
      </c>
      <c r="AP132" s="32">
        <v>0.91304347826086951</v>
      </c>
      <c r="AQ132" s="32">
        <v>0.98453608247422686</v>
      </c>
      <c r="AR132" s="32">
        <v>0.92564102564102568</v>
      </c>
      <c r="AS132" s="32">
        <v>0.98714652956298199</v>
      </c>
      <c r="AT132" s="32">
        <v>0.95396419437340152</v>
      </c>
      <c r="AU132" s="32">
        <v>0.97135416666666663</v>
      </c>
      <c r="AV132" s="32">
        <v>0.97668393782383423</v>
      </c>
      <c r="AW132" s="32">
        <v>0.95890991640042955</v>
      </c>
      <c r="AX132" s="32">
        <v>0.84536082474226804</v>
      </c>
      <c r="AY132" s="32">
        <v>0.99257425742574257</v>
      </c>
      <c r="AZ132" s="32">
        <v>0.89058524173027986</v>
      </c>
      <c r="BA132" s="32">
        <v>0.92658227848101271</v>
      </c>
      <c r="BB132" s="32">
        <v>0.9441624365482234</v>
      </c>
      <c r="BC132" s="32">
        <v>0.96836982968369834</v>
      </c>
      <c r="BD132" s="32">
        <v>0.96183206106870234</v>
      </c>
      <c r="BE132" s="32">
        <v>0.93278098995427516</v>
      </c>
      <c r="BF132" s="32">
        <v>0.98727735368956748</v>
      </c>
      <c r="BG132" s="32">
        <v>0.88802083333333337</v>
      </c>
      <c r="BH132" s="32">
        <v>0.98989898989898994</v>
      </c>
      <c r="BI132" s="32">
        <v>0.97698209718670082</v>
      </c>
      <c r="BJ132" s="32">
        <v>0.98236775818639799</v>
      </c>
      <c r="BK132" s="32">
        <v>0.93005181347150256</v>
      </c>
      <c r="BL132" s="32">
        <v>0.9341772151898734</v>
      </c>
      <c r="BM132" s="32">
        <v>0.95553943727948087</v>
      </c>
      <c r="BN132" s="32">
        <v>0.95696202531645569</v>
      </c>
      <c r="BO132" s="32">
        <v>0.97799511002444983</v>
      </c>
      <c r="BP132" s="32">
        <v>0.97429305912596398</v>
      </c>
      <c r="BQ132" s="32">
        <v>0.99506172839506168</v>
      </c>
      <c r="BR132" s="32">
        <v>0.97058823529411764</v>
      </c>
      <c r="BS132" s="32">
        <v>0.99516908212560384</v>
      </c>
      <c r="BT132" s="32">
        <v>0.99047619047619051</v>
      </c>
      <c r="BU132" s="32">
        <v>0.98007791867969185</v>
      </c>
      <c r="BV132" s="32">
        <v>0.95666384186463449</v>
      </c>
    </row>
    <row r="133" spans="33:74" x14ac:dyDescent="0.25">
      <c r="AG133" s="19" t="s">
        <v>194</v>
      </c>
      <c r="AH133" s="32">
        <v>0.96247240618101548</v>
      </c>
      <c r="AI133" s="32">
        <v>0.96008869179600886</v>
      </c>
      <c r="AJ133" s="32">
        <v>0.97136563876651982</v>
      </c>
      <c r="AK133" s="32">
        <v>0.96471885336273433</v>
      </c>
      <c r="AL133" s="32">
        <v>0.95898004434589801</v>
      </c>
      <c r="AM133" s="32">
        <v>0.94684385382059799</v>
      </c>
      <c r="AN133" s="32">
        <v>0.97123893805309736</v>
      </c>
      <c r="AO133" s="32">
        <v>0.96224406090369607</v>
      </c>
      <c r="AP133" s="32">
        <v>0.87889273356401387</v>
      </c>
      <c r="AQ133" s="32">
        <v>0.94013303769401335</v>
      </c>
      <c r="AR133" s="32">
        <v>0.92988505747126438</v>
      </c>
      <c r="AS133" s="32">
        <v>0.96250000000000002</v>
      </c>
      <c r="AT133" s="32">
        <v>0.90427927927927931</v>
      </c>
      <c r="AU133" s="32">
        <v>0.92904656319290468</v>
      </c>
      <c r="AV133" s="32">
        <v>0.91937290033594621</v>
      </c>
      <c r="AW133" s="32">
        <v>0.92344422450534602</v>
      </c>
      <c r="AX133" s="32">
        <v>0.90695067264573992</v>
      </c>
      <c r="AY133" s="32">
        <v>0.96031746031746035</v>
      </c>
      <c r="AZ133" s="32">
        <v>0.88474970896391147</v>
      </c>
      <c r="BA133" s="32">
        <v>0.91146424517593638</v>
      </c>
      <c r="BB133" s="32">
        <v>0.9170403587443946</v>
      </c>
      <c r="BC133" s="32">
        <v>0.9428891377379619</v>
      </c>
      <c r="BD133" s="32">
        <v>0.91806958473625144</v>
      </c>
      <c r="BE133" s="32">
        <v>0.92021159547452225</v>
      </c>
      <c r="BF133" s="32">
        <v>0.89743589743589747</v>
      </c>
      <c r="BG133" s="32">
        <v>0.82860385925085134</v>
      </c>
      <c r="BH133" s="32">
        <v>0.9533799533799534</v>
      </c>
      <c r="BI133" s="32">
        <v>0.95732410611303342</v>
      </c>
      <c r="BJ133" s="32">
        <v>0.94619883040935671</v>
      </c>
      <c r="BK133" s="32">
        <v>0.82860385925085134</v>
      </c>
      <c r="BL133" s="32">
        <v>0.89848308051341885</v>
      </c>
      <c r="BM133" s="32">
        <v>0.90143279805048049</v>
      </c>
      <c r="BN133" s="32">
        <v>0.93586956521739129</v>
      </c>
      <c r="BO133" s="32">
        <v>0.95501730103806226</v>
      </c>
      <c r="BP133" s="32">
        <v>0.92741061755146259</v>
      </c>
      <c r="BQ133" s="32">
        <v>0.93993677555321387</v>
      </c>
      <c r="BR133" s="32">
        <v>0.96447793326157161</v>
      </c>
      <c r="BS133" s="32">
        <v>0.96885428253615125</v>
      </c>
      <c r="BT133" s="32">
        <v>0.96714129244249725</v>
      </c>
      <c r="BU133" s="32">
        <v>0.95124396680004997</v>
      </c>
      <c r="BV133" s="32">
        <v>0.93171532914681898</v>
      </c>
    </row>
    <row r="134" spans="33:74" x14ac:dyDescent="0.25">
      <c r="AG134" s="19" t="s">
        <v>195</v>
      </c>
      <c r="AH134" s="32">
        <v>1</v>
      </c>
      <c r="AI134" s="32">
        <v>1</v>
      </c>
      <c r="AJ134" s="32">
        <v>0.99598393574297184</v>
      </c>
      <c r="AK134" s="32">
        <v>0.99193548387096775</v>
      </c>
      <c r="AL134" s="32">
        <v>1</v>
      </c>
      <c r="AM134" s="32">
        <v>0.96031746031746035</v>
      </c>
      <c r="AN134" s="32">
        <v>0.96311475409836067</v>
      </c>
      <c r="AO134" s="32">
        <v>0.98733594771853728</v>
      </c>
      <c r="AP134" s="32">
        <v>1</v>
      </c>
      <c r="AQ134" s="32">
        <v>1</v>
      </c>
      <c r="AR134" s="32">
        <v>0.99593495934959353</v>
      </c>
      <c r="AS134" s="32">
        <v>1</v>
      </c>
      <c r="AT134" s="32">
        <v>1</v>
      </c>
      <c r="AU134" s="32">
        <v>1</v>
      </c>
      <c r="AV134" s="32">
        <v>1</v>
      </c>
      <c r="AW134" s="32">
        <v>0.99941927990708479</v>
      </c>
      <c r="AX134" s="32">
        <v>0.94396551724137934</v>
      </c>
      <c r="AY134" s="32">
        <v>1</v>
      </c>
      <c r="AZ134" s="32">
        <v>0.96536796536796532</v>
      </c>
      <c r="BA134" s="32">
        <v>1</v>
      </c>
      <c r="BB134" s="32">
        <v>0.99591836734693873</v>
      </c>
      <c r="BC134" s="32">
        <v>1</v>
      </c>
      <c r="BD134" s="32">
        <v>1</v>
      </c>
      <c r="BE134" s="32">
        <v>0.98646454999375488</v>
      </c>
      <c r="BF134" s="32">
        <v>0.9866071428571429</v>
      </c>
      <c r="BG134" s="32">
        <v>0.86016949152542377</v>
      </c>
      <c r="BH134" s="32">
        <v>1</v>
      </c>
      <c r="BI134" s="32">
        <v>0.99615384615384617</v>
      </c>
      <c r="BJ134" s="32">
        <v>0.97580645161290325</v>
      </c>
      <c r="BK134" s="32">
        <v>0.9152542372881356</v>
      </c>
      <c r="BL134" s="32">
        <v>1</v>
      </c>
      <c r="BM134" s="32">
        <v>0.96199873849106443</v>
      </c>
      <c r="BN134" s="32">
        <v>0.96031746031746035</v>
      </c>
      <c r="BO134" s="32">
        <v>0.96153846153846156</v>
      </c>
      <c r="BP134" s="32">
        <v>0.98809523809523814</v>
      </c>
      <c r="BQ134" s="32">
        <v>1</v>
      </c>
      <c r="BR134" s="32">
        <v>0.97368421052631582</v>
      </c>
      <c r="BS134" s="32">
        <v>1</v>
      </c>
      <c r="BT134" s="32">
        <v>1</v>
      </c>
      <c r="BU134" s="32">
        <v>0.98337648149678236</v>
      </c>
      <c r="BV134" s="32">
        <v>0.9837189995214447</v>
      </c>
    </row>
    <row r="135" spans="33:74" x14ac:dyDescent="0.25">
      <c r="AG135" s="19" t="s">
        <v>196</v>
      </c>
      <c r="AH135" s="32">
        <v>0.967741935483871</v>
      </c>
      <c r="AI135" s="32">
        <v>0.98418972332015808</v>
      </c>
      <c r="AJ135" s="32">
        <v>0.97177419354838712</v>
      </c>
      <c r="AK135" s="32">
        <v>1</v>
      </c>
      <c r="AL135" s="32">
        <v>0.97599999999999998</v>
      </c>
      <c r="AM135" s="32">
        <v>0.96062992125984248</v>
      </c>
      <c r="AN135" s="32">
        <v>1</v>
      </c>
      <c r="AO135" s="32">
        <v>0.98004796765889413</v>
      </c>
      <c r="AP135" s="32">
        <v>0.9538461538461539</v>
      </c>
      <c r="AQ135" s="32">
        <v>1</v>
      </c>
      <c r="AR135" s="32">
        <v>0.95769230769230773</v>
      </c>
      <c r="AS135" s="32">
        <v>0.94230769230769229</v>
      </c>
      <c r="AT135" s="32">
        <v>0.94230769230769229</v>
      </c>
      <c r="AU135" s="32">
        <v>1</v>
      </c>
      <c r="AV135" s="32">
        <v>1</v>
      </c>
      <c r="AW135" s="32">
        <v>0.97087912087912098</v>
      </c>
      <c r="AX135" s="32">
        <v>0.9031007751937985</v>
      </c>
      <c r="AY135" s="32">
        <v>0.97692307692307689</v>
      </c>
      <c r="AZ135" s="32">
        <v>0.89147286821705429</v>
      </c>
      <c r="BA135" s="32">
        <v>0.93388429752066116</v>
      </c>
      <c r="BB135" s="32">
        <v>1</v>
      </c>
      <c r="BC135" s="32">
        <v>0.96981132075471699</v>
      </c>
      <c r="BD135" s="32">
        <v>0.98490566037735849</v>
      </c>
      <c r="BE135" s="32">
        <v>0.95144257128380949</v>
      </c>
      <c r="BF135" s="32">
        <v>0.94799999999999995</v>
      </c>
      <c r="BG135" s="32">
        <v>0.91880341880341876</v>
      </c>
      <c r="BH135" s="32">
        <v>0.96</v>
      </c>
      <c r="BI135" s="32">
        <v>0.98443579766536971</v>
      </c>
      <c r="BJ135" s="32">
        <v>0.93852459016393441</v>
      </c>
      <c r="BK135" s="32">
        <v>0.88559322033898302</v>
      </c>
      <c r="BL135" s="32">
        <v>0.96624472573839659</v>
      </c>
      <c r="BM135" s="32">
        <v>0.94308596467287165</v>
      </c>
      <c r="BN135" s="32">
        <v>0.98884758364312264</v>
      </c>
      <c r="BO135" s="32">
        <v>0.96525096525096521</v>
      </c>
      <c r="BP135" s="32">
        <v>0.97397769516728627</v>
      </c>
      <c r="BQ135" s="32">
        <v>0.97026022304832715</v>
      </c>
      <c r="BR135" s="32">
        <v>0.98513011152416352</v>
      </c>
      <c r="BS135" s="32">
        <v>0.98141263940520451</v>
      </c>
      <c r="BT135" s="32">
        <v>0.96654275092936803</v>
      </c>
      <c r="BU135" s="32">
        <v>0.97591742413834814</v>
      </c>
      <c r="BV135" s="32">
        <v>0.96427460972660883</v>
      </c>
    </row>
    <row r="136" spans="33:74" x14ac:dyDescent="0.25">
      <c r="AG136" s="19" t="s">
        <v>197</v>
      </c>
      <c r="AH136" s="32">
        <v>0.98849104859335035</v>
      </c>
      <c r="AI136" s="32">
        <v>1</v>
      </c>
      <c r="AJ136" s="32">
        <v>0.98967741935483866</v>
      </c>
      <c r="AK136" s="32">
        <v>0.99358974358974361</v>
      </c>
      <c r="AL136" s="32">
        <v>0.98484848484848486</v>
      </c>
      <c r="AM136" s="32">
        <v>0.99498117942283559</v>
      </c>
      <c r="AN136" s="32">
        <v>0.99746835443037973</v>
      </c>
      <c r="AO136" s="32">
        <v>0.99272231860566174</v>
      </c>
      <c r="AP136" s="32">
        <v>0.96907216494845361</v>
      </c>
      <c r="AQ136" s="32">
        <v>0.98346055979643765</v>
      </c>
      <c r="AR136" s="32">
        <v>0.98709677419354835</v>
      </c>
      <c r="AS136" s="32">
        <v>0.97193877551020413</v>
      </c>
      <c r="AT136" s="32">
        <v>0.99489144316730527</v>
      </c>
      <c r="AU136" s="32">
        <v>0.99742930591259638</v>
      </c>
      <c r="AV136" s="32">
        <v>0.99742930591259638</v>
      </c>
      <c r="AW136" s="32">
        <v>0.98590261849159178</v>
      </c>
      <c r="AX136" s="32">
        <v>0.96387096774193548</v>
      </c>
      <c r="AY136" s="32">
        <v>0.98994974874371855</v>
      </c>
      <c r="AZ136" s="32">
        <v>0.95725388601036265</v>
      </c>
      <c r="BA136" s="32">
        <v>0.95741935483870966</v>
      </c>
      <c r="BB136" s="32">
        <v>0.97701149425287359</v>
      </c>
      <c r="BC136" s="32">
        <v>0.98486759142496849</v>
      </c>
      <c r="BD136" s="32">
        <v>0.97744360902255634</v>
      </c>
      <c r="BE136" s="32">
        <v>0.97254523600501763</v>
      </c>
      <c r="BF136" s="32">
        <v>0.98623279098873595</v>
      </c>
      <c r="BG136" s="32">
        <v>0.91321243523316065</v>
      </c>
      <c r="BH136" s="32">
        <v>0.98883374689826298</v>
      </c>
      <c r="BI136" s="32">
        <v>0.99751243781094523</v>
      </c>
      <c r="BJ136" s="32">
        <v>0.99749373433583954</v>
      </c>
      <c r="BK136" s="32">
        <v>0.96520618556701032</v>
      </c>
      <c r="BL136" s="32">
        <v>0.97560975609756095</v>
      </c>
      <c r="BM136" s="32">
        <v>0.97487158384735939</v>
      </c>
      <c r="BN136" s="32">
        <v>0.9826086956521739</v>
      </c>
      <c r="BO136" s="32">
        <v>0.99750933997509339</v>
      </c>
      <c r="BP136" s="32">
        <v>0.98375000000000001</v>
      </c>
      <c r="BQ136" s="32">
        <v>0.99508599508599505</v>
      </c>
      <c r="BR136" s="32">
        <v>0.98636926889714993</v>
      </c>
      <c r="BS136" s="32">
        <v>0.95539033457249067</v>
      </c>
      <c r="BT136" s="32">
        <v>1</v>
      </c>
      <c r="BU136" s="32">
        <v>0.98581623345470049</v>
      </c>
      <c r="BV136" s="32">
        <v>0.98237159808086616</v>
      </c>
    </row>
    <row r="137" spans="33:74" x14ac:dyDescent="0.25">
      <c r="AG137" s="19" t="s">
        <v>198</v>
      </c>
      <c r="AH137" s="32">
        <v>0.99302649930264997</v>
      </c>
      <c r="AI137" s="32">
        <v>0.99861878453038677</v>
      </c>
      <c r="AJ137" s="32">
        <v>0.99728260869565222</v>
      </c>
      <c r="AK137" s="32">
        <v>1</v>
      </c>
      <c r="AL137" s="32">
        <v>0.99724137931034484</v>
      </c>
      <c r="AM137" s="32">
        <v>0.98905608755129959</v>
      </c>
      <c r="AN137" s="32">
        <v>0.990450204638472</v>
      </c>
      <c r="AO137" s="32">
        <v>0.99509650914697212</v>
      </c>
      <c r="AP137" s="32">
        <v>0.9888734353268428</v>
      </c>
      <c r="AQ137" s="32">
        <v>0.99194630872483225</v>
      </c>
      <c r="AR137" s="32">
        <v>0.98622589531680438</v>
      </c>
      <c r="AS137" s="32">
        <v>0.99727891156462589</v>
      </c>
      <c r="AT137" s="32">
        <v>0.99179206566347466</v>
      </c>
      <c r="AU137" s="32">
        <v>0.99591836734693873</v>
      </c>
      <c r="AV137" s="32">
        <v>0.99042407660738718</v>
      </c>
      <c r="AW137" s="32">
        <v>0.9917798657929866</v>
      </c>
      <c r="AX137" s="32">
        <v>0.96491228070175439</v>
      </c>
      <c r="AY137" s="32">
        <v>0.99725651577503427</v>
      </c>
      <c r="AZ137" s="32">
        <v>0.97071742313323572</v>
      </c>
      <c r="BA137" s="32">
        <v>0.97387518142235119</v>
      </c>
      <c r="BB137" s="32">
        <v>0.96732954545454541</v>
      </c>
      <c r="BC137" s="32">
        <v>0.98782138024357236</v>
      </c>
      <c r="BD137" s="32">
        <v>0.99026425591098743</v>
      </c>
      <c r="BE137" s="32">
        <v>0.978882368948783</v>
      </c>
      <c r="BF137" s="32">
        <v>0.98994252873563215</v>
      </c>
      <c r="BG137" s="32">
        <v>0.95888399412628489</v>
      </c>
      <c r="BH137" s="32">
        <v>0.98011363636363635</v>
      </c>
      <c r="BI137" s="32">
        <v>0.99160839160839165</v>
      </c>
      <c r="BJ137" s="32">
        <v>0.99571428571428566</v>
      </c>
      <c r="BK137" s="32">
        <v>0.96750369276218606</v>
      </c>
      <c r="BL137" s="32">
        <v>0.99855907780979825</v>
      </c>
      <c r="BM137" s="32">
        <v>0.98318937244574489</v>
      </c>
      <c r="BN137" s="32">
        <v>0.99717912552891397</v>
      </c>
      <c r="BO137" s="32">
        <v>0.99432624113475176</v>
      </c>
      <c r="BP137" s="32">
        <v>0.99860335195530725</v>
      </c>
      <c r="BQ137" s="32">
        <v>1</v>
      </c>
      <c r="BR137" s="32">
        <v>0.99446749654218536</v>
      </c>
      <c r="BS137" s="32">
        <v>0.99717912552891397</v>
      </c>
      <c r="BT137" s="32">
        <v>0.99859747545582045</v>
      </c>
      <c r="BU137" s="32">
        <v>0.99719325944941317</v>
      </c>
      <c r="BV137" s="32">
        <v>0.98922827515678036</v>
      </c>
    </row>
    <row r="138" spans="33:74" x14ac:dyDescent="0.25">
      <c r="AG138" s="19" t="s">
        <v>199</v>
      </c>
      <c r="AH138" s="32">
        <v>0.9886104783599089</v>
      </c>
      <c r="AI138" s="32">
        <v>0.9489559164733179</v>
      </c>
      <c r="AJ138" s="32">
        <v>0.97011494252873565</v>
      </c>
      <c r="AK138" s="32">
        <v>0.9363636363636364</v>
      </c>
      <c r="AL138" s="32">
        <v>0.95871559633027525</v>
      </c>
      <c r="AM138" s="32">
        <v>0.94339622641509435</v>
      </c>
      <c r="AN138" s="32">
        <v>0.96955503512880559</v>
      </c>
      <c r="AO138" s="32">
        <v>0.95938740451425342</v>
      </c>
      <c r="AP138" s="32">
        <v>0.98839907192575405</v>
      </c>
      <c r="AQ138" s="32">
        <v>0.9486607142857143</v>
      </c>
      <c r="AR138" s="32">
        <v>0.98379629629629628</v>
      </c>
      <c r="AS138" s="32">
        <v>0.95642201834862384</v>
      </c>
      <c r="AT138" s="32">
        <v>0.96736596736596736</v>
      </c>
      <c r="AU138" s="32">
        <v>0.95927601809954754</v>
      </c>
      <c r="AV138" s="32">
        <v>0.9567198177676538</v>
      </c>
      <c r="AW138" s="32">
        <v>0.96580570058422244</v>
      </c>
      <c r="AX138" s="32">
        <v>0.93271461716937354</v>
      </c>
      <c r="AY138" s="32">
        <v>0.9376391982182628</v>
      </c>
      <c r="AZ138" s="32">
        <v>0.84149184149184153</v>
      </c>
      <c r="BA138" s="32">
        <v>0.85202863961813846</v>
      </c>
      <c r="BB138" s="32">
        <v>0.89861751152073732</v>
      </c>
      <c r="BC138" s="32">
        <v>0.97065462753950338</v>
      </c>
      <c r="BD138" s="32">
        <v>0.9386363636363636</v>
      </c>
      <c r="BE138" s="32">
        <v>0.91025468559917455</v>
      </c>
      <c r="BF138" s="32">
        <v>0.98019801980198018</v>
      </c>
      <c r="BG138" s="32">
        <v>0.77453580901856767</v>
      </c>
      <c r="BH138" s="32">
        <v>0.99504950495049505</v>
      </c>
      <c r="BI138" s="32">
        <v>0.96919431279620849</v>
      </c>
      <c r="BJ138" s="32">
        <v>0.94088669950738912</v>
      </c>
      <c r="BK138" s="32">
        <v>0.84771573604060912</v>
      </c>
      <c r="BL138" s="32">
        <v>0.8524173027989822</v>
      </c>
      <c r="BM138" s="32">
        <v>0.90857105498774737</v>
      </c>
      <c r="BN138" s="32">
        <v>0.99762470308788598</v>
      </c>
      <c r="BO138" s="32">
        <v>0.99526066350710896</v>
      </c>
      <c r="BP138" s="32">
        <v>0.99489795918367352</v>
      </c>
      <c r="BQ138" s="32">
        <v>0.9244444444444444</v>
      </c>
      <c r="BR138" s="32">
        <v>0.83564814814814814</v>
      </c>
      <c r="BS138" s="32">
        <v>0.94033412887828161</v>
      </c>
      <c r="BT138" s="32">
        <v>0.91609977324263037</v>
      </c>
      <c r="BU138" s="32">
        <v>0.94347283149888195</v>
      </c>
      <c r="BV138" s="32">
        <v>0.9374983354368559</v>
      </c>
    </row>
    <row r="139" spans="33:74" x14ac:dyDescent="0.25">
      <c r="AG139" s="19" t="s">
        <v>200</v>
      </c>
      <c r="AH139" s="32">
        <v>0.99159663865546221</v>
      </c>
      <c r="AI139" s="32">
        <v>0.96326530612244898</v>
      </c>
      <c r="AJ139" s="32">
        <v>0.96761133603238869</v>
      </c>
      <c r="AK139" s="32">
        <v>0.94399999999999995</v>
      </c>
      <c r="AL139" s="32">
        <v>0.96747967479674801</v>
      </c>
      <c r="AM139" s="32">
        <v>0.98380566801619429</v>
      </c>
      <c r="AN139" s="32">
        <v>0.99603174603174605</v>
      </c>
      <c r="AO139" s="32">
        <v>0.97339862423642676</v>
      </c>
      <c r="AP139" s="32">
        <v>0.94650205761316875</v>
      </c>
      <c r="AQ139" s="32">
        <v>0.94799999999999995</v>
      </c>
      <c r="AR139" s="32">
        <v>0.95546558704453444</v>
      </c>
      <c r="AS139" s="32">
        <v>0.96370967741935487</v>
      </c>
      <c r="AT139" s="32">
        <v>0.94650205761316875</v>
      </c>
      <c r="AU139" s="32">
        <v>0.93927125506072873</v>
      </c>
      <c r="AV139" s="32">
        <v>0.95546558704453444</v>
      </c>
      <c r="AW139" s="32">
        <v>0.95070231739935562</v>
      </c>
      <c r="AX139" s="32">
        <v>0.94936708860759489</v>
      </c>
      <c r="AY139" s="32">
        <v>0.97154471544715448</v>
      </c>
      <c r="AZ139" s="32">
        <v>0.9296875</v>
      </c>
      <c r="BA139" s="32">
        <v>0.876</v>
      </c>
      <c r="BB139" s="32">
        <v>0.90871369294605808</v>
      </c>
      <c r="BC139" s="32">
        <v>0.97540983606557374</v>
      </c>
      <c r="BD139" s="32">
        <v>0.98770491803278693</v>
      </c>
      <c r="BE139" s="32">
        <v>0.94263253587130968</v>
      </c>
      <c r="BF139" s="32">
        <v>0.91666666666666663</v>
      </c>
      <c r="BG139" s="32">
        <v>0.78884462151394419</v>
      </c>
      <c r="BH139" s="32">
        <v>0.88976377952755903</v>
      </c>
      <c r="BI139" s="32">
        <v>0.89200000000000002</v>
      </c>
      <c r="BJ139" s="32">
        <v>0.89370078740157477</v>
      </c>
      <c r="BK139" s="32">
        <v>0.81707317073170727</v>
      </c>
      <c r="BL139" s="32">
        <v>0.82329317269076308</v>
      </c>
      <c r="BM139" s="32">
        <v>0.86019174264745935</v>
      </c>
      <c r="BN139" s="32">
        <v>0.95149253731343286</v>
      </c>
      <c r="BO139" s="32">
        <v>0.91603053435114501</v>
      </c>
      <c r="BP139" s="32">
        <v>0.95925925925925926</v>
      </c>
      <c r="BQ139" s="32">
        <v>0.9595588235294118</v>
      </c>
      <c r="BR139" s="32">
        <v>0.89811320754716983</v>
      </c>
      <c r="BS139" s="32">
        <v>0.92395437262357416</v>
      </c>
      <c r="BT139" s="32">
        <v>0.90458015267175573</v>
      </c>
      <c r="BU139" s="32">
        <v>0.9304269838993926</v>
      </c>
      <c r="BV139" s="32">
        <v>0.93147044081078856</v>
      </c>
    </row>
    <row r="140" spans="33:74" x14ac:dyDescent="0.25">
      <c r="AG140" s="19" t="s">
        <v>201</v>
      </c>
      <c r="AH140" s="32">
        <v>0.89687499999999998</v>
      </c>
      <c r="AI140" s="32">
        <v>0.90909090909090906</v>
      </c>
      <c r="AJ140" s="32">
        <v>0.828125</v>
      </c>
      <c r="AK140" s="32">
        <v>0.85</v>
      </c>
      <c r="AL140" s="32">
        <v>0.890625</v>
      </c>
      <c r="AM140" s="32">
        <v>0.92792792792792789</v>
      </c>
      <c r="AN140" s="32">
        <v>0.90490797546012269</v>
      </c>
      <c r="AO140" s="32">
        <v>0.88679311606842293</v>
      </c>
      <c r="AP140" s="32">
        <v>0.85538461538461541</v>
      </c>
      <c r="AQ140" s="32">
        <v>0.890625</v>
      </c>
      <c r="AR140" s="32" t="e">
        <v>#NUM!</v>
      </c>
      <c r="AS140" s="32">
        <v>0.89197530864197527</v>
      </c>
      <c r="AT140" s="32">
        <v>0.8606060606060606</v>
      </c>
      <c r="AU140" s="32">
        <v>0.90214067278287458</v>
      </c>
      <c r="AV140" s="32">
        <v>0.87272727272727268</v>
      </c>
      <c r="AW140" s="32" t="e">
        <v>#NUM!</v>
      </c>
      <c r="AX140" s="32">
        <v>0.85624999999999996</v>
      </c>
      <c r="AY140" s="32">
        <v>0.91793313069908811</v>
      </c>
      <c r="AZ140" s="32">
        <v>0.82410423452768733</v>
      </c>
      <c r="BA140" s="32">
        <v>0.8403908794788274</v>
      </c>
      <c r="BB140" s="32">
        <v>0.88437500000000002</v>
      </c>
      <c r="BC140" s="32">
        <v>0.91717791411042948</v>
      </c>
      <c r="BD140" s="32">
        <v>0.88271604938271608</v>
      </c>
      <c r="BE140" s="32">
        <v>0.87470674402839266</v>
      </c>
      <c r="BF140" s="32">
        <v>0.90937500000000004</v>
      </c>
      <c r="BG140" s="32">
        <v>0.85113268608414239</v>
      </c>
      <c r="BH140" s="32">
        <v>0.89130434782608692</v>
      </c>
      <c r="BI140" s="32">
        <v>0.90797546012269936</v>
      </c>
      <c r="BJ140" s="32">
        <v>0.83850931677018636</v>
      </c>
      <c r="BK140" s="32">
        <v>0.72815533980582525</v>
      </c>
      <c r="BL140" s="32">
        <v>0.76699029126213591</v>
      </c>
      <c r="BM140" s="32">
        <v>0.84192034883872513</v>
      </c>
      <c r="BN140" s="32">
        <v>0.89693593314763231</v>
      </c>
      <c r="BO140" s="32">
        <v>0.9242424242424242</v>
      </c>
      <c r="BP140" s="32">
        <v>0.91354466858789629</v>
      </c>
      <c r="BQ140" s="32">
        <v>0.89830508474576276</v>
      </c>
      <c r="BR140" s="32">
        <v>0.92957746478873238</v>
      </c>
      <c r="BS140" s="32">
        <v>0.90504451038575673</v>
      </c>
      <c r="BT140" s="32">
        <v>0.91867469879518071</v>
      </c>
      <c r="BU140" s="32">
        <v>0.91233211209905518</v>
      </c>
      <c r="BV140" s="32" t="e">
        <v>#NUM!</v>
      </c>
    </row>
    <row r="141" spans="33:74" x14ac:dyDescent="0.25">
      <c r="AG141" s="19" t="s">
        <v>202</v>
      </c>
      <c r="AH141" s="32">
        <v>0.9097142857142857</v>
      </c>
      <c r="AI141" s="32">
        <v>0.94305239179954437</v>
      </c>
      <c r="AJ141" s="32">
        <v>0.90068493150684936</v>
      </c>
      <c r="AK141" s="32">
        <v>0.91867124856815574</v>
      </c>
      <c r="AL141" s="32">
        <v>0.92800000000000005</v>
      </c>
      <c r="AM141" s="32">
        <v>0.93487858719646799</v>
      </c>
      <c r="AN141" s="32">
        <v>0.92808219178082196</v>
      </c>
      <c r="AO141" s="32">
        <v>0.9232976623665895</v>
      </c>
      <c r="AP141" s="32">
        <v>0.90376106194690264</v>
      </c>
      <c r="AQ141" s="32">
        <v>0.94718714121699199</v>
      </c>
      <c r="AR141" s="32">
        <v>0.87982359426681367</v>
      </c>
      <c r="AS141" s="32">
        <v>0.90233074361820198</v>
      </c>
      <c r="AT141" s="32">
        <v>0.90033222591362128</v>
      </c>
      <c r="AU141" s="32">
        <v>0.92699115044247793</v>
      </c>
      <c r="AV141" s="32">
        <v>0.90286975717439288</v>
      </c>
      <c r="AW141" s="32">
        <v>0.90904223922562899</v>
      </c>
      <c r="AX141" s="32">
        <v>0.87848383500557414</v>
      </c>
      <c r="AY141" s="32">
        <v>0.92070484581497802</v>
      </c>
      <c r="AZ141" s="32">
        <v>0.87039106145251399</v>
      </c>
      <c r="BA141" s="32">
        <v>0.92289988492520136</v>
      </c>
      <c r="BB141" s="32">
        <v>0.93274531422271223</v>
      </c>
      <c r="BC141" s="32">
        <v>0.90638766519823788</v>
      </c>
      <c r="BD141" s="32">
        <v>0.93451720310765818</v>
      </c>
      <c r="BE141" s="32">
        <v>0.90944711567526793</v>
      </c>
      <c r="BF141" s="32">
        <v>0.88876651982378851</v>
      </c>
      <c r="BG141" s="32">
        <v>0.81408775981524251</v>
      </c>
      <c r="BH141" s="32">
        <v>0.92740046838407497</v>
      </c>
      <c r="BI141" s="32">
        <v>0.9254437869822485</v>
      </c>
      <c r="BJ141" s="32">
        <v>0.91888888888888887</v>
      </c>
      <c r="BK141" s="32">
        <v>0.85040276179516683</v>
      </c>
      <c r="BL141" s="32">
        <v>0.92429378531073447</v>
      </c>
      <c r="BM141" s="32">
        <v>0.89275485300002078</v>
      </c>
      <c r="BN141" s="32">
        <v>0.94657375145180023</v>
      </c>
      <c r="BO141" s="32">
        <v>0.89264877479579929</v>
      </c>
      <c r="BP141" s="32">
        <v>0.93867924528301883</v>
      </c>
      <c r="BQ141" s="32">
        <v>0.94444444444444442</v>
      </c>
      <c r="BR141" s="32">
        <v>0.95096921322690997</v>
      </c>
      <c r="BS141" s="32">
        <v>0.92388758782201408</v>
      </c>
      <c r="BT141" s="32">
        <v>0.92954545454545456</v>
      </c>
      <c r="BU141" s="32">
        <v>0.93239263879563461</v>
      </c>
      <c r="BV141" s="32">
        <v>0.91338690181262838</v>
      </c>
    </row>
    <row r="142" spans="33:74" x14ac:dyDescent="0.25">
      <c r="AG142" s="19" t="s">
        <v>46</v>
      </c>
      <c r="AH142" s="32">
        <v>0.93154477380280154</v>
      </c>
      <c r="AI142" s="32">
        <v>0.9514460989449024</v>
      </c>
      <c r="AJ142" s="32">
        <v>0.92938303865031824</v>
      </c>
      <c r="AK142" s="32">
        <v>0.93821333731438972</v>
      </c>
      <c r="AL142" s="32">
        <v>0.94689746725795365</v>
      </c>
      <c r="AM142" s="32">
        <v>0.94870130812651188</v>
      </c>
      <c r="AN142" s="32">
        <v>0.94819126864806225</v>
      </c>
      <c r="AO142" s="32">
        <v>0.94205389896356351</v>
      </c>
      <c r="AP142" s="32">
        <v>0.91908738543003565</v>
      </c>
      <c r="AQ142" s="32">
        <v>0.94954497249405001</v>
      </c>
      <c r="AR142" s="32" t="e">
        <v>#NUM!</v>
      </c>
      <c r="AS142" s="32">
        <v>0.93148550386255913</v>
      </c>
      <c r="AT142" s="32">
        <v>0.93593002790000901</v>
      </c>
      <c r="AU142" s="32">
        <v>0.94677977803513158</v>
      </c>
      <c r="AV142" s="32">
        <v>0.94240063693232534</v>
      </c>
      <c r="AW142" s="32" t="e">
        <v>#NUM!</v>
      </c>
      <c r="AX142" s="32">
        <v>0.89114519293767658</v>
      </c>
      <c r="AY142" s="32">
        <v>0.94129727221837611</v>
      </c>
      <c r="AZ142" s="32">
        <v>0.87321933470090718</v>
      </c>
      <c r="BA142" s="32">
        <v>0.87878540390326831</v>
      </c>
      <c r="BB142" s="32">
        <v>0.92226320253943606</v>
      </c>
      <c r="BC142" s="32">
        <v>0.93999914674972607</v>
      </c>
      <c r="BD142" s="32">
        <v>0.93524456075356854</v>
      </c>
      <c r="BE142" s="32">
        <v>0.91170773054327969</v>
      </c>
      <c r="BF142" s="32">
        <v>0.90126877721730758</v>
      </c>
      <c r="BG142" s="32">
        <v>0.81560249756720971</v>
      </c>
      <c r="BH142" s="32">
        <v>0.9102172137069201</v>
      </c>
      <c r="BI142" s="32" t="e">
        <v>#NUM!</v>
      </c>
      <c r="BJ142" s="32">
        <v>0.89594058124127474</v>
      </c>
      <c r="BK142" s="32">
        <v>0.82114431861466863</v>
      </c>
      <c r="BL142" s="32">
        <v>0.86085841330318713</v>
      </c>
      <c r="BM142" s="32" t="e">
        <v>#NUM!</v>
      </c>
      <c r="BN142" s="32" t="e">
        <v>#NUM!</v>
      </c>
      <c r="BO142" s="32" t="e">
        <v>#NUM!</v>
      </c>
      <c r="BP142" s="32" t="e">
        <v>#NUM!</v>
      </c>
      <c r="BQ142" s="32" t="e">
        <v>#NUM!</v>
      </c>
      <c r="BR142" s="32" t="e">
        <v>#NUM!</v>
      </c>
      <c r="BS142" s="32" t="e">
        <v>#NUM!</v>
      </c>
      <c r="BT142" s="32" t="e">
        <v>#NUM!</v>
      </c>
      <c r="BU142" s="32" t="e">
        <v>#NUM!</v>
      </c>
      <c r="BV142" s="32" t="e">
        <v>#NUM!</v>
      </c>
    </row>
    <row r="149" spans="33:47" x14ac:dyDescent="0.25">
      <c r="AG149" s="16" t="s">
        <v>234</v>
      </c>
      <c r="AH149" s="27" t="s">
        <v>51</v>
      </c>
      <c r="AI149" s="27" t="s">
        <v>52</v>
      </c>
      <c r="AJ149" s="27" t="s">
        <v>53</v>
      </c>
      <c r="AK149" s="27" t="s">
        <v>54</v>
      </c>
      <c r="AL149" s="27" t="s">
        <v>55</v>
      </c>
      <c r="AM149" s="27" t="s">
        <v>56</v>
      </c>
      <c r="AN149" s="27" t="s">
        <v>57</v>
      </c>
      <c r="AO149" s="27" t="s">
        <v>58</v>
      </c>
      <c r="AP149" s="27" t="s">
        <v>59</v>
      </c>
      <c r="AQ149" s="27" t="s">
        <v>60</v>
      </c>
      <c r="AR149" s="27" t="s">
        <v>61</v>
      </c>
      <c r="AS149" s="27" t="s">
        <v>62</v>
      </c>
      <c r="AT149" s="27" t="s">
        <v>63</v>
      </c>
      <c r="AU149" s="27" t="s">
        <v>64</v>
      </c>
    </row>
    <row r="150" spans="33:47" x14ac:dyDescent="0.25">
      <c r="AG150" s="16" t="s">
        <v>42</v>
      </c>
      <c r="AH150" s="27">
        <f>COUNTIF(AH151:AH287,"&gt;0")</f>
        <v>133</v>
      </c>
      <c r="AI150" s="27">
        <f>COUNTIF(AI151:AI284,"&gt;0")</f>
        <v>131</v>
      </c>
      <c r="AJ150" s="27">
        <f>COUNTIF(AJ151:AJ284,"&gt;0")</f>
        <v>130</v>
      </c>
      <c r="AK150" s="27">
        <f>COUNTIF(AK151:AK284,"&gt;0")</f>
        <v>125</v>
      </c>
      <c r="AL150" s="27">
        <f>COUNTIF(AL151:AL284,"&gt;0")</f>
        <v>129</v>
      </c>
      <c r="AM150" s="27">
        <f>COUNTIF(AM151:AM284,"&gt;0")</f>
        <v>0</v>
      </c>
      <c r="AN150" s="27" t="str">
        <f t="shared" ref="AN150:AU150" si="8">IF(COUNTIF(AN151:AN284,"&gt;0")=0,"",COUNTIF(AN151:AN284,"&gt;0"))</f>
        <v/>
      </c>
      <c r="AO150" s="27" t="str">
        <f t="shared" si="8"/>
        <v/>
      </c>
      <c r="AP150" s="27" t="str">
        <f t="shared" si="8"/>
        <v/>
      </c>
      <c r="AQ150" s="27" t="str">
        <f t="shared" si="8"/>
        <v/>
      </c>
      <c r="AR150" s="27" t="str">
        <f t="shared" si="8"/>
        <v/>
      </c>
      <c r="AS150" s="27" t="str">
        <f t="shared" si="8"/>
        <v/>
      </c>
      <c r="AT150" s="27" t="str">
        <f t="shared" si="8"/>
        <v/>
      </c>
      <c r="AU150" s="27" t="str">
        <f t="shared" si="8"/>
        <v/>
      </c>
    </row>
    <row r="151" spans="33:47" x14ac:dyDescent="0.25">
      <c r="AG151" s="19" t="s">
        <v>73</v>
      </c>
      <c r="AH151">
        <f>COUNTIF($AH8:$AN8,"&gt;=85%")</f>
        <v>7</v>
      </c>
      <c r="AI151">
        <f>COUNTIF($AP8:$AV8,"&gt;=85%")</f>
        <v>7</v>
      </c>
      <c r="AJ151">
        <f>COUNTIF($AX8:$BD8,"&gt;=85%")</f>
        <v>7</v>
      </c>
      <c r="AK151">
        <f>COUNTIF($BF8:$BL8,"&gt;=85%")</f>
        <v>3</v>
      </c>
      <c r="AL151">
        <f>COUNTIF($BN8:$BT8,"&gt;=85%")</f>
        <v>7</v>
      </c>
    </row>
    <row r="152" spans="33:47" x14ac:dyDescent="0.25">
      <c r="AG152" s="19" t="s">
        <v>74</v>
      </c>
      <c r="AH152">
        <f t="shared" ref="AH152:AH215" si="9">COUNTIF($AH9:$AN9,"&gt;=85%")</f>
        <v>7</v>
      </c>
      <c r="AI152">
        <f t="shared" ref="AI152:AI215" si="10">COUNTIF($AP9:$AV9,"&gt;=85%")</f>
        <v>7</v>
      </c>
      <c r="AJ152">
        <f t="shared" ref="AJ152:AJ215" si="11">COUNTIF($AX9:$BD9,"&gt;=85%")</f>
        <v>7</v>
      </c>
      <c r="AK152">
        <f t="shared" ref="AK152:AK215" si="12">COUNTIF($BF9:$BL9,"&gt;=85%")</f>
        <v>7</v>
      </c>
      <c r="AL152">
        <f t="shared" ref="AL152:AL215" si="13">COUNTIF($BN9:$BT9,"&gt;=85%")</f>
        <v>7</v>
      </c>
    </row>
    <row r="153" spans="33:47" x14ac:dyDescent="0.25">
      <c r="AG153" s="19" t="s">
        <v>75</v>
      </c>
      <c r="AH153">
        <f t="shared" si="9"/>
        <v>1</v>
      </c>
      <c r="AI153">
        <f t="shared" si="10"/>
        <v>4</v>
      </c>
      <c r="AJ153">
        <f t="shared" si="11"/>
        <v>0</v>
      </c>
      <c r="AK153">
        <f t="shared" si="12"/>
        <v>0</v>
      </c>
      <c r="AL153">
        <f t="shared" si="13"/>
        <v>0</v>
      </c>
    </row>
    <row r="154" spans="33:47" x14ac:dyDescent="0.25">
      <c r="AG154" s="19" t="s">
        <v>76</v>
      </c>
      <c r="AH154">
        <f t="shared" si="9"/>
        <v>7</v>
      </c>
      <c r="AI154">
        <f t="shared" si="10"/>
        <v>7</v>
      </c>
      <c r="AJ154">
        <f t="shared" si="11"/>
        <v>7</v>
      </c>
      <c r="AK154">
        <f t="shared" si="12"/>
        <v>7</v>
      </c>
      <c r="AL154">
        <f t="shared" si="13"/>
        <v>7</v>
      </c>
    </row>
    <row r="155" spans="33:47" x14ac:dyDescent="0.25">
      <c r="AG155" s="19" t="s">
        <v>77</v>
      </c>
      <c r="AH155">
        <f t="shared" si="9"/>
        <v>7</v>
      </c>
      <c r="AI155">
        <f t="shared" si="10"/>
        <v>7</v>
      </c>
      <c r="AJ155">
        <f t="shared" si="11"/>
        <v>7</v>
      </c>
      <c r="AK155">
        <f t="shared" si="12"/>
        <v>7</v>
      </c>
      <c r="AL155">
        <f t="shared" si="13"/>
        <v>7</v>
      </c>
    </row>
    <row r="156" spans="33:47" x14ac:dyDescent="0.25">
      <c r="AG156" s="19" t="s">
        <v>78</v>
      </c>
      <c r="AH156">
        <f t="shared" si="9"/>
        <v>7</v>
      </c>
      <c r="AI156">
        <f t="shared" si="10"/>
        <v>7</v>
      </c>
      <c r="AJ156">
        <f t="shared" si="11"/>
        <v>7</v>
      </c>
      <c r="AK156">
        <f t="shared" si="12"/>
        <v>6</v>
      </c>
      <c r="AL156">
        <f t="shared" si="13"/>
        <v>7</v>
      </c>
    </row>
    <row r="157" spans="33:47" x14ac:dyDescent="0.25">
      <c r="AG157" s="19" t="s">
        <v>79</v>
      </c>
      <c r="AH157">
        <f t="shared" si="9"/>
        <v>7</v>
      </c>
      <c r="AI157">
        <f t="shared" si="10"/>
        <v>7</v>
      </c>
      <c r="AJ157">
        <f t="shared" si="11"/>
        <v>7</v>
      </c>
      <c r="AK157">
        <f t="shared" si="12"/>
        <v>5</v>
      </c>
      <c r="AL157">
        <f t="shared" si="13"/>
        <v>7</v>
      </c>
    </row>
    <row r="158" spans="33:47" x14ac:dyDescent="0.25">
      <c r="AG158" s="19" t="s">
        <v>80</v>
      </c>
      <c r="AH158">
        <f t="shared" si="9"/>
        <v>7</v>
      </c>
      <c r="AI158">
        <f t="shared" si="10"/>
        <v>7</v>
      </c>
      <c r="AJ158">
        <f t="shared" si="11"/>
        <v>7</v>
      </c>
      <c r="AK158">
        <f t="shared" si="12"/>
        <v>6</v>
      </c>
      <c r="AL158">
        <f t="shared" si="13"/>
        <v>7</v>
      </c>
    </row>
    <row r="159" spans="33:47" x14ac:dyDescent="0.25">
      <c r="AG159" s="19" t="s">
        <v>81</v>
      </c>
      <c r="AH159">
        <f t="shared" si="9"/>
        <v>6</v>
      </c>
      <c r="AI159">
        <f t="shared" si="10"/>
        <v>6</v>
      </c>
      <c r="AJ159">
        <f t="shared" si="11"/>
        <v>7</v>
      </c>
      <c r="AK159">
        <f t="shared" si="12"/>
        <v>6</v>
      </c>
      <c r="AL159">
        <f t="shared" si="13"/>
        <v>7</v>
      </c>
    </row>
    <row r="160" spans="33:47" x14ac:dyDescent="0.25">
      <c r="AG160" s="19" t="s">
        <v>82</v>
      </c>
      <c r="AH160">
        <f t="shared" si="9"/>
        <v>5</v>
      </c>
      <c r="AI160">
        <f t="shared" si="10"/>
        <v>5</v>
      </c>
      <c r="AJ160">
        <f t="shared" si="11"/>
        <v>2</v>
      </c>
      <c r="AK160">
        <f t="shared" si="12"/>
        <v>0</v>
      </c>
      <c r="AL160">
        <f t="shared" si="13"/>
        <v>1</v>
      </c>
    </row>
    <row r="161" spans="33:38" x14ac:dyDescent="0.25">
      <c r="AG161" s="19" t="s">
        <v>83</v>
      </c>
      <c r="AH161">
        <f t="shared" si="9"/>
        <v>7</v>
      </c>
      <c r="AI161">
        <f t="shared" si="10"/>
        <v>5</v>
      </c>
      <c r="AJ161">
        <f t="shared" si="11"/>
        <v>4</v>
      </c>
      <c r="AK161">
        <f t="shared" si="12"/>
        <v>3</v>
      </c>
      <c r="AL161">
        <f t="shared" si="13"/>
        <v>7</v>
      </c>
    </row>
    <row r="162" spans="33:38" x14ac:dyDescent="0.25">
      <c r="AG162" s="19" t="s">
        <v>84</v>
      </c>
      <c r="AH162">
        <f t="shared" si="9"/>
        <v>7</v>
      </c>
      <c r="AI162">
        <f t="shared" si="10"/>
        <v>7</v>
      </c>
      <c r="AJ162">
        <f t="shared" si="11"/>
        <v>7</v>
      </c>
      <c r="AK162">
        <f t="shared" si="12"/>
        <v>6</v>
      </c>
      <c r="AL162">
        <f t="shared" si="13"/>
        <v>7</v>
      </c>
    </row>
    <row r="163" spans="33:38" x14ac:dyDescent="0.25">
      <c r="AG163" s="19" t="s">
        <v>85</v>
      </c>
      <c r="AH163">
        <f t="shared" si="9"/>
        <v>7</v>
      </c>
      <c r="AI163">
        <f t="shared" si="10"/>
        <v>7</v>
      </c>
      <c r="AJ163">
        <f t="shared" si="11"/>
        <v>7</v>
      </c>
      <c r="AK163">
        <f t="shared" si="12"/>
        <v>7</v>
      </c>
      <c r="AL163">
        <f t="shared" si="13"/>
        <v>7</v>
      </c>
    </row>
    <row r="164" spans="33:38" x14ac:dyDescent="0.25">
      <c r="AG164" s="19" t="s">
        <v>86</v>
      </c>
      <c r="AH164">
        <f t="shared" si="9"/>
        <v>7</v>
      </c>
      <c r="AI164">
        <f t="shared" si="10"/>
        <v>7</v>
      </c>
      <c r="AJ164">
        <f t="shared" si="11"/>
        <v>7</v>
      </c>
      <c r="AK164">
        <f t="shared" si="12"/>
        <v>7</v>
      </c>
      <c r="AL164">
        <f t="shared" si="13"/>
        <v>7</v>
      </c>
    </row>
    <row r="165" spans="33:38" x14ac:dyDescent="0.25">
      <c r="AG165" s="19" t="s">
        <v>87</v>
      </c>
      <c r="AH165">
        <f t="shared" si="9"/>
        <v>7</v>
      </c>
      <c r="AI165">
        <f t="shared" si="10"/>
        <v>7</v>
      </c>
      <c r="AJ165">
        <f t="shared" si="11"/>
        <v>7</v>
      </c>
      <c r="AK165">
        <f t="shared" si="12"/>
        <v>7</v>
      </c>
      <c r="AL165">
        <f t="shared" si="13"/>
        <v>7</v>
      </c>
    </row>
    <row r="166" spans="33:38" x14ac:dyDescent="0.25">
      <c r="AG166" s="19" t="s">
        <v>88</v>
      </c>
      <c r="AH166">
        <f t="shared" si="9"/>
        <v>7</v>
      </c>
      <c r="AI166">
        <f t="shared" si="10"/>
        <v>7</v>
      </c>
      <c r="AJ166">
        <f t="shared" si="11"/>
        <v>6</v>
      </c>
      <c r="AK166">
        <f t="shared" si="12"/>
        <v>5</v>
      </c>
      <c r="AL166">
        <f t="shared" si="13"/>
        <v>7</v>
      </c>
    </row>
    <row r="167" spans="33:38" x14ac:dyDescent="0.25">
      <c r="AG167" s="19" t="s">
        <v>89</v>
      </c>
      <c r="AH167">
        <f t="shared" si="9"/>
        <v>7</v>
      </c>
      <c r="AI167">
        <f t="shared" si="10"/>
        <v>7</v>
      </c>
      <c r="AJ167">
        <f t="shared" si="11"/>
        <v>4</v>
      </c>
      <c r="AK167">
        <f t="shared" si="12"/>
        <v>0</v>
      </c>
      <c r="AL167">
        <f t="shared" si="13"/>
        <v>6</v>
      </c>
    </row>
    <row r="168" spans="33:38" x14ac:dyDescent="0.25">
      <c r="AG168" s="19" t="s">
        <v>90</v>
      </c>
      <c r="AH168">
        <f t="shared" si="9"/>
        <v>7</v>
      </c>
      <c r="AI168">
        <f t="shared" si="10"/>
        <v>7</v>
      </c>
      <c r="AJ168">
        <f t="shared" si="11"/>
        <v>7</v>
      </c>
      <c r="AK168">
        <f t="shared" si="12"/>
        <v>7</v>
      </c>
      <c r="AL168">
        <f t="shared" si="13"/>
        <v>7</v>
      </c>
    </row>
    <row r="169" spans="33:38" x14ac:dyDescent="0.25">
      <c r="AG169" s="19" t="s">
        <v>91</v>
      </c>
      <c r="AH169">
        <f t="shared" si="9"/>
        <v>7</v>
      </c>
      <c r="AI169">
        <f t="shared" si="10"/>
        <v>7</v>
      </c>
      <c r="AJ169">
        <f t="shared" si="11"/>
        <v>7</v>
      </c>
      <c r="AK169">
        <f t="shared" si="12"/>
        <v>5</v>
      </c>
      <c r="AL169">
        <f t="shared" si="13"/>
        <v>7</v>
      </c>
    </row>
    <row r="170" spans="33:38" x14ac:dyDescent="0.25">
      <c r="AG170" s="19" t="s">
        <v>92</v>
      </c>
      <c r="AH170">
        <f t="shared" si="9"/>
        <v>2</v>
      </c>
      <c r="AI170">
        <f t="shared" si="10"/>
        <v>3</v>
      </c>
      <c r="AJ170">
        <f t="shared" si="11"/>
        <v>3</v>
      </c>
      <c r="AK170">
        <f t="shared" si="12"/>
        <v>1</v>
      </c>
      <c r="AL170">
        <f t="shared" si="13"/>
        <v>7</v>
      </c>
    </row>
    <row r="171" spans="33:38" x14ac:dyDescent="0.25">
      <c r="AG171" s="19" t="s">
        <v>93</v>
      </c>
      <c r="AH171">
        <f t="shared" si="9"/>
        <v>7</v>
      </c>
      <c r="AI171">
        <f t="shared" si="10"/>
        <v>7</v>
      </c>
      <c r="AJ171">
        <f t="shared" si="11"/>
        <v>7</v>
      </c>
      <c r="AK171">
        <f t="shared" si="12"/>
        <v>5</v>
      </c>
      <c r="AL171">
        <f t="shared" si="13"/>
        <v>7</v>
      </c>
    </row>
    <row r="172" spans="33:38" x14ac:dyDescent="0.25">
      <c r="AG172" s="19" t="s">
        <v>94</v>
      </c>
      <c r="AH172">
        <f t="shared" si="9"/>
        <v>5</v>
      </c>
      <c r="AI172">
        <f t="shared" si="10"/>
        <v>7</v>
      </c>
      <c r="AJ172">
        <f t="shared" si="11"/>
        <v>5</v>
      </c>
      <c r="AK172">
        <f t="shared" si="12"/>
        <v>2</v>
      </c>
      <c r="AL172">
        <f t="shared" si="13"/>
        <v>4</v>
      </c>
    </row>
    <row r="173" spans="33:38" x14ac:dyDescent="0.25">
      <c r="AG173" s="19" t="s">
        <v>95</v>
      </c>
      <c r="AH173">
        <f t="shared" si="9"/>
        <v>7</v>
      </c>
      <c r="AI173">
        <f t="shared" si="10"/>
        <v>7</v>
      </c>
      <c r="AJ173">
        <f t="shared" si="11"/>
        <v>7</v>
      </c>
      <c r="AK173">
        <f t="shared" si="12"/>
        <v>7</v>
      </c>
      <c r="AL173">
        <f t="shared" si="13"/>
        <v>7</v>
      </c>
    </row>
    <row r="174" spans="33:38" x14ac:dyDescent="0.25">
      <c r="AG174" s="19" t="s">
        <v>96</v>
      </c>
      <c r="AH174">
        <f t="shared" si="9"/>
        <v>7</v>
      </c>
      <c r="AI174">
        <f t="shared" si="10"/>
        <v>7</v>
      </c>
      <c r="AJ174">
        <f t="shared" si="11"/>
        <v>5</v>
      </c>
      <c r="AK174">
        <f t="shared" si="12"/>
        <v>5</v>
      </c>
      <c r="AL174">
        <f t="shared" si="13"/>
        <v>7</v>
      </c>
    </row>
    <row r="175" spans="33:38" x14ac:dyDescent="0.25">
      <c r="AG175" s="19" t="s">
        <v>97</v>
      </c>
      <c r="AH175">
        <f t="shared" si="9"/>
        <v>7</v>
      </c>
      <c r="AI175">
        <f t="shared" si="10"/>
        <v>7</v>
      </c>
      <c r="AJ175">
        <f t="shared" si="11"/>
        <v>7</v>
      </c>
      <c r="AK175">
        <f t="shared" si="12"/>
        <v>6</v>
      </c>
      <c r="AL175">
        <f t="shared" si="13"/>
        <v>7</v>
      </c>
    </row>
    <row r="176" spans="33:38" x14ac:dyDescent="0.25">
      <c r="AG176" s="19" t="s">
        <v>98</v>
      </c>
      <c r="AH176">
        <f t="shared" si="9"/>
        <v>7</v>
      </c>
      <c r="AI176">
        <f t="shared" si="10"/>
        <v>7</v>
      </c>
      <c r="AJ176">
        <f t="shared" si="11"/>
        <v>5</v>
      </c>
      <c r="AK176">
        <f t="shared" si="12"/>
        <v>4</v>
      </c>
      <c r="AL176">
        <f t="shared" si="13"/>
        <v>7</v>
      </c>
    </row>
    <row r="177" spans="33:38" x14ac:dyDescent="0.25">
      <c r="AG177" s="19" t="s">
        <v>99</v>
      </c>
      <c r="AH177">
        <f t="shared" si="9"/>
        <v>7</v>
      </c>
      <c r="AI177">
        <f t="shared" si="10"/>
        <v>7</v>
      </c>
      <c r="AJ177">
        <f t="shared" si="11"/>
        <v>7</v>
      </c>
      <c r="AK177">
        <f t="shared" si="12"/>
        <v>7</v>
      </c>
      <c r="AL177">
        <f t="shared" si="13"/>
        <v>7</v>
      </c>
    </row>
    <row r="178" spans="33:38" x14ac:dyDescent="0.25">
      <c r="AG178" s="19" t="s">
        <v>100</v>
      </c>
      <c r="AH178">
        <f t="shared" si="9"/>
        <v>7</v>
      </c>
      <c r="AI178">
        <f t="shared" si="10"/>
        <v>7</v>
      </c>
      <c r="AJ178">
        <f t="shared" si="11"/>
        <v>7</v>
      </c>
      <c r="AK178">
        <f t="shared" si="12"/>
        <v>7</v>
      </c>
      <c r="AL178">
        <f t="shared" si="13"/>
        <v>7</v>
      </c>
    </row>
    <row r="179" spans="33:38" x14ac:dyDescent="0.25">
      <c r="AG179" s="19" t="s">
        <v>101</v>
      </c>
      <c r="AH179">
        <f t="shared" si="9"/>
        <v>7</v>
      </c>
      <c r="AI179">
        <f t="shared" si="10"/>
        <v>7</v>
      </c>
      <c r="AJ179">
        <f t="shared" si="11"/>
        <v>7</v>
      </c>
      <c r="AK179">
        <f t="shared" si="12"/>
        <v>5</v>
      </c>
      <c r="AL179">
        <f t="shared" si="13"/>
        <v>7</v>
      </c>
    </row>
    <row r="180" spans="33:38" x14ac:dyDescent="0.25">
      <c r="AG180" s="19" t="s">
        <v>102</v>
      </c>
      <c r="AH180">
        <f t="shared" si="9"/>
        <v>7</v>
      </c>
      <c r="AI180">
        <f t="shared" si="10"/>
        <v>7</v>
      </c>
      <c r="AJ180">
        <f t="shared" si="11"/>
        <v>5</v>
      </c>
      <c r="AK180">
        <f t="shared" si="12"/>
        <v>7</v>
      </c>
      <c r="AL180">
        <f t="shared" si="13"/>
        <v>7</v>
      </c>
    </row>
    <row r="181" spans="33:38" x14ac:dyDescent="0.25">
      <c r="AG181" s="19" t="s">
        <v>263</v>
      </c>
      <c r="AH181">
        <f t="shared" si="9"/>
        <v>7</v>
      </c>
      <c r="AI181">
        <f t="shared" si="10"/>
        <v>7</v>
      </c>
      <c r="AJ181">
        <f t="shared" si="11"/>
        <v>7</v>
      </c>
      <c r="AK181">
        <f t="shared" si="12"/>
        <v>6</v>
      </c>
      <c r="AL181">
        <f t="shared" si="13"/>
        <v>7</v>
      </c>
    </row>
    <row r="182" spans="33:38" x14ac:dyDescent="0.25">
      <c r="AG182" s="19" t="s">
        <v>103</v>
      </c>
      <c r="AH182">
        <f t="shared" si="9"/>
        <v>7</v>
      </c>
      <c r="AI182">
        <f t="shared" si="10"/>
        <v>7</v>
      </c>
      <c r="AJ182">
        <f t="shared" si="11"/>
        <v>7</v>
      </c>
      <c r="AK182">
        <f t="shared" si="12"/>
        <v>6</v>
      </c>
      <c r="AL182">
        <f t="shared" si="13"/>
        <v>7</v>
      </c>
    </row>
    <row r="183" spans="33:38" x14ac:dyDescent="0.25">
      <c r="AG183" s="19" t="s">
        <v>104</v>
      </c>
      <c r="AH183">
        <f t="shared" si="9"/>
        <v>4</v>
      </c>
      <c r="AI183">
        <f t="shared" si="10"/>
        <v>4</v>
      </c>
      <c r="AJ183">
        <f t="shared" si="11"/>
        <v>2</v>
      </c>
      <c r="AK183">
        <f t="shared" si="12"/>
        <v>0</v>
      </c>
      <c r="AL183">
        <f t="shared" si="13"/>
        <v>1</v>
      </c>
    </row>
    <row r="184" spans="33:38" x14ac:dyDescent="0.25">
      <c r="AG184" s="19" t="s">
        <v>105</v>
      </c>
      <c r="AH184">
        <f t="shared" si="9"/>
        <v>7</v>
      </c>
      <c r="AI184">
        <f t="shared" si="10"/>
        <v>7</v>
      </c>
      <c r="AJ184">
        <f t="shared" si="11"/>
        <v>7</v>
      </c>
      <c r="AK184">
        <f t="shared" si="12"/>
        <v>7</v>
      </c>
      <c r="AL184">
        <f t="shared" si="13"/>
        <v>7</v>
      </c>
    </row>
    <row r="185" spans="33:38" x14ac:dyDescent="0.25">
      <c r="AG185" s="19" t="s">
        <v>106</v>
      </c>
      <c r="AH185">
        <f t="shared" si="9"/>
        <v>7</v>
      </c>
      <c r="AI185">
        <f t="shared" si="10"/>
        <v>7</v>
      </c>
      <c r="AJ185">
        <f t="shared" si="11"/>
        <v>6</v>
      </c>
      <c r="AK185">
        <f t="shared" si="12"/>
        <v>4</v>
      </c>
      <c r="AL185">
        <f t="shared" si="13"/>
        <v>7</v>
      </c>
    </row>
    <row r="186" spans="33:38" x14ac:dyDescent="0.25">
      <c r="AG186" s="19" t="s">
        <v>107</v>
      </c>
      <c r="AH186">
        <f t="shared" si="9"/>
        <v>7</v>
      </c>
      <c r="AI186">
        <f t="shared" si="10"/>
        <v>7</v>
      </c>
      <c r="AJ186">
        <f t="shared" si="11"/>
        <v>7</v>
      </c>
      <c r="AK186">
        <f t="shared" si="12"/>
        <v>7</v>
      </c>
      <c r="AL186">
        <f t="shared" si="13"/>
        <v>7</v>
      </c>
    </row>
    <row r="187" spans="33:38" x14ac:dyDescent="0.25">
      <c r="AG187" s="19" t="s">
        <v>108</v>
      </c>
      <c r="AH187">
        <f t="shared" si="9"/>
        <v>7</v>
      </c>
      <c r="AI187">
        <f t="shared" si="10"/>
        <v>7</v>
      </c>
      <c r="AJ187">
        <f t="shared" si="11"/>
        <v>7</v>
      </c>
      <c r="AK187">
        <f t="shared" si="12"/>
        <v>4</v>
      </c>
      <c r="AL187">
        <f t="shared" si="13"/>
        <v>7</v>
      </c>
    </row>
    <row r="188" spans="33:38" x14ac:dyDescent="0.25">
      <c r="AG188" s="19" t="s">
        <v>109</v>
      </c>
      <c r="AH188">
        <f t="shared" si="9"/>
        <v>7</v>
      </c>
      <c r="AI188">
        <f t="shared" si="10"/>
        <v>7</v>
      </c>
      <c r="AJ188">
        <f t="shared" si="11"/>
        <v>7</v>
      </c>
      <c r="AK188">
        <f t="shared" si="12"/>
        <v>5</v>
      </c>
      <c r="AL188">
        <f t="shared" si="13"/>
        <v>7</v>
      </c>
    </row>
    <row r="189" spans="33:38" x14ac:dyDescent="0.25">
      <c r="AG189" s="19" t="s">
        <v>110</v>
      </c>
      <c r="AH189">
        <f t="shared" si="9"/>
        <v>7</v>
      </c>
      <c r="AI189">
        <f t="shared" si="10"/>
        <v>7</v>
      </c>
      <c r="AJ189">
        <f t="shared" si="11"/>
        <v>7</v>
      </c>
      <c r="AK189">
        <f t="shared" si="12"/>
        <v>0</v>
      </c>
      <c r="AL189">
        <f t="shared" si="13"/>
        <v>5</v>
      </c>
    </row>
    <row r="190" spans="33:38" x14ac:dyDescent="0.25">
      <c r="AG190" s="19" t="s">
        <v>111</v>
      </c>
      <c r="AH190">
        <f t="shared" si="9"/>
        <v>7</v>
      </c>
      <c r="AI190">
        <f t="shared" si="10"/>
        <v>7</v>
      </c>
      <c r="AJ190">
        <f t="shared" si="11"/>
        <v>4</v>
      </c>
      <c r="AK190">
        <f t="shared" si="12"/>
        <v>4</v>
      </c>
      <c r="AL190">
        <f t="shared" si="13"/>
        <v>7</v>
      </c>
    </row>
    <row r="191" spans="33:38" x14ac:dyDescent="0.25">
      <c r="AG191" s="19" t="s">
        <v>112</v>
      </c>
      <c r="AH191">
        <f t="shared" si="9"/>
        <v>7</v>
      </c>
      <c r="AI191">
        <f t="shared" si="10"/>
        <v>7</v>
      </c>
      <c r="AJ191">
        <f t="shared" si="11"/>
        <v>4</v>
      </c>
      <c r="AK191">
        <f t="shared" si="12"/>
        <v>0</v>
      </c>
      <c r="AL191">
        <f t="shared" si="13"/>
        <v>2</v>
      </c>
    </row>
    <row r="192" spans="33:38" x14ac:dyDescent="0.25">
      <c r="AG192" s="19" t="s">
        <v>113</v>
      </c>
      <c r="AH192">
        <f t="shared" si="9"/>
        <v>5</v>
      </c>
      <c r="AI192">
        <f t="shared" si="10"/>
        <v>5</v>
      </c>
      <c r="AJ192">
        <f t="shared" si="11"/>
        <v>4</v>
      </c>
      <c r="AK192">
        <f t="shared" si="12"/>
        <v>2</v>
      </c>
      <c r="AL192">
        <f t="shared" si="13"/>
        <v>3</v>
      </c>
    </row>
    <row r="193" spans="33:38" x14ac:dyDescent="0.25">
      <c r="AG193" s="19" t="s">
        <v>114</v>
      </c>
      <c r="AH193">
        <f t="shared" si="9"/>
        <v>7</v>
      </c>
      <c r="AI193">
        <f t="shared" si="10"/>
        <v>7</v>
      </c>
      <c r="AJ193">
        <f t="shared" si="11"/>
        <v>6</v>
      </c>
      <c r="AK193">
        <f t="shared" si="12"/>
        <v>4</v>
      </c>
      <c r="AL193">
        <f t="shared" si="13"/>
        <v>6</v>
      </c>
    </row>
    <row r="194" spans="33:38" x14ac:dyDescent="0.25">
      <c r="AG194" s="19" t="s">
        <v>115</v>
      </c>
      <c r="AH194">
        <f t="shared" si="9"/>
        <v>7</v>
      </c>
      <c r="AI194">
        <f t="shared" si="10"/>
        <v>7</v>
      </c>
      <c r="AJ194">
        <f t="shared" si="11"/>
        <v>7</v>
      </c>
      <c r="AK194">
        <f t="shared" si="12"/>
        <v>1</v>
      </c>
      <c r="AL194">
        <f t="shared" si="13"/>
        <v>5</v>
      </c>
    </row>
    <row r="195" spans="33:38" x14ac:dyDescent="0.25">
      <c r="AG195" s="19" t="s">
        <v>116</v>
      </c>
      <c r="AH195">
        <f t="shared" si="9"/>
        <v>7</v>
      </c>
      <c r="AI195">
        <f t="shared" si="10"/>
        <v>7</v>
      </c>
      <c r="AJ195">
        <f t="shared" si="11"/>
        <v>6</v>
      </c>
      <c r="AK195">
        <f t="shared" si="12"/>
        <v>5</v>
      </c>
      <c r="AL195">
        <f t="shared" si="13"/>
        <v>7</v>
      </c>
    </row>
    <row r="196" spans="33:38" x14ac:dyDescent="0.25">
      <c r="AG196" s="19" t="s">
        <v>117</v>
      </c>
      <c r="AH196">
        <f t="shared" si="9"/>
        <v>7</v>
      </c>
      <c r="AI196">
        <f t="shared" si="10"/>
        <v>7</v>
      </c>
      <c r="AJ196">
        <f t="shared" si="11"/>
        <v>7</v>
      </c>
      <c r="AK196">
        <f t="shared" si="12"/>
        <v>7</v>
      </c>
      <c r="AL196">
        <f t="shared" si="13"/>
        <v>7</v>
      </c>
    </row>
    <row r="197" spans="33:38" x14ac:dyDescent="0.25">
      <c r="AG197" s="19" t="s">
        <v>118</v>
      </c>
      <c r="AH197">
        <f t="shared" si="9"/>
        <v>7</v>
      </c>
      <c r="AI197">
        <f t="shared" si="10"/>
        <v>7</v>
      </c>
      <c r="AJ197">
        <f t="shared" si="11"/>
        <v>7</v>
      </c>
      <c r="AK197">
        <f t="shared" si="12"/>
        <v>6</v>
      </c>
      <c r="AL197">
        <f t="shared" si="13"/>
        <v>7</v>
      </c>
    </row>
    <row r="198" spans="33:38" x14ac:dyDescent="0.25">
      <c r="AG198" s="19" t="s">
        <v>119</v>
      </c>
      <c r="AH198">
        <f t="shared" si="9"/>
        <v>7</v>
      </c>
      <c r="AI198">
        <f t="shared" si="10"/>
        <v>7</v>
      </c>
      <c r="AJ198">
        <f t="shared" si="11"/>
        <v>7</v>
      </c>
      <c r="AK198">
        <f t="shared" si="12"/>
        <v>7</v>
      </c>
      <c r="AL198">
        <f t="shared" si="13"/>
        <v>7</v>
      </c>
    </row>
    <row r="199" spans="33:38" x14ac:dyDescent="0.25">
      <c r="AG199" s="19" t="s">
        <v>120</v>
      </c>
      <c r="AH199">
        <f t="shared" si="9"/>
        <v>7</v>
      </c>
      <c r="AI199">
        <f t="shared" si="10"/>
        <v>7</v>
      </c>
      <c r="AJ199">
        <f t="shared" si="11"/>
        <v>7</v>
      </c>
      <c r="AK199">
        <f t="shared" si="12"/>
        <v>7</v>
      </c>
      <c r="AL199">
        <f t="shared" si="13"/>
        <v>7</v>
      </c>
    </row>
    <row r="200" spans="33:38" x14ac:dyDescent="0.25">
      <c r="AG200" s="19" t="s">
        <v>121</v>
      </c>
      <c r="AH200">
        <f t="shared" si="9"/>
        <v>7</v>
      </c>
      <c r="AI200">
        <f t="shared" si="10"/>
        <v>7</v>
      </c>
      <c r="AJ200">
        <f t="shared" si="11"/>
        <v>7</v>
      </c>
      <c r="AK200">
        <f t="shared" si="12"/>
        <v>7</v>
      </c>
      <c r="AL200">
        <f t="shared" si="13"/>
        <v>7</v>
      </c>
    </row>
    <row r="201" spans="33:38" x14ac:dyDescent="0.25">
      <c r="AG201" s="19" t="s">
        <v>122</v>
      </c>
      <c r="AH201">
        <f t="shared" si="9"/>
        <v>7</v>
      </c>
      <c r="AI201">
        <f t="shared" si="10"/>
        <v>7</v>
      </c>
      <c r="AJ201">
        <f t="shared" si="11"/>
        <v>7</v>
      </c>
      <c r="AK201">
        <f t="shared" si="12"/>
        <v>7</v>
      </c>
      <c r="AL201">
        <f t="shared" si="13"/>
        <v>7</v>
      </c>
    </row>
    <row r="202" spans="33:38" x14ac:dyDescent="0.25">
      <c r="AG202" s="19" t="s">
        <v>123</v>
      </c>
      <c r="AH202">
        <f t="shared" si="9"/>
        <v>7</v>
      </c>
      <c r="AI202">
        <f t="shared" si="10"/>
        <v>7</v>
      </c>
      <c r="AJ202">
        <f t="shared" si="11"/>
        <v>7</v>
      </c>
      <c r="AK202">
        <f t="shared" si="12"/>
        <v>6</v>
      </c>
      <c r="AL202">
        <f t="shared" si="13"/>
        <v>7</v>
      </c>
    </row>
    <row r="203" spans="33:38" x14ac:dyDescent="0.25">
      <c r="AG203" s="19" t="s">
        <v>264</v>
      </c>
      <c r="AH203">
        <f t="shared" si="9"/>
        <v>7</v>
      </c>
      <c r="AI203">
        <f t="shared" si="10"/>
        <v>7</v>
      </c>
      <c r="AJ203">
        <f t="shared" si="11"/>
        <v>7</v>
      </c>
      <c r="AK203">
        <f t="shared" si="12"/>
        <v>7</v>
      </c>
      <c r="AL203">
        <f t="shared" si="13"/>
        <v>7</v>
      </c>
    </row>
    <row r="204" spans="33:38" x14ac:dyDescent="0.25">
      <c r="AG204" s="19" t="s">
        <v>124</v>
      </c>
      <c r="AH204">
        <f t="shared" si="9"/>
        <v>7</v>
      </c>
      <c r="AI204">
        <f t="shared" si="10"/>
        <v>7</v>
      </c>
      <c r="AJ204">
        <f t="shared" si="11"/>
        <v>6</v>
      </c>
      <c r="AK204">
        <f t="shared" si="12"/>
        <v>4</v>
      </c>
      <c r="AL204">
        <f t="shared" si="13"/>
        <v>7</v>
      </c>
    </row>
    <row r="205" spans="33:38" x14ac:dyDescent="0.25">
      <c r="AG205" s="19" t="s">
        <v>125</v>
      </c>
      <c r="AH205">
        <f t="shared" si="9"/>
        <v>7</v>
      </c>
      <c r="AI205">
        <f t="shared" si="10"/>
        <v>7</v>
      </c>
      <c r="AJ205">
        <f t="shared" si="11"/>
        <v>7</v>
      </c>
      <c r="AK205">
        <f t="shared" si="12"/>
        <v>7</v>
      </c>
      <c r="AL205">
        <f t="shared" si="13"/>
        <v>7</v>
      </c>
    </row>
    <row r="206" spans="33:38" x14ac:dyDescent="0.25">
      <c r="AG206" s="19" t="s">
        <v>126</v>
      </c>
      <c r="AH206">
        <f t="shared" si="9"/>
        <v>7</v>
      </c>
      <c r="AI206">
        <f t="shared" si="10"/>
        <v>7</v>
      </c>
      <c r="AJ206">
        <f t="shared" si="11"/>
        <v>4</v>
      </c>
      <c r="AK206">
        <f t="shared" si="12"/>
        <v>2</v>
      </c>
      <c r="AL206">
        <f t="shared" si="13"/>
        <v>6</v>
      </c>
    </row>
    <row r="207" spans="33:38" x14ac:dyDescent="0.25">
      <c r="AG207" s="19" t="s">
        <v>127</v>
      </c>
      <c r="AH207">
        <f t="shared" si="9"/>
        <v>7</v>
      </c>
      <c r="AI207">
        <f t="shared" si="10"/>
        <v>7</v>
      </c>
      <c r="AJ207">
        <f t="shared" si="11"/>
        <v>7</v>
      </c>
      <c r="AK207">
        <f t="shared" si="12"/>
        <v>7</v>
      </c>
      <c r="AL207">
        <f t="shared" si="13"/>
        <v>7</v>
      </c>
    </row>
    <row r="208" spans="33:38" x14ac:dyDescent="0.25">
      <c r="AG208" s="19" t="s">
        <v>128</v>
      </c>
      <c r="AH208">
        <f t="shared" si="9"/>
        <v>7</v>
      </c>
      <c r="AI208">
        <f t="shared" si="10"/>
        <v>7</v>
      </c>
      <c r="AJ208">
        <f t="shared" si="11"/>
        <v>7</v>
      </c>
      <c r="AK208">
        <f t="shared" si="12"/>
        <v>5</v>
      </c>
      <c r="AL208">
        <f t="shared" si="13"/>
        <v>7</v>
      </c>
    </row>
    <row r="209" spans="33:38" x14ac:dyDescent="0.25">
      <c r="AG209" s="19" t="s">
        <v>129</v>
      </c>
      <c r="AH209">
        <f t="shared" si="9"/>
        <v>7</v>
      </c>
      <c r="AI209">
        <f t="shared" si="10"/>
        <v>7</v>
      </c>
      <c r="AJ209">
        <f t="shared" si="11"/>
        <v>7</v>
      </c>
      <c r="AK209">
        <f t="shared" si="12"/>
        <v>7</v>
      </c>
      <c r="AL209">
        <f t="shared" si="13"/>
        <v>7</v>
      </c>
    </row>
    <row r="210" spans="33:38" x14ac:dyDescent="0.25">
      <c r="AG210" s="19" t="s">
        <v>130</v>
      </c>
      <c r="AH210">
        <f t="shared" si="9"/>
        <v>7</v>
      </c>
      <c r="AI210">
        <f t="shared" si="10"/>
        <v>7</v>
      </c>
      <c r="AJ210">
        <f t="shared" si="11"/>
        <v>7</v>
      </c>
      <c r="AK210">
        <f t="shared" si="12"/>
        <v>7</v>
      </c>
      <c r="AL210">
        <f t="shared" si="13"/>
        <v>7</v>
      </c>
    </row>
    <row r="211" spans="33:38" x14ac:dyDescent="0.25">
      <c r="AG211" s="19" t="s">
        <v>131</v>
      </c>
      <c r="AH211">
        <f t="shared" si="9"/>
        <v>7</v>
      </c>
      <c r="AI211">
        <f t="shared" si="10"/>
        <v>7</v>
      </c>
      <c r="AJ211">
        <f t="shared" si="11"/>
        <v>7</v>
      </c>
      <c r="AK211">
        <f t="shared" si="12"/>
        <v>4</v>
      </c>
      <c r="AL211">
        <f t="shared" si="13"/>
        <v>7</v>
      </c>
    </row>
    <row r="212" spans="33:38" x14ac:dyDescent="0.25">
      <c r="AG212" s="19" t="s">
        <v>132</v>
      </c>
      <c r="AH212">
        <f t="shared" si="9"/>
        <v>7</v>
      </c>
      <c r="AI212">
        <f t="shared" si="10"/>
        <v>7</v>
      </c>
      <c r="AJ212">
        <f t="shared" si="11"/>
        <v>6</v>
      </c>
      <c r="AK212">
        <f t="shared" si="12"/>
        <v>5</v>
      </c>
      <c r="AL212">
        <f t="shared" si="13"/>
        <v>7</v>
      </c>
    </row>
    <row r="213" spans="33:38" x14ac:dyDescent="0.25">
      <c r="AG213" s="19" t="s">
        <v>133</v>
      </c>
      <c r="AH213">
        <f t="shared" si="9"/>
        <v>7</v>
      </c>
      <c r="AI213">
        <f t="shared" si="10"/>
        <v>7</v>
      </c>
      <c r="AJ213">
        <f t="shared" si="11"/>
        <v>5</v>
      </c>
      <c r="AK213">
        <f t="shared" si="12"/>
        <v>4</v>
      </c>
      <c r="AL213">
        <f t="shared" si="13"/>
        <v>7</v>
      </c>
    </row>
    <row r="214" spans="33:38" x14ac:dyDescent="0.25">
      <c r="AG214" s="19" t="s">
        <v>134</v>
      </c>
      <c r="AH214">
        <f t="shared" si="9"/>
        <v>7</v>
      </c>
      <c r="AI214">
        <f t="shared" si="10"/>
        <v>7</v>
      </c>
      <c r="AJ214">
        <f t="shared" si="11"/>
        <v>7</v>
      </c>
      <c r="AK214">
        <f t="shared" si="12"/>
        <v>5</v>
      </c>
      <c r="AL214">
        <f t="shared" si="13"/>
        <v>7</v>
      </c>
    </row>
    <row r="215" spans="33:38" x14ac:dyDescent="0.25">
      <c r="AG215" s="19" t="s">
        <v>135</v>
      </c>
      <c r="AH215">
        <f t="shared" si="9"/>
        <v>7</v>
      </c>
      <c r="AI215">
        <f t="shared" si="10"/>
        <v>7</v>
      </c>
      <c r="AJ215">
        <f t="shared" si="11"/>
        <v>7</v>
      </c>
      <c r="AK215">
        <f t="shared" si="12"/>
        <v>6</v>
      </c>
      <c r="AL215">
        <f t="shared" si="13"/>
        <v>7</v>
      </c>
    </row>
    <row r="216" spans="33:38" x14ac:dyDescent="0.25">
      <c r="AG216" s="19" t="s">
        <v>136</v>
      </c>
      <c r="AH216">
        <f t="shared" ref="AH216:AH279" si="14">COUNTIF($AH73:$AN73,"&gt;=85%")</f>
        <v>5</v>
      </c>
      <c r="AI216">
        <f t="shared" ref="AI216:AI279" si="15">COUNTIF($AP73:$AV73,"&gt;=85%")</f>
        <v>5</v>
      </c>
      <c r="AJ216">
        <f t="shared" ref="AJ216:AJ279" si="16">COUNTIF($AX73:$BD73,"&gt;=85%")</f>
        <v>3</v>
      </c>
      <c r="AK216">
        <f t="shared" ref="AK216:AK279" si="17">COUNTIF($BF73:$BL73,"&gt;=85%")</f>
        <v>4</v>
      </c>
      <c r="AL216">
        <f t="shared" ref="AL216:AL279" si="18">COUNTIF($BN73:$BT73,"&gt;=85%")</f>
        <v>6</v>
      </c>
    </row>
    <row r="217" spans="33:38" x14ac:dyDescent="0.25">
      <c r="AG217" s="19" t="s">
        <v>137</v>
      </c>
      <c r="AH217">
        <f t="shared" si="14"/>
        <v>7</v>
      </c>
      <c r="AI217">
        <f t="shared" si="15"/>
        <v>7</v>
      </c>
      <c r="AJ217">
        <f t="shared" si="16"/>
        <v>7</v>
      </c>
      <c r="AK217">
        <f t="shared" si="17"/>
        <v>5</v>
      </c>
      <c r="AL217">
        <f t="shared" si="18"/>
        <v>7</v>
      </c>
    </row>
    <row r="218" spans="33:38" x14ac:dyDescent="0.25">
      <c r="AG218" s="19" t="s">
        <v>138</v>
      </c>
      <c r="AH218">
        <f t="shared" si="14"/>
        <v>7</v>
      </c>
      <c r="AI218">
        <f t="shared" si="15"/>
        <v>7</v>
      </c>
      <c r="AJ218">
        <f t="shared" si="16"/>
        <v>7</v>
      </c>
      <c r="AK218">
        <f t="shared" si="17"/>
        <v>7</v>
      </c>
      <c r="AL218">
        <f t="shared" si="18"/>
        <v>7</v>
      </c>
    </row>
    <row r="219" spans="33:38" x14ac:dyDescent="0.25">
      <c r="AG219" s="19" t="s">
        <v>139</v>
      </c>
      <c r="AH219">
        <f t="shared" si="14"/>
        <v>7</v>
      </c>
      <c r="AI219">
        <f t="shared" si="15"/>
        <v>6</v>
      </c>
      <c r="AJ219">
        <f t="shared" si="16"/>
        <v>4</v>
      </c>
      <c r="AK219">
        <f t="shared" si="17"/>
        <v>4</v>
      </c>
      <c r="AL219">
        <f t="shared" si="18"/>
        <v>7</v>
      </c>
    </row>
    <row r="220" spans="33:38" x14ac:dyDescent="0.25">
      <c r="AG220" s="19" t="s">
        <v>140</v>
      </c>
      <c r="AH220">
        <f t="shared" si="14"/>
        <v>7</v>
      </c>
      <c r="AI220">
        <f t="shared" si="15"/>
        <v>7</v>
      </c>
      <c r="AJ220">
        <f t="shared" si="16"/>
        <v>5</v>
      </c>
      <c r="AK220">
        <f t="shared" si="17"/>
        <v>5</v>
      </c>
      <c r="AL220">
        <f t="shared" si="18"/>
        <v>7</v>
      </c>
    </row>
    <row r="221" spans="33:38" x14ac:dyDescent="0.25">
      <c r="AG221" s="19" t="s">
        <v>141</v>
      </c>
      <c r="AH221">
        <f t="shared" si="14"/>
        <v>6</v>
      </c>
      <c r="AI221">
        <f t="shared" si="15"/>
        <v>4</v>
      </c>
      <c r="AJ221">
        <f t="shared" si="16"/>
        <v>2</v>
      </c>
      <c r="AK221">
        <f t="shared" si="17"/>
        <v>1</v>
      </c>
      <c r="AL221">
        <f t="shared" si="18"/>
        <v>6</v>
      </c>
    </row>
    <row r="222" spans="33:38" x14ac:dyDescent="0.25">
      <c r="AG222" s="19" t="s">
        <v>142</v>
      </c>
      <c r="AH222">
        <f t="shared" si="14"/>
        <v>7</v>
      </c>
      <c r="AI222">
        <f t="shared" si="15"/>
        <v>7</v>
      </c>
      <c r="AJ222">
        <f t="shared" si="16"/>
        <v>6</v>
      </c>
      <c r="AK222">
        <f t="shared" si="17"/>
        <v>4</v>
      </c>
      <c r="AL222">
        <f t="shared" si="18"/>
        <v>7</v>
      </c>
    </row>
    <row r="223" spans="33:38" x14ac:dyDescent="0.25">
      <c r="AG223" s="19" t="s">
        <v>143</v>
      </c>
      <c r="AH223">
        <f t="shared" si="14"/>
        <v>7</v>
      </c>
      <c r="AI223">
        <f t="shared" si="15"/>
        <v>7</v>
      </c>
      <c r="AJ223">
        <f t="shared" si="16"/>
        <v>7</v>
      </c>
      <c r="AK223">
        <f t="shared" si="17"/>
        <v>5</v>
      </c>
      <c r="AL223">
        <f t="shared" si="18"/>
        <v>7</v>
      </c>
    </row>
    <row r="224" spans="33:38" x14ac:dyDescent="0.25">
      <c r="AG224" s="19" t="s">
        <v>144</v>
      </c>
      <c r="AH224">
        <f t="shared" si="14"/>
        <v>7</v>
      </c>
      <c r="AI224">
        <f t="shared" si="15"/>
        <v>7</v>
      </c>
      <c r="AJ224">
        <f t="shared" si="16"/>
        <v>6</v>
      </c>
      <c r="AK224">
        <f t="shared" si="17"/>
        <v>5</v>
      </c>
      <c r="AL224">
        <f t="shared" si="18"/>
        <v>7</v>
      </c>
    </row>
    <row r="225" spans="33:38" x14ac:dyDescent="0.25">
      <c r="AG225" s="19" t="s">
        <v>145</v>
      </c>
      <c r="AH225">
        <f t="shared" si="14"/>
        <v>7</v>
      </c>
      <c r="AI225">
        <f t="shared" si="15"/>
        <v>7</v>
      </c>
      <c r="AJ225">
        <f t="shared" si="16"/>
        <v>7</v>
      </c>
      <c r="AK225">
        <f t="shared" si="17"/>
        <v>2</v>
      </c>
      <c r="AL225">
        <f t="shared" si="18"/>
        <v>7</v>
      </c>
    </row>
    <row r="226" spans="33:38" x14ac:dyDescent="0.25">
      <c r="AG226" s="19" t="s">
        <v>146</v>
      </c>
      <c r="AH226">
        <f t="shared" si="14"/>
        <v>7</v>
      </c>
      <c r="AI226">
        <f t="shared" si="15"/>
        <v>7</v>
      </c>
      <c r="AJ226">
        <f t="shared" si="16"/>
        <v>7</v>
      </c>
      <c r="AK226">
        <f t="shared" si="17"/>
        <v>5</v>
      </c>
      <c r="AL226">
        <f t="shared" si="18"/>
        <v>7</v>
      </c>
    </row>
    <row r="227" spans="33:38" x14ac:dyDescent="0.25">
      <c r="AG227" s="19" t="s">
        <v>147</v>
      </c>
      <c r="AH227">
        <f t="shared" si="14"/>
        <v>7</v>
      </c>
      <c r="AI227">
        <f t="shared" si="15"/>
        <v>7</v>
      </c>
      <c r="AJ227">
        <f t="shared" si="16"/>
        <v>7</v>
      </c>
      <c r="AK227">
        <f t="shared" si="17"/>
        <v>5</v>
      </c>
      <c r="AL227">
        <f t="shared" si="18"/>
        <v>7</v>
      </c>
    </row>
    <row r="228" spans="33:38" x14ac:dyDescent="0.25">
      <c r="AG228" s="19" t="s">
        <v>148</v>
      </c>
      <c r="AH228">
        <f t="shared" si="14"/>
        <v>5</v>
      </c>
      <c r="AI228">
        <f t="shared" si="15"/>
        <v>0</v>
      </c>
      <c r="AJ228">
        <f t="shared" si="16"/>
        <v>3</v>
      </c>
      <c r="AK228">
        <f t="shared" si="17"/>
        <v>3</v>
      </c>
      <c r="AL228">
        <f t="shared" si="18"/>
        <v>7</v>
      </c>
    </row>
    <row r="229" spans="33:38" x14ac:dyDescent="0.25">
      <c r="AG229" s="19" t="s">
        <v>149</v>
      </c>
      <c r="AH229">
        <f t="shared" si="14"/>
        <v>7</v>
      </c>
      <c r="AI229">
        <f t="shared" si="15"/>
        <v>7</v>
      </c>
      <c r="AJ229">
        <f t="shared" si="16"/>
        <v>4</v>
      </c>
      <c r="AK229">
        <f t="shared" si="17"/>
        <v>1</v>
      </c>
      <c r="AL229">
        <f t="shared" si="18"/>
        <v>7</v>
      </c>
    </row>
    <row r="230" spans="33:38" x14ac:dyDescent="0.25">
      <c r="AG230" s="19" t="s">
        <v>150</v>
      </c>
      <c r="AH230">
        <f t="shared" si="14"/>
        <v>7</v>
      </c>
      <c r="AI230">
        <f t="shared" si="15"/>
        <v>7</v>
      </c>
      <c r="AJ230">
        <f t="shared" si="16"/>
        <v>7</v>
      </c>
      <c r="AK230">
        <f t="shared" si="17"/>
        <v>7</v>
      </c>
      <c r="AL230">
        <f t="shared" si="18"/>
        <v>7</v>
      </c>
    </row>
    <row r="231" spans="33:38" x14ac:dyDescent="0.25">
      <c r="AG231" s="19" t="s">
        <v>151</v>
      </c>
      <c r="AH231">
        <f t="shared" si="14"/>
        <v>7</v>
      </c>
      <c r="AI231">
        <f t="shared" si="15"/>
        <v>7</v>
      </c>
      <c r="AJ231">
        <f t="shared" si="16"/>
        <v>7</v>
      </c>
      <c r="AK231">
        <f t="shared" si="17"/>
        <v>4</v>
      </c>
      <c r="AL231">
        <f t="shared" si="18"/>
        <v>7</v>
      </c>
    </row>
    <row r="232" spans="33:38" x14ac:dyDescent="0.25">
      <c r="AG232" s="19" t="s">
        <v>152</v>
      </c>
      <c r="AH232">
        <f t="shared" si="14"/>
        <v>7</v>
      </c>
      <c r="AI232">
        <f t="shared" si="15"/>
        <v>7</v>
      </c>
      <c r="AJ232">
        <f t="shared" si="16"/>
        <v>7</v>
      </c>
      <c r="AK232">
        <f t="shared" si="17"/>
        <v>4</v>
      </c>
      <c r="AL232">
        <f t="shared" si="18"/>
        <v>7</v>
      </c>
    </row>
    <row r="233" spans="33:38" x14ac:dyDescent="0.25">
      <c r="AG233" s="19" t="s">
        <v>153</v>
      </c>
      <c r="AH233">
        <f t="shared" si="14"/>
        <v>7</v>
      </c>
      <c r="AI233">
        <f t="shared" si="15"/>
        <v>7</v>
      </c>
      <c r="AJ233">
        <f t="shared" si="16"/>
        <v>4</v>
      </c>
      <c r="AK233">
        <f t="shared" si="17"/>
        <v>3</v>
      </c>
      <c r="AL233">
        <f t="shared" si="18"/>
        <v>7</v>
      </c>
    </row>
    <row r="234" spans="33:38" x14ac:dyDescent="0.25">
      <c r="AG234" s="19" t="s">
        <v>154</v>
      </c>
      <c r="AH234">
        <f t="shared" si="14"/>
        <v>7</v>
      </c>
      <c r="AI234">
        <f t="shared" si="15"/>
        <v>7</v>
      </c>
      <c r="AJ234">
        <f t="shared" si="16"/>
        <v>6</v>
      </c>
      <c r="AK234">
        <f t="shared" si="17"/>
        <v>4</v>
      </c>
      <c r="AL234">
        <f t="shared" si="18"/>
        <v>7</v>
      </c>
    </row>
    <row r="235" spans="33:38" x14ac:dyDescent="0.25">
      <c r="AG235" s="19" t="s">
        <v>155</v>
      </c>
      <c r="AH235">
        <f t="shared" si="14"/>
        <v>7</v>
      </c>
      <c r="AI235">
        <f t="shared" si="15"/>
        <v>7</v>
      </c>
      <c r="AJ235">
        <f t="shared" si="16"/>
        <v>7</v>
      </c>
      <c r="AK235">
        <f t="shared" si="17"/>
        <v>5</v>
      </c>
      <c r="AL235">
        <f t="shared" si="18"/>
        <v>7</v>
      </c>
    </row>
    <row r="236" spans="33:38" x14ac:dyDescent="0.25">
      <c r="AG236" s="19" t="s">
        <v>156</v>
      </c>
      <c r="AH236">
        <f t="shared" si="14"/>
        <v>7</v>
      </c>
      <c r="AI236">
        <f t="shared" si="15"/>
        <v>7</v>
      </c>
      <c r="AJ236">
        <f t="shared" si="16"/>
        <v>7</v>
      </c>
      <c r="AK236">
        <f t="shared" si="17"/>
        <v>7</v>
      </c>
      <c r="AL236">
        <f t="shared" si="18"/>
        <v>7</v>
      </c>
    </row>
    <row r="237" spans="33:38" x14ac:dyDescent="0.25">
      <c r="AG237" s="19" t="s">
        <v>157</v>
      </c>
      <c r="AH237">
        <f t="shared" si="14"/>
        <v>5</v>
      </c>
      <c r="AI237">
        <f t="shared" si="15"/>
        <v>3</v>
      </c>
      <c r="AJ237">
        <f t="shared" si="16"/>
        <v>0</v>
      </c>
      <c r="AK237">
        <f t="shared" si="17"/>
        <v>0</v>
      </c>
      <c r="AL237">
        <f t="shared" si="18"/>
        <v>0</v>
      </c>
    </row>
    <row r="238" spans="33:38" x14ac:dyDescent="0.25">
      <c r="AG238" s="19" t="s">
        <v>158</v>
      </c>
      <c r="AH238">
        <f t="shared" si="14"/>
        <v>7</v>
      </c>
      <c r="AI238">
        <f t="shared" si="15"/>
        <v>7</v>
      </c>
      <c r="AJ238">
        <f t="shared" si="16"/>
        <v>7</v>
      </c>
      <c r="AK238">
        <f t="shared" si="17"/>
        <v>5</v>
      </c>
      <c r="AL238">
        <f t="shared" si="18"/>
        <v>7</v>
      </c>
    </row>
    <row r="239" spans="33:38" x14ac:dyDescent="0.25">
      <c r="AG239" s="19" t="s">
        <v>159</v>
      </c>
      <c r="AH239">
        <f t="shared" si="14"/>
        <v>7</v>
      </c>
      <c r="AI239">
        <f t="shared" si="15"/>
        <v>6</v>
      </c>
      <c r="AJ239">
        <f t="shared" si="16"/>
        <v>3</v>
      </c>
      <c r="AK239">
        <f t="shared" si="17"/>
        <v>2</v>
      </c>
      <c r="AL239">
        <f t="shared" si="18"/>
        <v>5</v>
      </c>
    </row>
    <row r="240" spans="33:38" x14ac:dyDescent="0.25">
      <c r="AG240" s="19" t="s">
        <v>160</v>
      </c>
      <c r="AH240">
        <f t="shared" si="14"/>
        <v>7</v>
      </c>
      <c r="AI240">
        <f t="shared" si="15"/>
        <v>7</v>
      </c>
      <c r="AJ240">
        <f t="shared" si="16"/>
        <v>7</v>
      </c>
      <c r="AK240">
        <f t="shared" si="17"/>
        <v>5</v>
      </c>
      <c r="AL240">
        <f t="shared" si="18"/>
        <v>7</v>
      </c>
    </row>
    <row r="241" spans="33:38" x14ac:dyDescent="0.25">
      <c r="AG241" s="19" t="s">
        <v>161</v>
      </c>
      <c r="AH241">
        <f t="shared" si="14"/>
        <v>7</v>
      </c>
      <c r="AI241">
        <f t="shared" si="15"/>
        <v>7</v>
      </c>
      <c r="AJ241">
        <f t="shared" si="16"/>
        <v>5</v>
      </c>
      <c r="AK241">
        <f t="shared" si="17"/>
        <v>1</v>
      </c>
      <c r="AL241">
        <f t="shared" si="18"/>
        <v>7</v>
      </c>
    </row>
    <row r="242" spans="33:38" x14ac:dyDescent="0.25">
      <c r="AG242" s="19" t="s">
        <v>162</v>
      </c>
      <c r="AH242">
        <f t="shared" si="14"/>
        <v>5</v>
      </c>
      <c r="AI242">
        <f t="shared" si="15"/>
        <v>7</v>
      </c>
      <c r="AJ242">
        <f t="shared" si="16"/>
        <v>5</v>
      </c>
      <c r="AK242">
        <f t="shared" si="17"/>
        <v>5</v>
      </c>
      <c r="AL242">
        <f t="shared" si="18"/>
        <v>7</v>
      </c>
    </row>
    <row r="243" spans="33:38" x14ac:dyDescent="0.25">
      <c r="AG243" s="19" t="s">
        <v>163</v>
      </c>
      <c r="AH243">
        <f t="shared" si="14"/>
        <v>7</v>
      </c>
      <c r="AI243">
        <f t="shared" si="15"/>
        <v>7</v>
      </c>
      <c r="AJ243">
        <f t="shared" si="16"/>
        <v>7</v>
      </c>
      <c r="AK243">
        <f t="shared" si="17"/>
        <v>7</v>
      </c>
      <c r="AL243">
        <f t="shared" si="18"/>
        <v>7</v>
      </c>
    </row>
    <row r="244" spans="33:38" x14ac:dyDescent="0.25">
      <c r="AG244" s="19" t="s">
        <v>164</v>
      </c>
      <c r="AH244">
        <f t="shared" si="14"/>
        <v>7</v>
      </c>
      <c r="AI244">
        <f t="shared" si="15"/>
        <v>7</v>
      </c>
      <c r="AJ244">
        <f t="shared" si="16"/>
        <v>7</v>
      </c>
      <c r="AK244">
        <f t="shared" si="17"/>
        <v>5</v>
      </c>
      <c r="AL244">
        <f t="shared" si="18"/>
        <v>7</v>
      </c>
    </row>
    <row r="245" spans="33:38" x14ac:dyDescent="0.25">
      <c r="AG245" s="19" t="s">
        <v>165</v>
      </c>
      <c r="AH245">
        <f t="shared" si="14"/>
        <v>7</v>
      </c>
      <c r="AI245">
        <f t="shared" si="15"/>
        <v>7</v>
      </c>
      <c r="AJ245">
        <f t="shared" si="16"/>
        <v>7</v>
      </c>
      <c r="AK245">
        <f t="shared" si="17"/>
        <v>6</v>
      </c>
      <c r="AL245">
        <f t="shared" si="18"/>
        <v>7</v>
      </c>
    </row>
    <row r="246" spans="33:38" x14ac:dyDescent="0.25">
      <c r="AG246" s="19" t="s">
        <v>166</v>
      </c>
      <c r="AH246">
        <f t="shared" si="14"/>
        <v>7</v>
      </c>
      <c r="AI246">
        <f t="shared" si="15"/>
        <v>7</v>
      </c>
      <c r="AJ246">
        <f t="shared" si="16"/>
        <v>7</v>
      </c>
      <c r="AK246">
        <f t="shared" si="17"/>
        <v>6</v>
      </c>
      <c r="AL246">
        <f t="shared" si="18"/>
        <v>7</v>
      </c>
    </row>
    <row r="247" spans="33:38" x14ac:dyDescent="0.25">
      <c r="AG247" s="19" t="s">
        <v>167</v>
      </c>
      <c r="AH247">
        <f t="shared" si="14"/>
        <v>7</v>
      </c>
      <c r="AI247">
        <f t="shared" si="15"/>
        <v>7</v>
      </c>
      <c r="AJ247">
        <f t="shared" si="16"/>
        <v>7</v>
      </c>
      <c r="AK247">
        <f t="shared" si="17"/>
        <v>5</v>
      </c>
      <c r="AL247">
        <f t="shared" si="18"/>
        <v>7</v>
      </c>
    </row>
    <row r="248" spans="33:38" x14ac:dyDescent="0.25">
      <c r="AG248" s="19" t="s">
        <v>168</v>
      </c>
      <c r="AH248">
        <f t="shared" si="14"/>
        <v>7</v>
      </c>
      <c r="AI248">
        <f t="shared" si="15"/>
        <v>7</v>
      </c>
      <c r="AJ248">
        <f t="shared" si="16"/>
        <v>7</v>
      </c>
      <c r="AK248">
        <f t="shared" si="17"/>
        <v>4</v>
      </c>
      <c r="AL248">
        <f t="shared" si="18"/>
        <v>7</v>
      </c>
    </row>
    <row r="249" spans="33:38" x14ac:dyDescent="0.25">
      <c r="AG249" s="19" t="s">
        <v>169</v>
      </c>
      <c r="AH249">
        <f t="shared" si="14"/>
        <v>7</v>
      </c>
      <c r="AI249">
        <f t="shared" si="15"/>
        <v>7</v>
      </c>
      <c r="AJ249">
        <f t="shared" si="16"/>
        <v>7</v>
      </c>
      <c r="AK249">
        <f t="shared" si="17"/>
        <v>7</v>
      </c>
      <c r="AL249">
        <f t="shared" si="18"/>
        <v>7</v>
      </c>
    </row>
    <row r="250" spans="33:38" x14ac:dyDescent="0.25">
      <c r="AG250" s="19" t="s">
        <v>170</v>
      </c>
      <c r="AH250">
        <f t="shared" si="14"/>
        <v>7</v>
      </c>
      <c r="AI250">
        <f t="shared" si="15"/>
        <v>7</v>
      </c>
      <c r="AJ250">
        <f t="shared" si="16"/>
        <v>6</v>
      </c>
      <c r="AK250">
        <f t="shared" si="17"/>
        <v>5</v>
      </c>
      <c r="AL250">
        <f t="shared" si="18"/>
        <v>7</v>
      </c>
    </row>
    <row r="251" spans="33:38" x14ac:dyDescent="0.25">
      <c r="AG251" s="19" t="s">
        <v>171</v>
      </c>
      <c r="AH251">
        <f t="shared" si="14"/>
        <v>7</v>
      </c>
      <c r="AI251">
        <f t="shared" si="15"/>
        <v>7</v>
      </c>
      <c r="AJ251">
        <f t="shared" si="16"/>
        <v>5</v>
      </c>
      <c r="AK251">
        <f t="shared" si="17"/>
        <v>4</v>
      </c>
      <c r="AL251">
        <f t="shared" si="18"/>
        <v>7</v>
      </c>
    </row>
    <row r="252" spans="33:38" x14ac:dyDescent="0.25">
      <c r="AG252" s="19" t="s">
        <v>172</v>
      </c>
      <c r="AH252">
        <f t="shared" si="14"/>
        <v>7</v>
      </c>
      <c r="AI252">
        <f t="shared" si="15"/>
        <v>7</v>
      </c>
      <c r="AJ252">
        <f t="shared" si="16"/>
        <v>7</v>
      </c>
      <c r="AK252">
        <f t="shared" si="17"/>
        <v>5</v>
      </c>
      <c r="AL252">
        <f t="shared" si="18"/>
        <v>7</v>
      </c>
    </row>
    <row r="253" spans="33:38" x14ac:dyDescent="0.25">
      <c r="AG253" s="19" t="s">
        <v>173</v>
      </c>
      <c r="AH253">
        <f t="shared" si="14"/>
        <v>7</v>
      </c>
      <c r="AI253">
        <f t="shared" si="15"/>
        <v>7</v>
      </c>
      <c r="AJ253">
        <f t="shared" si="16"/>
        <v>7</v>
      </c>
      <c r="AK253">
        <f t="shared" si="17"/>
        <v>7</v>
      </c>
      <c r="AL253">
        <f t="shared" si="18"/>
        <v>7</v>
      </c>
    </row>
    <row r="254" spans="33:38" x14ac:dyDescent="0.25">
      <c r="AG254" s="19" t="s">
        <v>174</v>
      </c>
      <c r="AH254">
        <f t="shared" si="14"/>
        <v>1</v>
      </c>
      <c r="AI254">
        <f t="shared" si="15"/>
        <v>0</v>
      </c>
      <c r="AJ254">
        <f t="shared" si="16"/>
        <v>0</v>
      </c>
      <c r="AK254">
        <f t="shared" si="17"/>
        <v>0</v>
      </c>
      <c r="AL254">
        <f t="shared" si="18"/>
        <v>0</v>
      </c>
    </row>
    <row r="255" spans="33:38" x14ac:dyDescent="0.25">
      <c r="AG255" s="111" t="s">
        <v>175</v>
      </c>
      <c r="AH255">
        <f t="shared" si="14"/>
        <v>7</v>
      </c>
      <c r="AI255">
        <f t="shared" si="15"/>
        <v>7</v>
      </c>
      <c r="AJ255">
        <f t="shared" si="16"/>
        <v>7</v>
      </c>
      <c r="AK255">
        <f t="shared" si="17"/>
        <v>6</v>
      </c>
      <c r="AL255">
        <f t="shared" si="18"/>
        <v>0</v>
      </c>
    </row>
    <row r="256" spans="33:38" x14ac:dyDescent="0.25">
      <c r="AG256" s="19" t="s">
        <v>176</v>
      </c>
      <c r="AH256">
        <f t="shared" si="14"/>
        <v>7</v>
      </c>
      <c r="AI256">
        <f t="shared" si="15"/>
        <v>7</v>
      </c>
      <c r="AJ256">
        <f t="shared" si="16"/>
        <v>7</v>
      </c>
      <c r="AK256">
        <f t="shared" si="17"/>
        <v>6</v>
      </c>
      <c r="AL256">
        <f t="shared" si="18"/>
        <v>7</v>
      </c>
    </row>
    <row r="257" spans="33:38" x14ac:dyDescent="0.25">
      <c r="AG257" s="19" t="s">
        <v>177</v>
      </c>
      <c r="AH257">
        <f t="shared" si="14"/>
        <v>7</v>
      </c>
      <c r="AI257">
        <f t="shared" si="15"/>
        <v>7</v>
      </c>
      <c r="AJ257">
        <f t="shared" si="16"/>
        <v>7</v>
      </c>
      <c r="AK257">
        <f t="shared" si="17"/>
        <v>7</v>
      </c>
      <c r="AL257">
        <f t="shared" si="18"/>
        <v>7</v>
      </c>
    </row>
    <row r="258" spans="33:38" x14ac:dyDescent="0.25">
      <c r="AG258" s="19" t="s">
        <v>178</v>
      </c>
      <c r="AH258">
        <f t="shared" si="14"/>
        <v>7</v>
      </c>
      <c r="AI258">
        <f t="shared" si="15"/>
        <v>7</v>
      </c>
      <c r="AJ258">
        <f t="shared" si="16"/>
        <v>7</v>
      </c>
      <c r="AK258">
        <f t="shared" si="17"/>
        <v>3</v>
      </c>
      <c r="AL258">
        <f t="shared" si="18"/>
        <v>6</v>
      </c>
    </row>
    <row r="259" spans="33:38" x14ac:dyDescent="0.25">
      <c r="AG259" s="19" t="s">
        <v>179</v>
      </c>
      <c r="AH259">
        <f t="shared" si="14"/>
        <v>7</v>
      </c>
      <c r="AI259">
        <f t="shared" si="15"/>
        <v>6</v>
      </c>
      <c r="AJ259">
        <f t="shared" si="16"/>
        <v>6</v>
      </c>
      <c r="AK259">
        <f t="shared" si="17"/>
        <v>3</v>
      </c>
      <c r="AL259">
        <f t="shared" si="18"/>
        <v>7</v>
      </c>
    </row>
    <row r="260" spans="33:38" x14ac:dyDescent="0.25">
      <c r="AG260" s="19" t="s">
        <v>180</v>
      </c>
      <c r="AH260">
        <f t="shared" si="14"/>
        <v>7</v>
      </c>
      <c r="AI260">
        <f t="shared" si="15"/>
        <v>6</v>
      </c>
      <c r="AJ260">
        <f t="shared" si="16"/>
        <v>6</v>
      </c>
      <c r="AK260">
        <f t="shared" si="17"/>
        <v>5</v>
      </c>
      <c r="AL260">
        <f t="shared" si="18"/>
        <v>7</v>
      </c>
    </row>
    <row r="261" spans="33:38" x14ac:dyDescent="0.25">
      <c r="AG261" s="19" t="s">
        <v>181</v>
      </c>
      <c r="AH261">
        <f t="shared" si="14"/>
        <v>7</v>
      </c>
      <c r="AI261">
        <f t="shared" si="15"/>
        <v>7</v>
      </c>
      <c r="AJ261">
        <f t="shared" si="16"/>
        <v>7</v>
      </c>
      <c r="AK261">
        <f t="shared" si="17"/>
        <v>5</v>
      </c>
      <c r="AL261">
        <f t="shared" si="18"/>
        <v>7</v>
      </c>
    </row>
    <row r="262" spans="33:38" x14ac:dyDescent="0.25">
      <c r="AG262" s="19" t="s">
        <v>182</v>
      </c>
      <c r="AH262">
        <f t="shared" si="14"/>
        <v>0</v>
      </c>
      <c r="AI262">
        <f t="shared" si="15"/>
        <v>0</v>
      </c>
      <c r="AJ262">
        <f t="shared" si="16"/>
        <v>0</v>
      </c>
      <c r="AK262">
        <f t="shared" si="17"/>
        <v>0</v>
      </c>
      <c r="AL262">
        <f t="shared" si="18"/>
        <v>0</v>
      </c>
    </row>
    <row r="263" spans="33:38" x14ac:dyDescent="0.25">
      <c r="AG263" s="19" t="s">
        <v>183</v>
      </c>
      <c r="AH263">
        <f t="shared" si="14"/>
        <v>7</v>
      </c>
      <c r="AI263">
        <f t="shared" si="15"/>
        <v>7</v>
      </c>
      <c r="AJ263">
        <f t="shared" si="16"/>
        <v>6</v>
      </c>
      <c r="AK263">
        <f t="shared" si="17"/>
        <v>2</v>
      </c>
      <c r="AL263">
        <f t="shared" si="18"/>
        <v>7</v>
      </c>
    </row>
    <row r="264" spans="33:38" x14ac:dyDescent="0.25">
      <c r="AG264" s="19" t="s">
        <v>184</v>
      </c>
      <c r="AH264">
        <f t="shared" si="14"/>
        <v>7</v>
      </c>
      <c r="AI264">
        <f t="shared" si="15"/>
        <v>7</v>
      </c>
      <c r="AJ264">
        <f t="shared" si="16"/>
        <v>7</v>
      </c>
      <c r="AK264">
        <f t="shared" si="17"/>
        <v>6</v>
      </c>
      <c r="AL264">
        <f t="shared" si="18"/>
        <v>7</v>
      </c>
    </row>
    <row r="265" spans="33:38" x14ac:dyDescent="0.25">
      <c r="AG265" s="19" t="s">
        <v>185</v>
      </c>
      <c r="AH265">
        <f t="shared" si="14"/>
        <v>7</v>
      </c>
      <c r="AI265">
        <f t="shared" si="15"/>
        <v>6</v>
      </c>
      <c r="AJ265">
        <f t="shared" si="16"/>
        <v>4</v>
      </c>
      <c r="AK265">
        <f t="shared" si="17"/>
        <v>4</v>
      </c>
      <c r="AL265">
        <f t="shared" si="18"/>
        <v>6</v>
      </c>
    </row>
    <row r="266" spans="33:38" x14ac:dyDescent="0.25">
      <c r="AG266" s="19" t="s">
        <v>186</v>
      </c>
      <c r="AH266">
        <f t="shared" si="14"/>
        <v>7</v>
      </c>
      <c r="AI266">
        <f t="shared" si="15"/>
        <v>7</v>
      </c>
      <c r="AJ266">
        <f t="shared" si="16"/>
        <v>7</v>
      </c>
      <c r="AK266">
        <f t="shared" si="17"/>
        <v>5</v>
      </c>
      <c r="AL266">
        <f t="shared" si="18"/>
        <v>7</v>
      </c>
    </row>
    <row r="267" spans="33:38" x14ac:dyDescent="0.25">
      <c r="AG267" s="19" t="s">
        <v>279</v>
      </c>
      <c r="AH267">
        <f t="shared" si="14"/>
        <v>6</v>
      </c>
      <c r="AI267">
        <f t="shared" si="15"/>
        <v>5</v>
      </c>
      <c r="AJ267">
        <f t="shared" si="16"/>
        <v>3</v>
      </c>
      <c r="AK267">
        <f t="shared" si="17"/>
        <v>2</v>
      </c>
      <c r="AL267">
        <f t="shared" si="18"/>
        <v>7</v>
      </c>
    </row>
    <row r="268" spans="33:38" x14ac:dyDescent="0.25">
      <c r="AG268" s="19" t="s">
        <v>187</v>
      </c>
      <c r="AH268">
        <f t="shared" si="14"/>
        <v>7</v>
      </c>
      <c r="AI268">
        <f t="shared" si="15"/>
        <v>7</v>
      </c>
      <c r="AJ268">
        <f t="shared" si="16"/>
        <v>5</v>
      </c>
      <c r="AK268">
        <f t="shared" si="17"/>
        <v>4</v>
      </c>
      <c r="AL268">
        <f t="shared" si="18"/>
        <v>7</v>
      </c>
    </row>
    <row r="269" spans="33:38" x14ac:dyDescent="0.25">
      <c r="AG269" s="19" t="s">
        <v>188</v>
      </c>
      <c r="AH269">
        <f t="shared" si="14"/>
        <v>7</v>
      </c>
      <c r="AI269">
        <f t="shared" si="15"/>
        <v>7</v>
      </c>
      <c r="AJ269">
        <f t="shared" si="16"/>
        <v>4</v>
      </c>
      <c r="AK269">
        <f t="shared" si="17"/>
        <v>5</v>
      </c>
      <c r="AL269">
        <f t="shared" si="18"/>
        <v>7</v>
      </c>
    </row>
    <row r="270" spans="33:38" x14ac:dyDescent="0.25">
      <c r="AG270" s="19" t="s">
        <v>189</v>
      </c>
      <c r="AH270">
        <f t="shared" si="14"/>
        <v>7</v>
      </c>
      <c r="AI270">
        <f t="shared" si="15"/>
        <v>7</v>
      </c>
      <c r="AJ270">
        <f t="shared" si="16"/>
        <v>7</v>
      </c>
      <c r="AK270">
        <f t="shared" si="17"/>
        <v>7</v>
      </c>
      <c r="AL270">
        <f t="shared" si="18"/>
        <v>7</v>
      </c>
    </row>
    <row r="271" spans="33:38" x14ac:dyDescent="0.25">
      <c r="AG271" s="19" t="s">
        <v>265</v>
      </c>
      <c r="AH271">
        <f t="shared" si="14"/>
        <v>7</v>
      </c>
      <c r="AI271">
        <f t="shared" si="15"/>
        <v>7</v>
      </c>
      <c r="AJ271">
        <f t="shared" si="16"/>
        <v>7</v>
      </c>
      <c r="AK271">
        <f t="shared" si="17"/>
        <v>6</v>
      </c>
      <c r="AL271">
        <f t="shared" si="18"/>
        <v>7</v>
      </c>
    </row>
    <row r="272" spans="33:38" x14ac:dyDescent="0.25">
      <c r="AG272" s="19" t="s">
        <v>190</v>
      </c>
      <c r="AH272">
        <f t="shared" si="14"/>
        <v>7</v>
      </c>
      <c r="AI272">
        <f t="shared" si="15"/>
        <v>7</v>
      </c>
      <c r="AJ272">
        <f t="shared" si="16"/>
        <v>7</v>
      </c>
      <c r="AK272">
        <f t="shared" si="17"/>
        <v>7</v>
      </c>
      <c r="AL272">
        <f t="shared" si="18"/>
        <v>7</v>
      </c>
    </row>
    <row r="273" spans="33:38" x14ac:dyDescent="0.25">
      <c r="AG273" s="19" t="s">
        <v>191</v>
      </c>
      <c r="AH273">
        <f t="shared" si="14"/>
        <v>7</v>
      </c>
      <c r="AI273">
        <f t="shared" si="15"/>
        <v>7</v>
      </c>
      <c r="AJ273">
        <f t="shared" si="16"/>
        <v>7</v>
      </c>
      <c r="AK273">
        <f t="shared" si="17"/>
        <v>3</v>
      </c>
      <c r="AL273">
        <f t="shared" si="18"/>
        <v>7</v>
      </c>
    </row>
    <row r="274" spans="33:38" x14ac:dyDescent="0.25">
      <c r="AG274" s="19" t="s">
        <v>192</v>
      </c>
      <c r="AH274">
        <f t="shared" si="14"/>
        <v>7</v>
      </c>
      <c r="AI274">
        <f t="shared" si="15"/>
        <v>7</v>
      </c>
      <c r="AJ274">
        <f t="shared" si="16"/>
        <v>4</v>
      </c>
      <c r="AK274">
        <f t="shared" si="17"/>
        <v>5</v>
      </c>
      <c r="AL274">
        <f t="shared" si="18"/>
        <v>7</v>
      </c>
    </row>
    <row r="275" spans="33:38" x14ac:dyDescent="0.25">
      <c r="AG275" s="19" t="s">
        <v>193</v>
      </c>
      <c r="AH275">
        <f t="shared" si="14"/>
        <v>7</v>
      </c>
      <c r="AI275">
        <f t="shared" si="15"/>
        <v>7</v>
      </c>
      <c r="AJ275">
        <f t="shared" si="16"/>
        <v>6</v>
      </c>
      <c r="AK275">
        <f t="shared" si="17"/>
        <v>7</v>
      </c>
      <c r="AL275">
        <f t="shared" si="18"/>
        <v>7</v>
      </c>
    </row>
    <row r="276" spans="33:38" x14ac:dyDescent="0.25">
      <c r="AG276" s="19" t="s">
        <v>194</v>
      </c>
      <c r="AH276">
        <f t="shared" si="14"/>
        <v>7</v>
      </c>
      <c r="AI276">
        <f t="shared" si="15"/>
        <v>7</v>
      </c>
      <c r="AJ276">
        <f t="shared" si="16"/>
        <v>7</v>
      </c>
      <c r="AK276">
        <f t="shared" si="17"/>
        <v>5</v>
      </c>
      <c r="AL276">
        <f t="shared" si="18"/>
        <v>7</v>
      </c>
    </row>
    <row r="277" spans="33:38" x14ac:dyDescent="0.25">
      <c r="AG277" s="19" t="s">
        <v>195</v>
      </c>
      <c r="AH277">
        <f t="shared" si="14"/>
        <v>7</v>
      </c>
      <c r="AI277">
        <f t="shared" si="15"/>
        <v>7</v>
      </c>
      <c r="AJ277">
        <f t="shared" si="16"/>
        <v>7</v>
      </c>
      <c r="AK277">
        <f t="shared" si="17"/>
        <v>7</v>
      </c>
      <c r="AL277">
        <f t="shared" si="18"/>
        <v>7</v>
      </c>
    </row>
    <row r="278" spans="33:38" x14ac:dyDescent="0.25">
      <c r="AG278" s="19" t="s">
        <v>196</v>
      </c>
      <c r="AH278">
        <f t="shared" si="14"/>
        <v>7</v>
      </c>
      <c r="AI278">
        <f t="shared" si="15"/>
        <v>7</v>
      </c>
      <c r="AJ278">
        <f t="shared" si="16"/>
        <v>7</v>
      </c>
      <c r="AK278">
        <f t="shared" si="17"/>
        <v>7</v>
      </c>
      <c r="AL278">
        <f t="shared" si="18"/>
        <v>7</v>
      </c>
    </row>
    <row r="279" spans="33:38" x14ac:dyDescent="0.25">
      <c r="AG279" s="19" t="s">
        <v>197</v>
      </c>
      <c r="AH279">
        <f t="shared" si="14"/>
        <v>7</v>
      </c>
      <c r="AI279">
        <f t="shared" si="15"/>
        <v>7</v>
      </c>
      <c r="AJ279">
        <f t="shared" si="16"/>
        <v>7</v>
      </c>
      <c r="AK279">
        <f t="shared" si="17"/>
        <v>7</v>
      </c>
      <c r="AL279">
        <f t="shared" si="18"/>
        <v>7</v>
      </c>
    </row>
    <row r="280" spans="33:38" x14ac:dyDescent="0.25">
      <c r="AG280" s="19" t="s">
        <v>198</v>
      </c>
      <c r="AH280">
        <f t="shared" ref="AH280:AH284" si="19">COUNTIF($AH137:$AN137,"&gt;=85%")</f>
        <v>7</v>
      </c>
      <c r="AI280">
        <f t="shared" ref="AI280:AI284" si="20">COUNTIF($AP137:$AV137,"&gt;=85%")</f>
        <v>7</v>
      </c>
      <c r="AJ280">
        <f t="shared" ref="AJ280:AJ284" si="21">COUNTIF($AX137:$BD137,"&gt;=85%")</f>
        <v>7</v>
      </c>
      <c r="AK280">
        <f t="shared" ref="AK280:AK284" si="22">COUNTIF($BF137:$BL137,"&gt;=85%")</f>
        <v>7</v>
      </c>
      <c r="AL280">
        <f t="shared" ref="AL280:AL284" si="23">COUNTIF($BN137:$BT137,"&gt;=85%")</f>
        <v>7</v>
      </c>
    </row>
    <row r="281" spans="33:38" x14ac:dyDescent="0.25">
      <c r="AG281" s="19" t="s">
        <v>199</v>
      </c>
      <c r="AH281">
        <f t="shared" si="19"/>
        <v>7</v>
      </c>
      <c r="AI281">
        <f t="shared" si="20"/>
        <v>7</v>
      </c>
      <c r="AJ281">
        <f t="shared" si="21"/>
        <v>6</v>
      </c>
      <c r="AK281">
        <f t="shared" si="22"/>
        <v>5</v>
      </c>
      <c r="AL281">
        <f t="shared" si="23"/>
        <v>6</v>
      </c>
    </row>
    <row r="282" spans="33:38" x14ac:dyDescent="0.25">
      <c r="AG282" s="19" t="s">
        <v>200</v>
      </c>
      <c r="AH282">
        <f t="shared" si="19"/>
        <v>7</v>
      </c>
      <c r="AI282">
        <f t="shared" si="20"/>
        <v>7</v>
      </c>
      <c r="AJ282">
        <f t="shared" si="21"/>
        <v>7</v>
      </c>
      <c r="AK282">
        <f t="shared" si="22"/>
        <v>4</v>
      </c>
      <c r="AL282">
        <f t="shared" si="23"/>
        <v>7</v>
      </c>
    </row>
    <row r="283" spans="33:38" x14ac:dyDescent="0.25">
      <c r="AG283" s="111" t="s">
        <v>201</v>
      </c>
      <c r="AH283">
        <f t="shared" si="19"/>
        <v>6</v>
      </c>
      <c r="AI283">
        <f t="shared" si="20"/>
        <v>6</v>
      </c>
      <c r="AJ283">
        <f t="shared" si="21"/>
        <v>5</v>
      </c>
      <c r="AK283">
        <f t="shared" si="22"/>
        <v>4</v>
      </c>
      <c r="AL283">
        <f t="shared" si="23"/>
        <v>7</v>
      </c>
    </row>
    <row r="284" spans="33:38" x14ac:dyDescent="0.25">
      <c r="AG284" s="19" t="s">
        <v>202</v>
      </c>
      <c r="AH284">
        <f t="shared" si="19"/>
        <v>7</v>
      </c>
      <c r="AI284">
        <f t="shared" si="20"/>
        <v>7</v>
      </c>
      <c r="AJ284">
        <f t="shared" si="21"/>
        <v>7</v>
      </c>
      <c r="AK284">
        <f t="shared" si="22"/>
        <v>6</v>
      </c>
      <c r="AL284">
        <f t="shared" si="23"/>
        <v>7</v>
      </c>
    </row>
    <row r="285" spans="33:38" x14ac:dyDescent="0.25">
      <c r="AG285" s="19"/>
    </row>
    <row r="286" spans="33:38" x14ac:dyDescent="0.25">
      <c r="AG286" s="19"/>
    </row>
    <row r="287" spans="33:38" x14ac:dyDescent="0.25">
      <c r="AG287" s="19"/>
    </row>
    <row r="289" spans="33:47" x14ac:dyDescent="0.25">
      <c r="AL289" s="27"/>
    </row>
    <row r="290" spans="33:47" x14ac:dyDescent="0.25">
      <c r="AG290" s="16" t="s">
        <v>235</v>
      </c>
      <c r="AH290" s="27" t="s">
        <v>51</v>
      </c>
      <c r="AI290" s="27" t="s">
        <v>52</v>
      </c>
      <c r="AJ290" s="27" t="s">
        <v>53</v>
      </c>
      <c r="AK290" s="27" t="s">
        <v>54</v>
      </c>
      <c r="AL290" s="27" t="s">
        <v>55</v>
      </c>
      <c r="AM290" s="27" t="s">
        <v>56</v>
      </c>
      <c r="AN290" s="27" t="s">
        <v>57</v>
      </c>
      <c r="AO290" s="27" t="s">
        <v>58</v>
      </c>
      <c r="AP290" s="27" t="s">
        <v>59</v>
      </c>
      <c r="AQ290" s="27" t="s">
        <v>60</v>
      </c>
      <c r="AR290" s="27" t="s">
        <v>61</v>
      </c>
      <c r="AS290" s="27" t="s">
        <v>62</v>
      </c>
      <c r="AT290" s="27" t="s">
        <v>63</v>
      </c>
      <c r="AU290" s="27" t="s">
        <v>64</v>
      </c>
    </row>
    <row r="291" spans="33:47" x14ac:dyDescent="0.25">
      <c r="AG291" s="16" t="s">
        <v>42</v>
      </c>
      <c r="AH291" s="27">
        <f t="shared" ref="AH291:AL291" si="24">COUNTIF(AH292:AH425,"&gt;0")</f>
        <v>98</v>
      </c>
      <c r="AI291" s="27">
        <f t="shared" si="24"/>
        <v>92</v>
      </c>
      <c r="AJ291" s="27">
        <f t="shared" si="24"/>
        <v>84</v>
      </c>
      <c r="AK291" s="27">
        <f t="shared" si="24"/>
        <v>68</v>
      </c>
      <c r="AL291" s="27">
        <f t="shared" si="24"/>
        <v>89</v>
      </c>
      <c r="AM291" s="27"/>
      <c r="AN291" s="27" t="str">
        <f t="shared" ref="AN291:AU291" si="25">IF(COUNTIF(AN292:AN425,"&gt;0")=0,"",COUNTIF(AN292:AN425,"&gt;0"))</f>
        <v/>
      </c>
      <c r="AO291" s="27" t="str">
        <f t="shared" si="25"/>
        <v/>
      </c>
      <c r="AP291" s="27" t="str">
        <f t="shared" si="25"/>
        <v/>
      </c>
      <c r="AQ291" s="27" t="str">
        <f t="shared" si="25"/>
        <v/>
      </c>
      <c r="AR291" s="27" t="str">
        <f t="shared" si="25"/>
        <v/>
      </c>
      <c r="AS291" s="27" t="str">
        <f t="shared" si="25"/>
        <v/>
      </c>
      <c r="AT291" s="27" t="str">
        <f t="shared" si="25"/>
        <v/>
      </c>
      <c r="AU291" s="27" t="str">
        <f t="shared" si="25"/>
        <v/>
      </c>
    </row>
    <row r="292" spans="33:47" x14ac:dyDescent="0.25">
      <c r="AG292" s="19" t="s">
        <v>73</v>
      </c>
      <c r="AH292">
        <f>COUNTIF($AH8:$AN8,"&gt;=95%")</f>
        <v>5</v>
      </c>
      <c r="AI292">
        <f>COUNTIF($AP8:$AV8,"&gt;=95%")</f>
        <v>4</v>
      </c>
      <c r="AJ292">
        <f>COUNTIF($AX8:$BD8,"&gt;=95%")</f>
        <v>1</v>
      </c>
      <c r="AK292">
        <f>COUNTIF($BF8:$BL8,"&gt;=95%")</f>
        <v>0</v>
      </c>
      <c r="AL292">
        <f>COUNTIF($BN8:$BT8,"&gt;=95%")</f>
        <v>0</v>
      </c>
    </row>
    <row r="293" spans="33:47" x14ac:dyDescent="0.25">
      <c r="AG293" s="19" t="s">
        <v>74</v>
      </c>
      <c r="AH293">
        <f t="shared" ref="AH293:AH356" si="26">COUNTIF($AH9:$AN9,"&gt;=95%")</f>
        <v>7</v>
      </c>
      <c r="AI293">
        <f>COUNTIF($AP9:$AV9,"&gt;=95%")</f>
        <v>3</v>
      </c>
      <c r="AJ293">
        <f t="shared" ref="AJ293:AJ356" si="27">COUNTIF($AX9:$BD9,"&gt;=95%")</f>
        <v>4</v>
      </c>
      <c r="AK293">
        <f t="shared" ref="AK293:AK356" si="28">COUNTIF($BF9:$BL9,"&gt;=95%")</f>
        <v>3</v>
      </c>
      <c r="AL293">
        <f t="shared" ref="AL293:AL356" si="29">COUNTIF($BN9:$BT9,"&gt;=95%")</f>
        <v>7</v>
      </c>
    </row>
    <row r="294" spans="33:47" x14ac:dyDescent="0.25">
      <c r="AG294" s="19" t="s">
        <v>75</v>
      </c>
      <c r="AH294">
        <f t="shared" si="26"/>
        <v>0</v>
      </c>
      <c r="AI294">
        <f t="shared" ref="AI294:AI356" si="30">COUNTIF($AP10:$AV10,"&gt;=95%")</f>
        <v>0</v>
      </c>
      <c r="AJ294">
        <f t="shared" si="27"/>
        <v>0</v>
      </c>
      <c r="AK294">
        <f t="shared" si="28"/>
        <v>0</v>
      </c>
      <c r="AL294">
        <f t="shared" si="29"/>
        <v>0</v>
      </c>
    </row>
    <row r="295" spans="33:47" x14ac:dyDescent="0.25">
      <c r="AG295" s="19" t="s">
        <v>76</v>
      </c>
      <c r="AH295">
        <f t="shared" si="26"/>
        <v>1</v>
      </c>
      <c r="AI295">
        <f t="shared" si="30"/>
        <v>0</v>
      </c>
      <c r="AJ295">
        <f t="shared" si="27"/>
        <v>0</v>
      </c>
      <c r="AK295">
        <f t="shared" si="28"/>
        <v>2</v>
      </c>
      <c r="AL295">
        <f t="shared" si="29"/>
        <v>4</v>
      </c>
    </row>
    <row r="296" spans="33:47" x14ac:dyDescent="0.25">
      <c r="AG296" s="19" t="s">
        <v>77</v>
      </c>
      <c r="AH296">
        <f t="shared" si="26"/>
        <v>7</v>
      </c>
      <c r="AI296">
        <f t="shared" si="30"/>
        <v>3</v>
      </c>
      <c r="AJ296">
        <f t="shared" si="27"/>
        <v>4</v>
      </c>
      <c r="AK296">
        <f t="shared" si="28"/>
        <v>2</v>
      </c>
      <c r="AL296">
        <f t="shared" si="29"/>
        <v>7</v>
      </c>
    </row>
    <row r="297" spans="33:47" x14ac:dyDescent="0.25">
      <c r="AG297" s="19" t="s">
        <v>78</v>
      </c>
      <c r="AH297">
        <f t="shared" si="26"/>
        <v>4</v>
      </c>
      <c r="AI297">
        <f>COUNTIF($AP13:$AV13,"&gt;=95%")</f>
        <v>4</v>
      </c>
      <c r="AJ297">
        <f t="shared" si="27"/>
        <v>2</v>
      </c>
      <c r="AK297">
        <f t="shared" si="28"/>
        <v>4</v>
      </c>
      <c r="AL297">
        <f t="shared" si="29"/>
        <v>7</v>
      </c>
    </row>
    <row r="298" spans="33:47" x14ac:dyDescent="0.25">
      <c r="AG298" s="19" t="s">
        <v>79</v>
      </c>
      <c r="AH298">
        <f t="shared" si="26"/>
        <v>5</v>
      </c>
      <c r="AI298">
        <f t="shared" si="30"/>
        <v>2</v>
      </c>
      <c r="AJ298">
        <f t="shared" si="27"/>
        <v>3</v>
      </c>
      <c r="AK298">
        <f t="shared" si="28"/>
        <v>0</v>
      </c>
      <c r="AL298">
        <f t="shared" si="29"/>
        <v>1</v>
      </c>
    </row>
    <row r="299" spans="33:47" x14ac:dyDescent="0.25">
      <c r="AG299" s="19" t="s">
        <v>80</v>
      </c>
      <c r="AH299">
        <f t="shared" si="26"/>
        <v>7</v>
      </c>
      <c r="AI299">
        <f t="shared" si="30"/>
        <v>7</v>
      </c>
      <c r="AJ299">
        <f t="shared" si="27"/>
        <v>6</v>
      </c>
      <c r="AK299">
        <f t="shared" si="28"/>
        <v>4</v>
      </c>
      <c r="AL299">
        <f t="shared" si="29"/>
        <v>7</v>
      </c>
    </row>
    <row r="300" spans="33:47" x14ac:dyDescent="0.25">
      <c r="AG300" s="19" t="s">
        <v>81</v>
      </c>
      <c r="AH300">
        <f t="shared" si="26"/>
        <v>0</v>
      </c>
      <c r="AI300">
        <f t="shared" si="30"/>
        <v>0</v>
      </c>
      <c r="AJ300">
        <f t="shared" si="27"/>
        <v>0</v>
      </c>
      <c r="AK300">
        <f t="shared" si="28"/>
        <v>2</v>
      </c>
      <c r="AL300">
        <f t="shared" si="29"/>
        <v>5</v>
      </c>
    </row>
    <row r="301" spans="33:47" x14ac:dyDescent="0.25">
      <c r="AG301" s="19" t="s">
        <v>82</v>
      </c>
      <c r="AH301">
        <f t="shared" si="26"/>
        <v>0</v>
      </c>
      <c r="AI301">
        <f t="shared" si="30"/>
        <v>0</v>
      </c>
      <c r="AJ301">
        <f t="shared" si="27"/>
        <v>0</v>
      </c>
      <c r="AK301">
        <f t="shared" si="28"/>
        <v>0</v>
      </c>
      <c r="AL301">
        <f t="shared" si="29"/>
        <v>0</v>
      </c>
    </row>
    <row r="302" spans="33:47" x14ac:dyDescent="0.25">
      <c r="AG302" s="19" t="s">
        <v>83</v>
      </c>
      <c r="AH302">
        <f t="shared" si="26"/>
        <v>0</v>
      </c>
      <c r="AI302">
        <f t="shared" si="30"/>
        <v>0</v>
      </c>
      <c r="AJ302">
        <f t="shared" si="27"/>
        <v>0</v>
      </c>
      <c r="AK302">
        <f t="shared" si="28"/>
        <v>0</v>
      </c>
      <c r="AL302">
        <f t="shared" si="29"/>
        <v>0</v>
      </c>
    </row>
    <row r="303" spans="33:47" x14ac:dyDescent="0.25">
      <c r="AG303" s="19" t="s">
        <v>84</v>
      </c>
      <c r="AH303">
        <f t="shared" si="26"/>
        <v>2</v>
      </c>
      <c r="AI303">
        <f t="shared" si="30"/>
        <v>2</v>
      </c>
      <c r="AJ303">
        <f t="shared" si="27"/>
        <v>6</v>
      </c>
      <c r="AK303">
        <f t="shared" si="28"/>
        <v>2</v>
      </c>
      <c r="AL303">
        <f t="shared" si="29"/>
        <v>0</v>
      </c>
    </row>
    <row r="304" spans="33:47" x14ac:dyDescent="0.25">
      <c r="AG304" s="19" t="s">
        <v>85</v>
      </c>
      <c r="AH304">
        <f t="shared" si="26"/>
        <v>3</v>
      </c>
      <c r="AI304">
        <f t="shared" si="30"/>
        <v>1</v>
      </c>
      <c r="AJ304">
        <f t="shared" si="27"/>
        <v>4</v>
      </c>
      <c r="AK304">
        <f t="shared" si="28"/>
        <v>2</v>
      </c>
      <c r="AL304">
        <f t="shared" si="29"/>
        <v>4</v>
      </c>
    </row>
    <row r="305" spans="33:38" x14ac:dyDescent="0.25">
      <c r="AG305" s="19" t="s">
        <v>86</v>
      </c>
      <c r="AH305">
        <f t="shared" si="26"/>
        <v>7</v>
      </c>
      <c r="AI305">
        <f t="shared" si="30"/>
        <v>5</v>
      </c>
      <c r="AJ305">
        <f t="shared" si="27"/>
        <v>4</v>
      </c>
      <c r="AK305">
        <f t="shared" si="28"/>
        <v>3</v>
      </c>
      <c r="AL305">
        <f t="shared" si="29"/>
        <v>7</v>
      </c>
    </row>
    <row r="306" spans="33:38" x14ac:dyDescent="0.25">
      <c r="AG306" s="19" t="s">
        <v>87</v>
      </c>
      <c r="AH306">
        <f t="shared" si="26"/>
        <v>4</v>
      </c>
      <c r="AI306">
        <f t="shared" si="30"/>
        <v>6</v>
      </c>
      <c r="AJ306">
        <f t="shared" si="27"/>
        <v>2</v>
      </c>
      <c r="AK306">
        <f t="shared" si="28"/>
        <v>2</v>
      </c>
      <c r="AL306">
        <f t="shared" si="29"/>
        <v>5</v>
      </c>
    </row>
    <row r="307" spans="33:38" x14ac:dyDescent="0.25">
      <c r="AG307" s="19" t="s">
        <v>88</v>
      </c>
      <c r="AH307">
        <f t="shared" si="26"/>
        <v>0</v>
      </c>
      <c r="AI307">
        <f t="shared" si="30"/>
        <v>0</v>
      </c>
      <c r="AJ307">
        <f t="shared" si="27"/>
        <v>0</v>
      </c>
      <c r="AK307">
        <f t="shared" si="28"/>
        <v>0</v>
      </c>
      <c r="AL307">
        <f t="shared" si="29"/>
        <v>0</v>
      </c>
    </row>
    <row r="308" spans="33:38" x14ac:dyDescent="0.25">
      <c r="AG308" s="19" t="s">
        <v>89</v>
      </c>
      <c r="AH308">
        <f t="shared" si="26"/>
        <v>0</v>
      </c>
      <c r="AI308">
        <f t="shared" si="30"/>
        <v>0</v>
      </c>
      <c r="AJ308">
        <f t="shared" si="27"/>
        <v>0</v>
      </c>
      <c r="AK308">
        <f t="shared" si="28"/>
        <v>0</v>
      </c>
      <c r="AL308">
        <f t="shared" si="29"/>
        <v>0</v>
      </c>
    </row>
    <row r="309" spans="33:38" x14ac:dyDescent="0.25">
      <c r="AG309" s="19" t="s">
        <v>90</v>
      </c>
      <c r="AH309">
        <f t="shared" si="26"/>
        <v>7</v>
      </c>
      <c r="AI309">
        <f t="shared" si="30"/>
        <v>6</v>
      </c>
      <c r="AJ309">
        <f t="shared" si="27"/>
        <v>4</v>
      </c>
      <c r="AK309">
        <f t="shared" si="28"/>
        <v>1</v>
      </c>
      <c r="AL309">
        <f t="shared" si="29"/>
        <v>6</v>
      </c>
    </row>
    <row r="310" spans="33:38" x14ac:dyDescent="0.25">
      <c r="AG310" s="19" t="s">
        <v>91</v>
      </c>
      <c r="AH310">
        <f t="shared" si="26"/>
        <v>7</v>
      </c>
      <c r="AI310">
        <f t="shared" si="30"/>
        <v>6</v>
      </c>
      <c r="AJ310">
        <f t="shared" si="27"/>
        <v>2</v>
      </c>
      <c r="AK310">
        <f t="shared" si="28"/>
        <v>3</v>
      </c>
      <c r="AL310">
        <f t="shared" si="29"/>
        <v>4</v>
      </c>
    </row>
    <row r="311" spans="33:38" x14ac:dyDescent="0.25">
      <c r="AG311" s="19" t="s">
        <v>92</v>
      </c>
      <c r="AH311">
        <f t="shared" si="26"/>
        <v>0</v>
      </c>
      <c r="AI311">
        <f t="shared" si="30"/>
        <v>0</v>
      </c>
      <c r="AJ311">
        <f t="shared" si="27"/>
        <v>0</v>
      </c>
      <c r="AK311">
        <f t="shared" si="28"/>
        <v>0</v>
      </c>
      <c r="AL311">
        <f t="shared" si="29"/>
        <v>0</v>
      </c>
    </row>
    <row r="312" spans="33:38" x14ac:dyDescent="0.25">
      <c r="AG312" s="19" t="s">
        <v>93</v>
      </c>
      <c r="AH312">
        <f t="shared" si="26"/>
        <v>5</v>
      </c>
      <c r="AI312">
        <f t="shared" si="30"/>
        <v>5</v>
      </c>
      <c r="AJ312">
        <f t="shared" si="27"/>
        <v>3</v>
      </c>
      <c r="AK312">
        <f t="shared" si="28"/>
        <v>2</v>
      </c>
      <c r="AL312">
        <f t="shared" si="29"/>
        <v>3</v>
      </c>
    </row>
    <row r="313" spans="33:38" x14ac:dyDescent="0.25">
      <c r="AG313" s="19" t="s">
        <v>94</v>
      </c>
      <c r="AH313">
        <f t="shared" si="26"/>
        <v>0</v>
      </c>
      <c r="AI313">
        <f t="shared" si="30"/>
        <v>0</v>
      </c>
      <c r="AJ313">
        <f t="shared" si="27"/>
        <v>0</v>
      </c>
      <c r="AK313">
        <f t="shared" si="28"/>
        <v>0</v>
      </c>
      <c r="AL313">
        <f t="shared" si="29"/>
        <v>0</v>
      </c>
    </row>
    <row r="314" spans="33:38" x14ac:dyDescent="0.25">
      <c r="AG314" s="19" t="s">
        <v>95</v>
      </c>
      <c r="AH314">
        <f t="shared" si="26"/>
        <v>7</v>
      </c>
      <c r="AI314">
        <f t="shared" si="30"/>
        <v>7</v>
      </c>
      <c r="AJ314">
        <f t="shared" si="27"/>
        <v>7</v>
      </c>
      <c r="AK314">
        <f t="shared" si="28"/>
        <v>7</v>
      </c>
      <c r="AL314">
        <f t="shared" si="29"/>
        <v>7</v>
      </c>
    </row>
    <row r="315" spans="33:38" x14ac:dyDescent="0.25">
      <c r="AG315" s="19" t="s">
        <v>96</v>
      </c>
      <c r="AH315">
        <f t="shared" si="26"/>
        <v>0</v>
      </c>
      <c r="AI315">
        <f t="shared" si="30"/>
        <v>0</v>
      </c>
      <c r="AJ315">
        <f t="shared" si="27"/>
        <v>0</v>
      </c>
      <c r="AK315">
        <f t="shared" si="28"/>
        <v>0</v>
      </c>
      <c r="AL315">
        <f t="shared" si="29"/>
        <v>1</v>
      </c>
    </row>
    <row r="316" spans="33:38" x14ac:dyDescent="0.25">
      <c r="AG316" s="19" t="s">
        <v>97</v>
      </c>
      <c r="AH316">
        <f t="shared" si="26"/>
        <v>3</v>
      </c>
      <c r="AI316">
        <f t="shared" si="30"/>
        <v>2</v>
      </c>
      <c r="AJ316">
        <f t="shared" si="27"/>
        <v>1</v>
      </c>
      <c r="AK316">
        <f t="shared" si="28"/>
        <v>3</v>
      </c>
      <c r="AL316">
        <f t="shared" si="29"/>
        <v>0</v>
      </c>
    </row>
    <row r="317" spans="33:38" x14ac:dyDescent="0.25">
      <c r="AG317" s="19" t="s">
        <v>98</v>
      </c>
      <c r="AH317">
        <f t="shared" si="26"/>
        <v>1</v>
      </c>
      <c r="AI317">
        <f t="shared" si="30"/>
        <v>0</v>
      </c>
      <c r="AJ317">
        <f t="shared" si="27"/>
        <v>2</v>
      </c>
      <c r="AK317">
        <f t="shared" si="28"/>
        <v>0</v>
      </c>
      <c r="AL317">
        <f t="shared" si="29"/>
        <v>5</v>
      </c>
    </row>
    <row r="318" spans="33:38" x14ac:dyDescent="0.25">
      <c r="AG318" s="19" t="s">
        <v>99</v>
      </c>
      <c r="AH318">
        <f t="shared" si="26"/>
        <v>5</v>
      </c>
      <c r="AI318">
        <f t="shared" si="30"/>
        <v>4</v>
      </c>
      <c r="AJ318">
        <f t="shared" si="27"/>
        <v>4</v>
      </c>
      <c r="AK318">
        <f t="shared" si="28"/>
        <v>2</v>
      </c>
      <c r="AL318">
        <f t="shared" si="29"/>
        <v>7</v>
      </c>
    </row>
    <row r="319" spans="33:38" x14ac:dyDescent="0.25">
      <c r="AG319" s="19" t="s">
        <v>100</v>
      </c>
      <c r="AH319">
        <f t="shared" si="26"/>
        <v>7</v>
      </c>
      <c r="AI319">
        <f t="shared" si="30"/>
        <v>6</v>
      </c>
      <c r="AJ319">
        <f t="shared" si="27"/>
        <v>4</v>
      </c>
      <c r="AK319">
        <f t="shared" si="28"/>
        <v>3</v>
      </c>
      <c r="AL319">
        <f t="shared" si="29"/>
        <v>4</v>
      </c>
    </row>
    <row r="320" spans="33:38" x14ac:dyDescent="0.25">
      <c r="AG320" s="19" t="s">
        <v>101</v>
      </c>
      <c r="AH320">
        <f t="shared" si="26"/>
        <v>0</v>
      </c>
      <c r="AI320">
        <f t="shared" si="30"/>
        <v>0</v>
      </c>
      <c r="AJ320">
        <f t="shared" si="27"/>
        <v>0</v>
      </c>
      <c r="AK320">
        <f t="shared" si="28"/>
        <v>0</v>
      </c>
      <c r="AL320">
        <f t="shared" si="29"/>
        <v>1</v>
      </c>
    </row>
    <row r="321" spans="33:38" x14ac:dyDescent="0.25">
      <c r="AG321" s="19" t="s">
        <v>102</v>
      </c>
      <c r="AH321">
        <f t="shared" si="26"/>
        <v>5</v>
      </c>
      <c r="AI321">
        <f t="shared" si="30"/>
        <v>3</v>
      </c>
      <c r="AJ321">
        <f t="shared" si="27"/>
        <v>2</v>
      </c>
      <c r="AK321">
        <f t="shared" si="28"/>
        <v>0</v>
      </c>
      <c r="AL321">
        <f t="shared" si="29"/>
        <v>2</v>
      </c>
    </row>
    <row r="322" spans="33:38" x14ac:dyDescent="0.25">
      <c r="AG322" s="19" t="s">
        <v>263</v>
      </c>
      <c r="AH322">
        <f t="shared" si="26"/>
        <v>5</v>
      </c>
      <c r="AI322">
        <f t="shared" si="30"/>
        <v>4</v>
      </c>
      <c r="AJ322">
        <f t="shared" si="27"/>
        <v>3</v>
      </c>
      <c r="AK322">
        <f t="shared" si="28"/>
        <v>3</v>
      </c>
      <c r="AL322">
        <f t="shared" si="29"/>
        <v>5</v>
      </c>
    </row>
    <row r="323" spans="33:38" x14ac:dyDescent="0.25">
      <c r="AG323" s="19" t="s">
        <v>103</v>
      </c>
      <c r="AH323">
        <f t="shared" si="26"/>
        <v>5</v>
      </c>
      <c r="AI323">
        <f t="shared" si="30"/>
        <v>4</v>
      </c>
      <c r="AJ323">
        <f t="shared" si="27"/>
        <v>1</v>
      </c>
      <c r="AK323">
        <f t="shared" si="28"/>
        <v>3</v>
      </c>
      <c r="AL323">
        <f t="shared" si="29"/>
        <v>6</v>
      </c>
    </row>
    <row r="324" spans="33:38" x14ac:dyDescent="0.25">
      <c r="AG324" s="19" t="s">
        <v>104</v>
      </c>
      <c r="AH324">
        <f t="shared" si="26"/>
        <v>0</v>
      </c>
      <c r="AI324">
        <f t="shared" si="30"/>
        <v>0</v>
      </c>
      <c r="AJ324">
        <f t="shared" si="27"/>
        <v>0</v>
      </c>
      <c r="AK324">
        <f t="shared" si="28"/>
        <v>0</v>
      </c>
      <c r="AL324">
        <f t="shared" si="29"/>
        <v>0</v>
      </c>
    </row>
    <row r="325" spans="33:38" x14ac:dyDescent="0.25">
      <c r="AG325" s="19" t="s">
        <v>105</v>
      </c>
      <c r="AH325">
        <f t="shared" si="26"/>
        <v>7</v>
      </c>
      <c r="AI325">
        <f t="shared" si="30"/>
        <v>7</v>
      </c>
      <c r="AJ325">
        <f t="shared" si="27"/>
        <v>5</v>
      </c>
      <c r="AK325">
        <f t="shared" si="28"/>
        <v>4</v>
      </c>
      <c r="AL325">
        <f t="shared" si="29"/>
        <v>7</v>
      </c>
    </row>
    <row r="326" spans="33:38" x14ac:dyDescent="0.25">
      <c r="AG326" s="19" t="s">
        <v>106</v>
      </c>
      <c r="AH326">
        <f t="shared" si="26"/>
        <v>6</v>
      </c>
      <c r="AI326">
        <f t="shared" si="30"/>
        <v>5</v>
      </c>
      <c r="AJ326">
        <f t="shared" si="27"/>
        <v>3</v>
      </c>
      <c r="AK326">
        <f t="shared" si="28"/>
        <v>0</v>
      </c>
      <c r="AL326">
        <f t="shared" si="29"/>
        <v>1</v>
      </c>
    </row>
    <row r="327" spans="33:38" x14ac:dyDescent="0.25">
      <c r="AG327" s="19" t="s">
        <v>107</v>
      </c>
      <c r="AH327">
        <f t="shared" si="26"/>
        <v>7</v>
      </c>
      <c r="AI327">
        <f t="shared" si="30"/>
        <v>7</v>
      </c>
      <c r="AJ327">
        <f t="shared" si="27"/>
        <v>5</v>
      </c>
      <c r="AK327">
        <f t="shared" si="28"/>
        <v>3</v>
      </c>
      <c r="AL327">
        <f t="shared" si="29"/>
        <v>5</v>
      </c>
    </row>
    <row r="328" spans="33:38" x14ac:dyDescent="0.25">
      <c r="AG328" s="19" t="s">
        <v>108</v>
      </c>
      <c r="AH328">
        <f t="shared" si="26"/>
        <v>3</v>
      </c>
      <c r="AI328">
        <f t="shared" si="30"/>
        <v>2</v>
      </c>
      <c r="AJ328">
        <f t="shared" si="27"/>
        <v>1</v>
      </c>
      <c r="AK328">
        <f t="shared" si="28"/>
        <v>0</v>
      </c>
      <c r="AL328">
        <f t="shared" si="29"/>
        <v>1</v>
      </c>
    </row>
    <row r="329" spans="33:38" x14ac:dyDescent="0.25">
      <c r="AG329" s="19" t="s">
        <v>109</v>
      </c>
      <c r="AH329">
        <f t="shared" si="26"/>
        <v>7</v>
      </c>
      <c r="AI329">
        <f t="shared" si="30"/>
        <v>4</v>
      </c>
      <c r="AJ329">
        <f t="shared" si="27"/>
        <v>5</v>
      </c>
      <c r="AK329">
        <f t="shared" si="28"/>
        <v>0</v>
      </c>
      <c r="AL329">
        <f t="shared" si="29"/>
        <v>4</v>
      </c>
    </row>
    <row r="330" spans="33:38" x14ac:dyDescent="0.25">
      <c r="AG330" s="19" t="s">
        <v>110</v>
      </c>
      <c r="AH330">
        <f t="shared" si="26"/>
        <v>2</v>
      </c>
      <c r="AI330">
        <f t="shared" si="30"/>
        <v>0</v>
      </c>
      <c r="AJ330">
        <f t="shared" si="27"/>
        <v>0</v>
      </c>
      <c r="AK330">
        <f t="shared" si="28"/>
        <v>0</v>
      </c>
      <c r="AL330">
        <f t="shared" si="29"/>
        <v>0</v>
      </c>
    </row>
    <row r="331" spans="33:38" x14ac:dyDescent="0.25">
      <c r="AG331" s="19" t="s">
        <v>111</v>
      </c>
      <c r="AH331">
        <f t="shared" si="26"/>
        <v>0</v>
      </c>
      <c r="AI331">
        <f t="shared" si="30"/>
        <v>0</v>
      </c>
      <c r="AJ331">
        <f t="shared" si="27"/>
        <v>0</v>
      </c>
      <c r="AK331">
        <f t="shared" si="28"/>
        <v>0</v>
      </c>
      <c r="AL331">
        <f t="shared" si="29"/>
        <v>0</v>
      </c>
    </row>
    <row r="332" spans="33:38" x14ac:dyDescent="0.25">
      <c r="AG332" s="19" t="s">
        <v>112</v>
      </c>
      <c r="AH332">
        <f t="shared" si="26"/>
        <v>0</v>
      </c>
      <c r="AI332">
        <f t="shared" si="30"/>
        <v>0</v>
      </c>
      <c r="AJ332">
        <f t="shared" si="27"/>
        <v>0</v>
      </c>
      <c r="AK332">
        <f t="shared" si="28"/>
        <v>0</v>
      </c>
      <c r="AL332">
        <f t="shared" si="29"/>
        <v>0</v>
      </c>
    </row>
    <row r="333" spans="33:38" x14ac:dyDescent="0.25">
      <c r="AG333" s="19" t="s">
        <v>113</v>
      </c>
      <c r="AH333">
        <f t="shared" si="26"/>
        <v>0</v>
      </c>
      <c r="AI333">
        <f t="shared" si="30"/>
        <v>0</v>
      </c>
      <c r="AJ333">
        <f t="shared" si="27"/>
        <v>1</v>
      </c>
      <c r="AK333">
        <f t="shared" si="28"/>
        <v>0</v>
      </c>
      <c r="AL333">
        <f t="shared" si="29"/>
        <v>0</v>
      </c>
    </row>
    <row r="334" spans="33:38" x14ac:dyDescent="0.25">
      <c r="AG334" s="19" t="s">
        <v>114</v>
      </c>
      <c r="AH334">
        <f t="shared" si="26"/>
        <v>3</v>
      </c>
      <c r="AI334">
        <f t="shared" si="30"/>
        <v>3</v>
      </c>
      <c r="AJ334">
        <f t="shared" si="27"/>
        <v>1</v>
      </c>
      <c r="AK334">
        <f t="shared" si="28"/>
        <v>0</v>
      </c>
      <c r="AL334">
        <f t="shared" si="29"/>
        <v>0</v>
      </c>
    </row>
    <row r="335" spans="33:38" x14ac:dyDescent="0.25">
      <c r="AG335" s="19" t="s">
        <v>115</v>
      </c>
      <c r="AH335">
        <f t="shared" si="26"/>
        <v>2</v>
      </c>
      <c r="AI335">
        <f>COUNTIF($AP51:$AV51,"&gt;=95%")</f>
        <v>2</v>
      </c>
      <c r="AJ335">
        <f t="shared" si="27"/>
        <v>1</v>
      </c>
      <c r="AK335">
        <f t="shared" si="28"/>
        <v>0</v>
      </c>
      <c r="AL335">
        <f t="shared" si="29"/>
        <v>0</v>
      </c>
    </row>
    <row r="336" spans="33:38" x14ac:dyDescent="0.25">
      <c r="AG336" s="19" t="s">
        <v>116</v>
      </c>
      <c r="AH336">
        <f t="shared" si="26"/>
        <v>7</v>
      </c>
      <c r="AI336">
        <f t="shared" si="30"/>
        <v>6</v>
      </c>
      <c r="AJ336">
        <f t="shared" si="27"/>
        <v>2</v>
      </c>
      <c r="AK336">
        <f t="shared" si="28"/>
        <v>3</v>
      </c>
      <c r="AL336">
        <f t="shared" si="29"/>
        <v>5</v>
      </c>
    </row>
    <row r="337" spans="33:38" x14ac:dyDescent="0.25">
      <c r="AG337" s="19" t="s">
        <v>117</v>
      </c>
      <c r="AH337">
        <f t="shared" si="26"/>
        <v>3</v>
      </c>
      <c r="AI337">
        <f t="shared" si="30"/>
        <v>3</v>
      </c>
      <c r="AJ337">
        <f t="shared" si="27"/>
        <v>2</v>
      </c>
      <c r="AK337">
        <f t="shared" si="28"/>
        <v>4</v>
      </c>
      <c r="AL337">
        <f t="shared" si="29"/>
        <v>7</v>
      </c>
    </row>
    <row r="338" spans="33:38" x14ac:dyDescent="0.25">
      <c r="AG338" s="19" t="s">
        <v>118</v>
      </c>
      <c r="AH338">
        <f t="shared" si="26"/>
        <v>7</v>
      </c>
      <c r="AI338">
        <f t="shared" si="30"/>
        <v>5</v>
      </c>
      <c r="AJ338">
        <f t="shared" si="27"/>
        <v>3</v>
      </c>
      <c r="AK338">
        <f t="shared" si="28"/>
        <v>3</v>
      </c>
      <c r="AL338">
        <f t="shared" si="29"/>
        <v>7</v>
      </c>
    </row>
    <row r="339" spans="33:38" x14ac:dyDescent="0.25">
      <c r="AG339" s="19" t="s">
        <v>119</v>
      </c>
      <c r="AH339">
        <f t="shared" si="26"/>
        <v>7</v>
      </c>
      <c r="AI339">
        <f t="shared" si="30"/>
        <v>7</v>
      </c>
      <c r="AJ339">
        <f t="shared" si="27"/>
        <v>5</v>
      </c>
      <c r="AK339">
        <f t="shared" si="28"/>
        <v>6</v>
      </c>
      <c r="AL339">
        <f t="shared" si="29"/>
        <v>7</v>
      </c>
    </row>
    <row r="340" spans="33:38" x14ac:dyDescent="0.25">
      <c r="AG340" s="19" t="s">
        <v>120</v>
      </c>
      <c r="AH340">
        <f t="shared" si="26"/>
        <v>6</v>
      </c>
      <c r="AI340">
        <f t="shared" si="30"/>
        <v>5</v>
      </c>
      <c r="AJ340">
        <f t="shared" si="27"/>
        <v>4</v>
      </c>
      <c r="AK340">
        <f t="shared" si="28"/>
        <v>1</v>
      </c>
      <c r="AL340">
        <f t="shared" si="29"/>
        <v>1</v>
      </c>
    </row>
    <row r="341" spans="33:38" x14ac:dyDescent="0.25">
      <c r="AG341" s="19" t="s">
        <v>121</v>
      </c>
      <c r="AH341">
        <f t="shared" si="26"/>
        <v>7</v>
      </c>
      <c r="AI341">
        <f t="shared" si="30"/>
        <v>7</v>
      </c>
      <c r="AJ341">
        <f t="shared" si="27"/>
        <v>6</v>
      </c>
      <c r="AK341">
        <f t="shared" si="28"/>
        <v>5</v>
      </c>
      <c r="AL341">
        <f t="shared" si="29"/>
        <v>7</v>
      </c>
    </row>
    <row r="342" spans="33:38" x14ac:dyDescent="0.25">
      <c r="AG342" s="19" t="s">
        <v>122</v>
      </c>
      <c r="AH342">
        <f t="shared" si="26"/>
        <v>6</v>
      </c>
      <c r="AI342">
        <f t="shared" si="30"/>
        <v>6</v>
      </c>
      <c r="AJ342">
        <f t="shared" si="27"/>
        <v>4</v>
      </c>
      <c r="AK342">
        <f t="shared" si="28"/>
        <v>1</v>
      </c>
      <c r="AL342">
        <f t="shared" si="29"/>
        <v>5</v>
      </c>
    </row>
    <row r="343" spans="33:38" x14ac:dyDescent="0.25">
      <c r="AG343" s="19" t="s">
        <v>123</v>
      </c>
      <c r="AH343">
        <f t="shared" si="26"/>
        <v>6</v>
      </c>
      <c r="AI343">
        <f t="shared" si="30"/>
        <v>6</v>
      </c>
      <c r="AJ343">
        <f t="shared" si="27"/>
        <v>2</v>
      </c>
      <c r="AK343">
        <f t="shared" si="28"/>
        <v>2</v>
      </c>
      <c r="AL343">
        <f t="shared" si="29"/>
        <v>7</v>
      </c>
    </row>
    <row r="344" spans="33:38" x14ac:dyDescent="0.25">
      <c r="AG344" s="19" t="s">
        <v>264</v>
      </c>
      <c r="AH344">
        <f t="shared" si="26"/>
        <v>7</v>
      </c>
      <c r="AI344">
        <f t="shared" si="30"/>
        <v>7</v>
      </c>
      <c r="AJ344">
        <f t="shared" si="27"/>
        <v>7</v>
      </c>
      <c r="AK344">
        <f t="shared" si="28"/>
        <v>7</v>
      </c>
      <c r="AL344">
        <f t="shared" si="29"/>
        <v>7</v>
      </c>
    </row>
    <row r="345" spans="33:38" x14ac:dyDescent="0.25">
      <c r="AG345" s="19" t="s">
        <v>124</v>
      </c>
      <c r="AH345">
        <f t="shared" si="26"/>
        <v>4</v>
      </c>
      <c r="AI345">
        <f t="shared" si="30"/>
        <v>3</v>
      </c>
      <c r="AJ345">
        <f t="shared" si="27"/>
        <v>0</v>
      </c>
      <c r="AK345">
        <f t="shared" si="28"/>
        <v>0</v>
      </c>
      <c r="AL345">
        <f t="shared" si="29"/>
        <v>5</v>
      </c>
    </row>
    <row r="346" spans="33:38" x14ac:dyDescent="0.25">
      <c r="AG346" s="19" t="s">
        <v>125</v>
      </c>
      <c r="AH346">
        <f t="shared" si="26"/>
        <v>4</v>
      </c>
      <c r="AI346">
        <f t="shared" si="30"/>
        <v>6</v>
      </c>
      <c r="AJ346">
        <f t="shared" si="27"/>
        <v>0</v>
      </c>
      <c r="AK346">
        <f t="shared" si="28"/>
        <v>1</v>
      </c>
      <c r="AL346">
        <f t="shared" si="29"/>
        <v>3</v>
      </c>
    </row>
    <row r="347" spans="33:38" x14ac:dyDescent="0.25">
      <c r="AG347" s="19" t="s">
        <v>126</v>
      </c>
      <c r="AH347">
        <f t="shared" si="26"/>
        <v>0</v>
      </c>
      <c r="AI347">
        <f t="shared" si="30"/>
        <v>0</v>
      </c>
      <c r="AJ347">
        <f t="shared" si="27"/>
        <v>0</v>
      </c>
      <c r="AK347">
        <f t="shared" si="28"/>
        <v>0</v>
      </c>
      <c r="AL347">
        <f t="shared" si="29"/>
        <v>0</v>
      </c>
    </row>
    <row r="348" spans="33:38" x14ac:dyDescent="0.25">
      <c r="AG348" s="19" t="s">
        <v>127</v>
      </c>
      <c r="AH348">
        <f t="shared" si="26"/>
        <v>7</v>
      </c>
      <c r="AI348">
        <f t="shared" si="30"/>
        <v>7</v>
      </c>
      <c r="AJ348">
        <f t="shared" si="27"/>
        <v>7</v>
      </c>
      <c r="AK348">
        <f t="shared" si="28"/>
        <v>6</v>
      </c>
      <c r="AL348">
        <f t="shared" si="29"/>
        <v>7</v>
      </c>
    </row>
    <row r="349" spans="33:38" x14ac:dyDescent="0.25">
      <c r="AG349" s="19" t="s">
        <v>128</v>
      </c>
      <c r="AH349">
        <f t="shared" si="26"/>
        <v>3</v>
      </c>
      <c r="AI349">
        <f t="shared" si="30"/>
        <v>2</v>
      </c>
      <c r="AJ349">
        <f t="shared" si="27"/>
        <v>2</v>
      </c>
      <c r="AK349">
        <f t="shared" si="28"/>
        <v>3</v>
      </c>
      <c r="AL349">
        <f t="shared" si="29"/>
        <v>7</v>
      </c>
    </row>
    <row r="350" spans="33:38" x14ac:dyDescent="0.25">
      <c r="AG350" s="19" t="s">
        <v>129</v>
      </c>
      <c r="AH350">
        <f t="shared" si="26"/>
        <v>7</v>
      </c>
      <c r="AI350">
        <f t="shared" si="30"/>
        <v>7</v>
      </c>
      <c r="AJ350">
        <f t="shared" si="27"/>
        <v>2</v>
      </c>
      <c r="AK350">
        <f t="shared" si="28"/>
        <v>0</v>
      </c>
      <c r="AL350">
        <f t="shared" si="29"/>
        <v>6</v>
      </c>
    </row>
    <row r="351" spans="33:38" x14ac:dyDescent="0.25">
      <c r="AG351" s="19" t="s">
        <v>130</v>
      </c>
      <c r="AH351">
        <f t="shared" si="26"/>
        <v>7</v>
      </c>
      <c r="AI351">
        <f t="shared" si="30"/>
        <v>6</v>
      </c>
      <c r="AJ351">
        <f t="shared" si="27"/>
        <v>4</v>
      </c>
      <c r="AK351">
        <f t="shared" si="28"/>
        <v>5</v>
      </c>
      <c r="AL351">
        <f t="shared" si="29"/>
        <v>6</v>
      </c>
    </row>
    <row r="352" spans="33:38" x14ac:dyDescent="0.25">
      <c r="AG352" s="19" t="s">
        <v>131</v>
      </c>
      <c r="AH352">
        <f t="shared" si="26"/>
        <v>2</v>
      </c>
      <c r="AI352">
        <f t="shared" si="30"/>
        <v>0</v>
      </c>
      <c r="AJ352">
        <f t="shared" si="27"/>
        <v>2</v>
      </c>
      <c r="AK352">
        <f t="shared" si="28"/>
        <v>0</v>
      </c>
      <c r="AL352">
        <f t="shared" si="29"/>
        <v>1</v>
      </c>
    </row>
    <row r="353" spans="33:38" x14ac:dyDescent="0.25">
      <c r="AG353" s="19" t="s">
        <v>132</v>
      </c>
      <c r="AH353">
        <f t="shared" si="26"/>
        <v>0</v>
      </c>
      <c r="AI353">
        <f t="shared" si="30"/>
        <v>0</v>
      </c>
      <c r="AJ353">
        <f t="shared" si="27"/>
        <v>0</v>
      </c>
      <c r="AK353">
        <f t="shared" si="28"/>
        <v>0</v>
      </c>
      <c r="AL353">
        <f t="shared" si="29"/>
        <v>0</v>
      </c>
    </row>
    <row r="354" spans="33:38" x14ac:dyDescent="0.25">
      <c r="AG354" s="19" t="s">
        <v>133</v>
      </c>
      <c r="AH354">
        <f>COUNTIF($AH70:$AN70,"&gt;=95%")</f>
        <v>7</v>
      </c>
      <c r="AI354">
        <f>COUNTIF($AP70:$AV70,"&gt;=95%")</f>
        <v>5</v>
      </c>
      <c r="AJ354">
        <f t="shared" si="27"/>
        <v>3</v>
      </c>
      <c r="AK354">
        <f t="shared" si="28"/>
        <v>0</v>
      </c>
      <c r="AL354">
        <f t="shared" si="29"/>
        <v>4</v>
      </c>
    </row>
    <row r="355" spans="33:38" x14ac:dyDescent="0.25">
      <c r="AG355" s="19" t="s">
        <v>134</v>
      </c>
      <c r="AH355">
        <f t="shared" si="26"/>
        <v>1</v>
      </c>
      <c r="AI355">
        <f t="shared" si="30"/>
        <v>2</v>
      </c>
      <c r="AJ355">
        <f t="shared" si="27"/>
        <v>1</v>
      </c>
      <c r="AK355">
        <f t="shared" si="28"/>
        <v>1</v>
      </c>
      <c r="AL355">
        <f t="shared" si="29"/>
        <v>0</v>
      </c>
    </row>
    <row r="356" spans="33:38" x14ac:dyDescent="0.25">
      <c r="AG356" s="19" t="s">
        <v>135</v>
      </c>
      <c r="AH356">
        <f t="shared" si="26"/>
        <v>6</v>
      </c>
      <c r="AI356">
        <f t="shared" si="30"/>
        <v>6</v>
      </c>
      <c r="AJ356">
        <f t="shared" si="27"/>
        <v>3</v>
      </c>
      <c r="AK356">
        <f t="shared" si="28"/>
        <v>1</v>
      </c>
      <c r="AL356">
        <f t="shared" si="29"/>
        <v>4</v>
      </c>
    </row>
    <row r="357" spans="33:38" x14ac:dyDescent="0.25">
      <c r="AG357" s="19" t="s">
        <v>136</v>
      </c>
      <c r="AH357">
        <f t="shared" ref="AH357:AH420" si="31">COUNTIF($AH73:$AN73,"&gt;=95%")</f>
        <v>0</v>
      </c>
      <c r="AI357">
        <f t="shared" ref="AI357:AI420" si="32">COUNTIF($AP73:$AV73,"&gt;=95%")</f>
        <v>0</v>
      </c>
      <c r="AJ357">
        <f t="shared" ref="AJ357:AJ420" si="33">COUNTIF($AX73:$BD73,"&gt;=95%")</f>
        <v>0</v>
      </c>
      <c r="AK357">
        <f t="shared" ref="AK357:AK420" si="34">COUNTIF($BF73:$BL73,"&gt;=95%")</f>
        <v>0</v>
      </c>
      <c r="AL357">
        <f t="shared" ref="AL357:AL420" si="35">COUNTIF($BN73:$BT73,"&gt;=95%")</f>
        <v>0</v>
      </c>
    </row>
    <row r="358" spans="33:38" x14ac:dyDescent="0.25">
      <c r="AG358" s="19" t="s">
        <v>137</v>
      </c>
      <c r="AH358">
        <f t="shared" si="31"/>
        <v>3</v>
      </c>
      <c r="AI358">
        <f t="shared" si="32"/>
        <v>3</v>
      </c>
      <c r="AJ358">
        <f t="shared" si="33"/>
        <v>1</v>
      </c>
      <c r="AK358">
        <f t="shared" si="34"/>
        <v>4</v>
      </c>
      <c r="AL358">
        <f t="shared" si="35"/>
        <v>4</v>
      </c>
    </row>
    <row r="359" spans="33:38" x14ac:dyDescent="0.25">
      <c r="AG359" s="19" t="s">
        <v>138</v>
      </c>
      <c r="AH359">
        <f t="shared" si="31"/>
        <v>7</v>
      </c>
      <c r="AI359">
        <f t="shared" si="32"/>
        <v>7</v>
      </c>
      <c r="AJ359">
        <f t="shared" si="33"/>
        <v>7</v>
      </c>
      <c r="AK359">
        <f t="shared" si="34"/>
        <v>6</v>
      </c>
      <c r="AL359">
        <f t="shared" si="35"/>
        <v>7</v>
      </c>
    </row>
    <row r="360" spans="33:38" x14ac:dyDescent="0.25">
      <c r="AG360" s="19" t="s">
        <v>139</v>
      </c>
      <c r="AH360">
        <f t="shared" si="31"/>
        <v>2</v>
      </c>
      <c r="AI360">
        <f t="shared" si="32"/>
        <v>0</v>
      </c>
      <c r="AJ360">
        <f t="shared" si="33"/>
        <v>0</v>
      </c>
      <c r="AK360">
        <f t="shared" si="34"/>
        <v>0</v>
      </c>
      <c r="AL360">
        <f t="shared" si="35"/>
        <v>2</v>
      </c>
    </row>
    <row r="361" spans="33:38" x14ac:dyDescent="0.25">
      <c r="AG361" s="19" t="s">
        <v>140</v>
      </c>
      <c r="AH361">
        <f t="shared" si="31"/>
        <v>6</v>
      </c>
      <c r="AI361">
        <f t="shared" si="32"/>
        <v>4</v>
      </c>
      <c r="AJ361">
        <f t="shared" si="33"/>
        <v>3</v>
      </c>
      <c r="AK361">
        <f t="shared" si="34"/>
        <v>1</v>
      </c>
      <c r="AL361">
        <f t="shared" si="35"/>
        <v>1</v>
      </c>
    </row>
    <row r="362" spans="33:38" x14ac:dyDescent="0.25">
      <c r="AG362" s="19" t="s">
        <v>141</v>
      </c>
      <c r="AH362">
        <f t="shared" si="31"/>
        <v>0</v>
      </c>
      <c r="AI362">
        <f t="shared" si="32"/>
        <v>0</v>
      </c>
      <c r="AJ362">
        <f t="shared" si="33"/>
        <v>0</v>
      </c>
      <c r="AK362">
        <f t="shared" si="34"/>
        <v>0</v>
      </c>
      <c r="AL362">
        <f t="shared" si="35"/>
        <v>0</v>
      </c>
    </row>
    <row r="363" spans="33:38" x14ac:dyDescent="0.25">
      <c r="AG363" s="19" t="s">
        <v>142</v>
      </c>
      <c r="AH363">
        <f t="shared" si="31"/>
        <v>1</v>
      </c>
      <c r="AI363">
        <f t="shared" si="32"/>
        <v>0</v>
      </c>
      <c r="AJ363">
        <f t="shared" si="33"/>
        <v>2</v>
      </c>
      <c r="AK363">
        <f t="shared" si="34"/>
        <v>0</v>
      </c>
      <c r="AL363">
        <f t="shared" si="35"/>
        <v>0</v>
      </c>
    </row>
    <row r="364" spans="33:38" x14ac:dyDescent="0.25">
      <c r="AG364" s="19" t="s">
        <v>143</v>
      </c>
      <c r="AH364">
        <f t="shared" si="31"/>
        <v>6</v>
      </c>
      <c r="AI364">
        <f t="shared" si="32"/>
        <v>4</v>
      </c>
      <c r="AJ364">
        <f t="shared" si="33"/>
        <v>4</v>
      </c>
      <c r="AK364">
        <f t="shared" si="34"/>
        <v>0</v>
      </c>
      <c r="AL364">
        <f t="shared" si="35"/>
        <v>0</v>
      </c>
    </row>
    <row r="365" spans="33:38" x14ac:dyDescent="0.25">
      <c r="AG365" s="19" t="s">
        <v>144</v>
      </c>
      <c r="AH365">
        <f t="shared" si="31"/>
        <v>0</v>
      </c>
      <c r="AI365">
        <f t="shared" si="32"/>
        <v>0</v>
      </c>
      <c r="AJ365">
        <f t="shared" si="33"/>
        <v>0</v>
      </c>
      <c r="AK365">
        <f t="shared" si="34"/>
        <v>0</v>
      </c>
      <c r="AL365">
        <f t="shared" si="35"/>
        <v>0</v>
      </c>
    </row>
    <row r="366" spans="33:38" x14ac:dyDescent="0.25">
      <c r="AG366" s="19" t="s">
        <v>145</v>
      </c>
      <c r="AH366">
        <f t="shared" si="31"/>
        <v>4</v>
      </c>
      <c r="AI366">
        <f t="shared" si="32"/>
        <v>5</v>
      </c>
      <c r="AJ366">
        <f t="shared" si="33"/>
        <v>2</v>
      </c>
      <c r="AK366">
        <f t="shared" si="34"/>
        <v>0</v>
      </c>
      <c r="AL366">
        <f t="shared" si="35"/>
        <v>0</v>
      </c>
    </row>
    <row r="367" spans="33:38" x14ac:dyDescent="0.25">
      <c r="AG367" s="19" t="s">
        <v>146</v>
      </c>
      <c r="AH367">
        <f t="shared" si="31"/>
        <v>6</v>
      </c>
      <c r="AI367">
        <f t="shared" si="32"/>
        <v>3</v>
      </c>
      <c r="AJ367">
        <f t="shared" si="33"/>
        <v>4</v>
      </c>
      <c r="AK367">
        <f t="shared" si="34"/>
        <v>1</v>
      </c>
      <c r="AL367">
        <f t="shared" si="35"/>
        <v>7</v>
      </c>
    </row>
    <row r="368" spans="33:38" x14ac:dyDescent="0.25">
      <c r="AG368" s="19" t="s">
        <v>147</v>
      </c>
      <c r="AH368">
        <f t="shared" si="31"/>
        <v>6</v>
      </c>
      <c r="AI368">
        <f t="shared" si="32"/>
        <v>5</v>
      </c>
      <c r="AJ368">
        <f t="shared" si="33"/>
        <v>0</v>
      </c>
      <c r="AK368">
        <f t="shared" si="34"/>
        <v>0</v>
      </c>
      <c r="AL368">
        <f t="shared" si="35"/>
        <v>0</v>
      </c>
    </row>
    <row r="369" spans="33:38" x14ac:dyDescent="0.25">
      <c r="AG369" s="19" t="s">
        <v>148</v>
      </c>
      <c r="AH369">
        <f t="shared" si="31"/>
        <v>0</v>
      </c>
      <c r="AI369">
        <f t="shared" si="32"/>
        <v>0</v>
      </c>
      <c r="AJ369">
        <f t="shared" si="33"/>
        <v>0</v>
      </c>
      <c r="AK369">
        <f t="shared" si="34"/>
        <v>0</v>
      </c>
      <c r="AL369">
        <f t="shared" si="35"/>
        <v>0</v>
      </c>
    </row>
    <row r="370" spans="33:38" x14ac:dyDescent="0.25">
      <c r="AG370" s="19" t="s">
        <v>149</v>
      </c>
      <c r="AH370">
        <f t="shared" si="31"/>
        <v>0</v>
      </c>
      <c r="AI370">
        <f t="shared" si="32"/>
        <v>0</v>
      </c>
      <c r="AJ370">
        <f t="shared" si="33"/>
        <v>0</v>
      </c>
      <c r="AK370">
        <f t="shared" si="34"/>
        <v>0</v>
      </c>
      <c r="AL370">
        <f t="shared" si="35"/>
        <v>0</v>
      </c>
    </row>
    <row r="371" spans="33:38" x14ac:dyDescent="0.25">
      <c r="AG371" s="19" t="s">
        <v>150</v>
      </c>
      <c r="AH371">
        <f t="shared" si="31"/>
        <v>6</v>
      </c>
      <c r="AI371">
        <f t="shared" si="32"/>
        <v>5</v>
      </c>
      <c r="AJ371">
        <f t="shared" si="33"/>
        <v>4</v>
      </c>
      <c r="AK371">
        <f t="shared" si="34"/>
        <v>1</v>
      </c>
      <c r="AL371">
        <f t="shared" si="35"/>
        <v>2</v>
      </c>
    </row>
    <row r="372" spans="33:38" x14ac:dyDescent="0.25">
      <c r="AG372" s="19" t="s">
        <v>151</v>
      </c>
      <c r="AH372">
        <f t="shared" si="31"/>
        <v>7</v>
      </c>
      <c r="AI372">
        <f t="shared" si="32"/>
        <v>1</v>
      </c>
      <c r="AJ372">
        <f t="shared" si="33"/>
        <v>2</v>
      </c>
      <c r="AK372">
        <f t="shared" si="34"/>
        <v>0</v>
      </c>
      <c r="AL372">
        <f t="shared" si="35"/>
        <v>3</v>
      </c>
    </row>
    <row r="373" spans="33:38" x14ac:dyDescent="0.25">
      <c r="AG373" s="19" t="s">
        <v>152</v>
      </c>
      <c r="AH373">
        <f t="shared" si="31"/>
        <v>7</v>
      </c>
      <c r="AI373">
        <f t="shared" si="32"/>
        <v>7</v>
      </c>
      <c r="AJ373">
        <f t="shared" si="33"/>
        <v>4</v>
      </c>
      <c r="AK373">
        <f t="shared" si="34"/>
        <v>1</v>
      </c>
      <c r="AL373">
        <f t="shared" si="35"/>
        <v>7</v>
      </c>
    </row>
    <row r="374" spans="33:38" x14ac:dyDescent="0.25">
      <c r="AG374" s="19" t="s">
        <v>153</v>
      </c>
      <c r="AH374">
        <f t="shared" si="31"/>
        <v>5</v>
      </c>
      <c r="AI374">
        <f t="shared" si="32"/>
        <v>4</v>
      </c>
      <c r="AJ374">
        <f t="shared" si="33"/>
        <v>0</v>
      </c>
      <c r="AK374">
        <f t="shared" si="34"/>
        <v>0</v>
      </c>
      <c r="AL374">
        <f t="shared" si="35"/>
        <v>1</v>
      </c>
    </row>
    <row r="375" spans="33:38" x14ac:dyDescent="0.25">
      <c r="AG375" s="19" t="s">
        <v>154</v>
      </c>
      <c r="AH375">
        <f t="shared" si="31"/>
        <v>4</v>
      </c>
      <c r="AI375">
        <f t="shared" si="32"/>
        <v>1</v>
      </c>
      <c r="AJ375">
        <f t="shared" si="33"/>
        <v>0</v>
      </c>
      <c r="AK375">
        <f t="shared" si="34"/>
        <v>0</v>
      </c>
      <c r="AL375">
        <f t="shared" si="35"/>
        <v>1</v>
      </c>
    </row>
    <row r="376" spans="33:38" x14ac:dyDescent="0.25">
      <c r="AG376" s="19" t="s">
        <v>155</v>
      </c>
      <c r="AH376">
        <f t="shared" si="31"/>
        <v>6</v>
      </c>
      <c r="AI376">
        <f t="shared" si="32"/>
        <v>0</v>
      </c>
      <c r="AJ376">
        <f t="shared" si="33"/>
        <v>0</v>
      </c>
      <c r="AK376">
        <f t="shared" si="34"/>
        <v>1</v>
      </c>
      <c r="AL376">
        <f t="shared" si="35"/>
        <v>6</v>
      </c>
    </row>
    <row r="377" spans="33:38" x14ac:dyDescent="0.25">
      <c r="AG377" s="19" t="s">
        <v>156</v>
      </c>
      <c r="AH377">
        <f t="shared" si="31"/>
        <v>6</v>
      </c>
      <c r="AI377">
        <f t="shared" si="32"/>
        <v>4</v>
      </c>
      <c r="AJ377">
        <f t="shared" si="33"/>
        <v>0</v>
      </c>
      <c r="AK377">
        <f t="shared" si="34"/>
        <v>0</v>
      </c>
      <c r="AL377">
        <f t="shared" si="35"/>
        <v>4</v>
      </c>
    </row>
    <row r="378" spans="33:38" x14ac:dyDescent="0.25">
      <c r="AG378" s="19" t="s">
        <v>157</v>
      </c>
      <c r="AH378">
        <f t="shared" si="31"/>
        <v>0</v>
      </c>
      <c r="AI378">
        <f t="shared" si="32"/>
        <v>0</v>
      </c>
      <c r="AJ378">
        <f t="shared" si="33"/>
        <v>0</v>
      </c>
      <c r="AK378">
        <f t="shared" si="34"/>
        <v>0</v>
      </c>
      <c r="AL378">
        <f t="shared" si="35"/>
        <v>0</v>
      </c>
    </row>
    <row r="379" spans="33:38" x14ac:dyDescent="0.25">
      <c r="AG379" s="19" t="s">
        <v>158</v>
      </c>
      <c r="AH379">
        <f t="shared" si="31"/>
        <v>4</v>
      </c>
      <c r="AI379">
        <f t="shared" si="32"/>
        <v>6</v>
      </c>
      <c r="AJ379">
        <f t="shared" si="33"/>
        <v>4</v>
      </c>
      <c r="AK379">
        <f t="shared" si="34"/>
        <v>1</v>
      </c>
      <c r="AL379">
        <f t="shared" si="35"/>
        <v>5</v>
      </c>
    </row>
    <row r="380" spans="33:38" x14ac:dyDescent="0.25">
      <c r="AG380" s="19" t="s">
        <v>159</v>
      </c>
      <c r="AH380">
        <f t="shared" si="31"/>
        <v>1</v>
      </c>
      <c r="AI380">
        <f t="shared" si="32"/>
        <v>2</v>
      </c>
      <c r="AJ380">
        <f t="shared" si="33"/>
        <v>0</v>
      </c>
      <c r="AK380">
        <f t="shared" si="34"/>
        <v>0</v>
      </c>
      <c r="AL380">
        <f t="shared" si="35"/>
        <v>0</v>
      </c>
    </row>
    <row r="381" spans="33:38" x14ac:dyDescent="0.25">
      <c r="AG381" s="19" t="s">
        <v>160</v>
      </c>
      <c r="AH381">
        <f t="shared" si="31"/>
        <v>1</v>
      </c>
      <c r="AI381">
        <f t="shared" si="32"/>
        <v>0</v>
      </c>
      <c r="AJ381">
        <f t="shared" si="33"/>
        <v>0</v>
      </c>
      <c r="AK381">
        <f t="shared" si="34"/>
        <v>0</v>
      </c>
      <c r="AL381">
        <f t="shared" si="35"/>
        <v>0</v>
      </c>
    </row>
    <row r="382" spans="33:38" x14ac:dyDescent="0.25">
      <c r="AG382" s="19" t="s">
        <v>161</v>
      </c>
      <c r="AH382">
        <f t="shared" si="31"/>
        <v>1</v>
      </c>
      <c r="AI382">
        <f t="shared" si="32"/>
        <v>0</v>
      </c>
      <c r="AJ382">
        <f t="shared" si="33"/>
        <v>0</v>
      </c>
      <c r="AK382">
        <f t="shared" si="34"/>
        <v>0</v>
      </c>
      <c r="AL382">
        <f t="shared" si="35"/>
        <v>1</v>
      </c>
    </row>
    <row r="383" spans="33:38" x14ac:dyDescent="0.25">
      <c r="AG383" s="19" t="s">
        <v>162</v>
      </c>
      <c r="AH383">
        <f t="shared" si="31"/>
        <v>0</v>
      </c>
      <c r="AI383">
        <f t="shared" si="32"/>
        <v>2</v>
      </c>
      <c r="AJ383">
        <f t="shared" si="33"/>
        <v>1</v>
      </c>
      <c r="AK383">
        <f t="shared" si="34"/>
        <v>1</v>
      </c>
      <c r="AL383">
        <f t="shared" si="35"/>
        <v>4</v>
      </c>
    </row>
    <row r="384" spans="33:38" x14ac:dyDescent="0.25">
      <c r="AG384" s="19" t="s">
        <v>163</v>
      </c>
      <c r="AH384">
        <f t="shared" si="31"/>
        <v>4</v>
      </c>
      <c r="AI384">
        <f t="shared" si="32"/>
        <v>5</v>
      </c>
      <c r="AJ384">
        <f t="shared" si="33"/>
        <v>2</v>
      </c>
      <c r="AK384">
        <f t="shared" si="34"/>
        <v>2</v>
      </c>
      <c r="AL384">
        <f t="shared" si="35"/>
        <v>3</v>
      </c>
    </row>
    <row r="385" spans="33:38" x14ac:dyDescent="0.25">
      <c r="AG385" s="19" t="s">
        <v>164</v>
      </c>
      <c r="AH385">
        <f t="shared" si="31"/>
        <v>3</v>
      </c>
      <c r="AI385">
        <f t="shared" si="32"/>
        <v>6</v>
      </c>
      <c r="AJ385">
        <f t="shared" si="33"/>
        <v>1</v>
      </c>
      <c r="AK385">
        <f t="shared" si="34"/>
        <v>1</v>
      </c>
      <c r="AL385">
        <f t="shared" si="35"/>
        <v>3</v>
      </c>
    </row>
    <row r="386" spans="33:38" x14ac:dyDescent="0.25">
      <c r="AG386" s="19" t="s">
        <v>165</v>
      </c>
      <c r="AH386">
        <f t="shared" si="31"/>
        <v>3</v>
      </c>
      <c r="AI386">
        <f t="shared" si="32"/>
        <v>2</v>
      </c>
      <c r="AJ386">
        <f t="shared" si="33"/>
        <v>5</v>
      </c>
      <c r="AK386">
        <f t="shared" si="34"/>
        <v>3</v>
      </c>
      <c r="AL386">
        <f t="shared" si="35"/>
        <v>4</v>
      </c>
    </row>
    <row r="387" spans="33:38" x14ac:dyDescent="0.25">
      <c r="AG387" s="19" t="s">
        <v>166</v>
      </c>
      <c r="AH387">
        <f t="shared" si="31"/>
        <v>7</v>
      </c>
      <c r="AI387">
        <f t="shared" si="32"/>
        <v>7</v>
      </c>
      <c r="AJ387">
        <f t="shared" si="33"/>
        <v>3</v>
      </c>
      <c r="AK387">
        <f t="shared" si="34"/>
        <v>1</v>
      </c>
      <c r="AL387">
        <f t="shared" si="35"/>
        <v>7</v>
      </c>
    </row>
    <row r="388" spans="33:38" x14ac:dyDescent="0.25">
      <c r="AG388" s="19" t="s">
        <v>167</v>
      </c>
      <c r="AH388">
        <f t="shared" si="31"/>
        <v>6</v>
      </c>
      <c r="AI388">
        <f t="shared" si="32"/>
        <v>4</v>
      </c>
      <c r="AJ388">
        <f t="shared" si="33"/>
        <v>2</v>
      </c>
      <c r="AK388">
        <f t="shared" si="34"/>
        <v>2</v>
      </c>
      <c r="AL388">
        <f t="shared" si="35"/>
        <v>6</v>
      </c>
    </row>
    <row r="389" spans="33:38" x14ac:dyDescent="0.25">
      <c r="AG389" s="19" t="s">
        <v>168</v>
      </c>
      <c r="AH389">
        <f t="shared" si="31"/>
        <v>4</v>
      </c>
      <c r="AI389">
        <f t="shared" si="32"/>
        <v>4</v>
      </c>
      <c r="AJ389">
        <f t="shared" si="33"/>
        <v>0</v>
      </c>
      <c r="AK389">
        <f t="shared" si="34"/>
        <v>0</v>
      </c>
      <c r="AL389">
        <f t="shared" si="35"/>
        <v>0</v>
      </c>
    </row>
    <row r="390" spans="33:38" x14ac:dyDescent="0.25">
      <c r="AG390" s="19" t="s">
        <v>169</v>
      </c>
      <c r="AH390">
        <f t="shared" si="31"/>
        <v>7</v>
      </c>
      <c r="AI390">
        <f t="shared" si="32"/>
        <v>6</v>
      </c>
      <c r="AJ390">
        <f t="shared" si="33"/>
        <v>4</v>
      </c>
      <c r="AK390">
        <f t="shared" si="34"/>
        <v>4</v>
      </c>
      <c r="AL390">
        <f t="shared" si="35"/>
        <v>7</v>
      </c>
    </row>
    <row r="391" spans="33:38" x14ac:dyDescent="0.25">
      <c r="AG391" s="19" t="s">
        <v>170</v>
      </c>
      <c r="AH391">
        <f t="shared" si="31"/>
        <v>4</v>
      </c>
      <c r="AI391">
        <f t="shared" si="32"/>
        <v>3</v>
      </c>
      <c r="AJ391">
        <f t="shared" si="33"/>
        <v>1</v>
      </c>
      <c r="AK391">
        <f t="shared" si="34"/>
        <v>1</v>
      </c>
      <c r="AL391">
        <f t="shared" si="35"/>
        <v>6</v>
      </c>
    </row>
    <row r="392" spans="33:38" x14ac:dyDescent="0.25">
      <c r="AG392" s="19" t="s">
        <v>171</v>
      </c>
      <c r="AH392">
        <f t="shared" si="31"/>
        <v>0</v>
      </c>
      <c r="AI392">
        <f t="shared" si="32"/>
        <v>2</v>
      </c>
      <c r="AJ392">
        <f t="shared" si="33"/>
        <v>0</v>
      </c>
      <c r="AK392">
        <f t="shared" si="34"/>
        <v>0</v>
      </c>
      <c r="AL392">
        <f t="shared" si="35"/>
        <v>5</v>
      </c>
    </row>
    <row r="393" spans="33:38" x14ac:dyDescent="0.25">
      <c r="AG393" s="19" t="s">
        <v>172</v>
      </c>
      <c r="AH393">
        <f t="shared" si="31"/>
        <v>6</v>
      </c>
      <c r="AI393">
        <f t="shared" si="32"/>
        <v>4</v>
      </c>
      <c r="AJ393">
        <f t="shared" si="33"/>
        <v>0</v>
      </c>
      <c r="AK393">
        <f t="shared" si="34"/>
        <v>0</v>
      </c>
      <c r="AL393">
        <f t="shared" si="35"/>
        <v>1</v>
      </c>
    </row>
    <row r="394" spans="33:38" x14ac:dyDescent="0.25">
      <c r="AG394" s="19" t="s">
        <v>173</v>
      </c>
      <c r="AH394">
        <f t="shared" si="31"/>
        <v>7</v>
      </c>
      <c r="AI394">
        <f t="shared" si="32"/>
        <v>7</v>
      </c>
      <c r="AJ394">
        <f t="shared" si="33"/>
        <v>5</v>
      </c>
      <c r="AK394">
        <f t="shared" si="34"/>
        <v>5</v>
      </c>
      <c r="AL394">
        <f t="shared" si="35"/>
        <v>7</v>
      </c>
    </row>
    <row r="395" spans="33:38" x14ac:dyDescent="0.25">
      <c r="AG395" s="19" t="s">
        <v>174</v>
      </c>
      <c r="AH395">
        <f t="shared" si="31"/>
        <v>0</v>
      </c>
      <c r="AI395">
        <f t="shared" si="32"/>
        <v>0</v>
      </c>
      <c r="AJ395">
        <f t="shared" si="33"/>
        <v>0</v>
      </c>
      <c r="AK395">
        <f t="shared" si="34"/>
        <v>0</v>
      </c>
      <c r="AL395">
        <f t="shared" si="35"/>
        <v>0</v>
      </c>
    </row>
    <row r="396" spans="33:38" x14ac:dyDescent="0.25">
      <c r="AG396" s="19" t="s">
        <v>175</v>
      </c>
      <c r="AH396">
        <f t="shared" si="31"/>
        <v>7</v>
      </c>
      <c r="AI396">
        <f t="shared" si="32"/>
        <v>7</v>
      </c>
      <c r="AJ396">
        <f t="shared" si="33"/>
        <v>7</v>
      </c>
      <c r="AK396">
        <f t="shared" si="34"/>
        <v>4</v>
      </c>
      <c r="AL396">
        <f t="shared" si="35"/>
        <v>0</v>
      </c>
    </row>
    <row r="397" spans="33:38" x14ac:dyDescent="0.25">
      <c r="AG397" s="19" t="s">
        <v>176</v>
      </c>
      <c r="AH397">
        <f t="shared" si="31"/>
        <v>7</v>
      </c>
      <c r="AI397">
        <f t="shared" si="32"/>
        <v>6</v>
      </c>
      <c r="AJ397">
        <f t="shared" si="33"/>
        <v>3</v>
      </c>
      <c r="AK397">
        <f t="shared" si="34"/>
        <v>5</v>
      </c>
      <c r="AL397">
        <f t="shared" si="35"/>
        <v>6</v>
      </c>
    </row>
    <row r="398" spans="33:38" x14ac:dyDescent="0.25">
      <c r="AG398" s="19" t="s">
        <v>177</v>
      </c>
      <c r="AH398">
        <f t="shared" si="31"/>
        <v>7</v>
      </c>
      <c r="AI398">
        <f t="shared" si="32"/>
        <v>6</v>
      </c>
      <c r="AJ398">
        <f t="shared" si="33"/>
        <v>5</v>
      </c>
      <c r="AK398">
        <f t="shared" si="34"/>
        <v>3</v>
      </c>
      <c r="AL398">
        <f t="shared" si="35"/>
        <v>7</v>
      </c>
    </row>
    <row r="399" spans="33:38" x14ac:dyDescent="0.25">
      <c r="AG399" s="19" t="s">
        <v>178</v>
      </c>
      <c r="AH399">
        <f t="shared" si="31"/>
        <v>2</v>
      </c>
      <c r="AI399">
        <f t="shared" si="32"/>
        <v>0</v>
      </c>
      <c r="AJ399">
        <f t="shared" si="33"/>
        <v>0</v>
      </c>
      <c r="AK399">
        <f t="shared" si="34"/>
        <v>0</v>
      </c>
      <c r="AL399">
        <f t="shared" si="35"/>
        <v>0</v>
      </c>
    </row>
    <row r="400" spans="33:38" x14ac:dyDescent="0.25">
      <c r="AG400" s="19" t="s">
        <v>179</v>
      </c>
      <c r="AH400">
        <f t="shared" si="31"/>
        <v>0</v>
      </c>
      <c r="AI400">
        <f t="shared" si="32"/>
        <v>0</v>
      </c>
      <c r="AJ400">
        <f t="shared" si="33"/>
        <v>0</v>
      </c>
      <c r="AK400">
        <f t="shared" si="34"/>
        <v>0</v>
      </c>
      <c r="AL400">
        <f t="shared" si="35"/>
        <v>0</v>
      </c>
    </row>
    <row r="401" spans="33:38" x14ac:dyDescent="0.25">
      <c r="AG401" s="19" t="s">
        <v>180</v>
      </c>
      <c r="AH401">
        <f t="shared" si="31"/>
        <v>0</v>
      </c>
      <c r="AI401">
        <f t="shared" si="32"/>
        <v>1</v>
      </c>
      <c r="AJ401">
        <f t="shared" si="33"/>
        <v>0</v>
      </c>
      <c r="AK401">
        <f t="shared" si="34"/>
        <v>0</v>
      </c>
      <c r="AL401">
        <f t="shared" si="35"/>
        <v>0</v>
      </c>
    </row>
    <row r="402" spans="33:38" x14ac:dyDescent="0.25">
      <c r="AG402" s="19" t="s">
        <v>181</v>
      </c>
      <c r="AH402">
        <f t="shared" si="31"/>
        <v>2</v>
      </c>
      <c r="AI402">
        <f t="shared" si="32"/>
        <v>6</v>
      </c>
      <c r="AJ402">
        <f t="shared" si="33"/>
        <v>2</v>
      </c>
      <c r="AK402">
        <f t="shared" si="34"/>
        <v>1</v>
      </c>
      <c r="AL402">
        <f t="shared" si="35"/>
        <v>6</v>
      </c>
    </row>
    <row r="403" spans="33:38" x14ac:dyDescent="0.25">
      <c r="AG403" s="19" t="s">
        <v>182</v>
      </c>
      <c r="AH403">
        <f t="shared" si="31"/>
        <v>0</v>
      </c>
      <c r="AI403">
        <f t="shared" si="32"/>
        <v>0</v>
      </c>
      <c r="AJ403">
        <f t="shared" si="33"/>
        <v>0</v>
      </c>
      <c r="AK403">
        <f t="shared" si="34"/>
        <v>0</v>
      </c>
      <c r="AL403">
        <f t="shared" si="35"/>
        <v>0</v>
      </c>
    </row>
    <row r="404" spans="33:38" x14ac:dyDescent="0.25">
      <c r="AG404" s="19" t="s">
        <v>183</v>
      </c>
      <c r="AH404">
        <f t="shared" si="31"/>
        <v>0</v>
      </c>
      <c r="AI404">
        <f t="shared" si="32"/>
        <v>0</v>
      </c>
      <c r="AJ404">
        <f t="shared" si="33"/>
        <v>0</v>
      </c>
      <c r="AK404">
        <f t="shared" si="34"/>
        <v>0</v>
      </c>
      <c r="AL404">
        <f t="shared" si="35"/>
        <v>1</v>
      </c>
    </row>
    <row r="405" spans="33:38" x14ac:dyDescent="0.25">
      <c r="AG405" s="19" t="s">
        <v>184</v>
      </c>
      <c r="AH405">
        <f t="shared" si="31"/>
        <v>1</v>
      </c>
      <c r="AI405">
        <f t="shared" si="32"/>
        <v>4</v>
      </c>
      <c r="AJ405">
        <f t="shared" si="33"/>
        <v>3</v>
      </c>
      <c r="AK405">
        <f t="shared" si="34"/>
        <v>0</v>
      </c>
      <c r="AL405">
        <f t="shared" si="35"/>
        <v>5</v>
      </c>
    </row>
    <row r="406" spans="33:38" x14ac:dyDescent="0.25">
      <c r="AG406" s="19" t="s">
        <v>185</v>
      </c>
      <c r="AH406">
        <f t="shared" si="31"/>
        <v>1</v>
      </c>
      <c r="AI406">
        <f t="shared" si="32"/>
        <v>1</v>
      </c>
      <c r="AJ406">
        <f t="shared" si="33"/>
        <v>0</v>
      </c>
      <c r="AK406">
        <f t="shared" si="34"/>
        <v>0</v>
      </c>
      <c r="AL406">
        <f t="shared" si="35"/>
        <v>0</v>
      </c>
    </row>
    <row r="407" spans="33:38" x14ac:dyDescent="0.25">
      <c r="AG407" s="19" t="s">
        <v>186</v>
      </c>
      <c r="AH407">
        <f t="shared" si="31"/>
        <v>7</v>
      </c>
      <c r="AI407">
        <f t="shared" si="32"/>
        <v>7</v>
      </c>
      <c r="AJ407">
        <f t="shared" si="33"/>
        <v>4</v>
      </c>
      <c r="AK407">
        <f t="shared" si="34"/>
        <v>1</v>
      </c>
      <c r="AL407">
        <f t="shared" si="35"/>
        <v>7</v>
      </c>
    </row>
    <row r="408" spans="33:38" x14ac:dyDescent="0.25">
      <c r="AG408" s="19" t="s">
        <v>279</v>
      </c>
      <c r="AH408">
        <f t="shared" si="31"/>
        <v>0</v>
      </c>
      <c r="AI408">
        <f t="shared" si="32"/>
        <v>0</v>
      </c>
      <c r="AJ408">
        <f t="shared" si="33"/>
        <v>0</v>
      </c>
      <c r="AK408">
        <f t="shared" si="34"/>
        <v>0</v>
      </c>
      <c r="AL408">
        <f t="shared" si="35"/>
        <v>0</v>
      </c>
    </row>
    <row r="409" spans="33:38" x14ac:dyDescent="0.25">
      <c r="AG409" s="19" t="s">
        <v>187</v>
      </c>
      <c r="AH409">
        <f t="shared" si="31"/>
        <v>0</v>
      </c>
      <c r="AI409">
        <f t="shared" si="32"/>
        <v>0</v>
      </c>
      <c r="AJ409">
        <f t="shared" si="33"/>
        <v>0</v>
      </c>
      <c r="AK409">
        <f t="shared" si="34"/>
        <v>0</v>
      </c>
      <c r="AL409">
        <f t="shared" si="35"/>
        <v>0</v>
      </c>
    </row>
    <row r="410" spans="33:38" x14ac:dyDescent="0.25">
      <c r="AG410" s="19" t="s">
        <v>188</v>
      </c>
      <c r="AH410">
        <f>COUNTIF($AH126:$AN126,"&gt;=95%")</f>
        <v>0</v>
      </c>
      <c r="AI410">
        <f>COUNTIF($AP126:$AV126,"&gt;=95%")</f>
        <v>1</v>
      </c>
      <c r="AJ410">
        <f t="shared" si="33"/>
        <v>0</v>
      </c>
      <c r="AK410">
        <f t="shared" si="34"/>
        <v>0</v>
      </c>
      <c r="AL410">
        <f t="shared" si="35"/>
        <v>2</v>
      </c>
    </row>
    <row r="411" spans="33:38" x14ac:dyDescent="0.25">
      <c r="AG411" s="19" t="s">
        <v>189</v>
      </c>
      <c r="AH411">
        <f>COUNTIF($AH127:$AN127,"&gt;=95%")</f>
        <v>6</v>
      </c>
      <c r="AI411">
        <f t="shared" si="32"/>
        <v>3</v>
      </c>
      <c r="AJ411">
        <f t="shared" si="33"/>
        <v>3</v>
      </c>
      <c r="AK411">
        <f t="shared" si="34"/>
        <v>1</v>
      </c>
      <c r="AL411">
        <f t="shared" si="35"/>
        <v>7</v>
      </c>
    </row>
    <row r="412" spans="33:38" x14ac:dyDescent="0.25">
      <c r="AG412" s="19" t="s">
        <v>265</v>
      </c>
      <c r="AH412">
        <f>COUNTIF($AH128:$AN128,"&gt;=95%")</f>
        <v>6</v>
      </c>
      <c r="AI412">
        <f>COUNTIF($AP128:$AV128,"&gt;=95%")</f>
        <v>7</v>
      </c>
      <c r="AJ412">
        <f t="shared" si="33"/>
        <v>4</v>
      </c>
      <c r="AK412">
        <f t="shared" si="34"/>
        <v>1</v>
      </c>
      <c r="AL412">
        <f t="shared" si="35"/>
        <v>7</v>
      </c>
    </row>
    <row r="413" spans="33:38" x14ac:dyDescent="0.25">
      <c r="AG413" s="19" t="s">
        <v>190</v>
      </c>
      <c r="AH413">
        <f t="shared" si="31"/>
        <v>7</v>
      </c>
      <c r="AI413">
        <f>COUNTIF($AP129:$AV129,"&gt;=95%")</f>
        <v>7</v>
      </c>
      <c r="AJ413">
        <f t="shared" si="33"/>
        <v>7</v>
      </c>
      <c r="AK413">
        <f t="shared" si="34"/>
        <v>6</v>
      </c>
      <c r="AL413">
        <f t="shared" si="35"/>
        <v>7</v>
      </c>
    </row>
    <row r="414" spans="33:38" x14ac:dyDescent="0.25">
      <c r="AG414" s="19" t="s">
        <v>191</v>
      </c>
      <c r="AH414">
        <f t="shared" si="31"/>
        <v>0</v>
      </c>
      <c r="AI414">
        <f>COUNTIF($AP130:$AV130,"&gt;=95%")</f>
        <v>0</v>
      </c>
      <c r="AJ414">
        <f t="shared" si="33"/>
        <v>0</v>
      </c>
      <c r="AK414">
        <f t="shared" si="34"/>
        <v>0</v>
      </c>
      <c r="AL414">
        <f t="shared" si="35"/>
        <v>0</v>
      </c>
    </row>
    <row r="415" spans="33:38" x14ac:dyDescent="0.25">
      <c r="AG415" s="19" t="s">
        <v>192</v>
      </c>
      <c r="AH415">
        <f t="shared" si="31"/>
        <v>0</v>
      </c>
      <c r="AI415">
        <f>COUNTIF($AP131:$AV131,"&gt;=95%")</f>
        <v>0</v>
      </c>
      <c r="AJ415">
        <f t="shared" si="33"/>
        <v>1</v>
      </c>
      <c r="AK415">
        <f t="shared" si="34"/>
        <v>0</v>
      </c>
      <c r="AL415">
        <f t="shared" si="35"/>
        <v>0</v>
      </c>
    </row>
    <row r="416" spans="33:38" x14ac:dyDescent="0.25">
      <c r="AG416" s="19" t="s">
        <v>193</v>
      </c>
      <c r="AH416">
        <f t="shared" si="31"/>
        <v>5</v>
      </c>
      <c r="AI416">
        <f t="shared" si="32"/>
        <v>5</v>
      </c>
      <c r="AJ416">
        <f t="shared" si="33"/>
        <v>3</v>
      </c>
      <c r="AK416">
        <f t="shared" si="34"/>
        <v>4</v>
      </c>
      <c r="AL416">
        <f t="shared" si="35"/>
        <v>7</v>
      </c>
    </row>
    <row r="417" spans="33:47" x14ac:dyDescent="0.25">
      <c r="AG417" s="19" t="s">
        <v>194</v>
      </c>
      <c r="AH417">
        <f t="shared" si="31"/>
        <v>6</v>
      </c>
      <c r="AI417">
        <f t="shared" si="32"/>
        <v>1</v>
      </c>
      <c r="AJ417">
        <f t="shared" si="33"/>
        <v>1</v>
      </c>
      <c r="AK417">
        <f t="shared" si="34"/>
        <v>2</v>
      </c>
      <c r="AL417">
        <f t="shared" si="35"/>
        <v>4</v>
      </c>
    </row>
    <row r="418" spans="33:47" x14ac:dyDescent="0.25">
      <c r="AG418" s="19" t="s">
        <v>195</v>
      </c>
      <c r="AH418">
        <f t="shared" si="31"/>
        <v>7</v>
      </c>
      <c r="AI418">
        <f t="shared" si="32"/>
        <v>7</v>
      </c>
      <c r="AJ418">
        <f t="shared" si="33"/>
        <v>6</v>
      </c>
      <c r="AK418">
        <f t="shared" si="34"/>
        <v>5</v>
      </c>
      <c r="AL418">
        <f t="shared" si="35"/>
        <v>7</v>
      </c>
    </row>
    <row r="419" spans="33:47" x14ac:dyDescent="0.25">
      <c r="AG419" s="19" t="s">
        <v>196</v>
      </c>
      <c r="AH419">
        <f t="shared" si="31"/>
        <v>7</v>
      </c>
      <c r="AI419">
        <f t="shared" si="32"/>
        <v>5</v>
      </c>
      <c r="AJ419">
        <f t="shared" si="33"/>
        <v>4</v>
      </c>
      <c r="AK419">
        <f t="shared" si="34"/>
        <v>3</v>
      </c>
      <c r="AL419">
        <f t="shared" si="35"/>
        <v>7</v>
      </c>
    </row>
    <row r="420" spans="33:47" x14ac:dyDescent="0.25">
      <c r="AG420" s="19" t="s">
        <v>197</v>
      </c>
      <c r="AH420">
        <f t="shared" si="31"/>
        <v>7</v>
      </c>
      <c r="AI420">
        <f t="shared" si="32"/>
        <v>7</v>
      </c>
      <c r="AJ420">
        <f t="shared" si="33"/>
        <v>7</v>
      </c>
      <c r="AK420">
        <f t="shared" si="34"/>
        <v>6</v>
      </c>
      <c r="AL420">
        <f t="shared" si="35"/>
        <v>7</v>
      </c>
    </row>
    <row r="421" spans="33:47" x14ac:dyDescent="0.25">
      <c r="AG421" s="19" t="s">
        <v>198</v>
      </c>
      <c r="AH421">
        <f>COUNTIF($AH137:$AN137,"&gt;=95%")</f>
        <v>7</v>
      </c>
      <c r="AI421">
        <f t="shared" ref="AI421:AI425" si="36">COUNTIF($AP137:$AV137,"&gt;=95%")</f>
        <v>7</v>
      </c>
      <c r="AJ421">
        <f t="shared" ref="AJ421:AJ425" si="37">COUNTIF($AX137:$BD137,"&gt;=95%")</f>
        <v>7</v>
      </c>
      <c r="AK421">
        <f t="shared" ref="AK421:AK425" si="38">COUNTIF($BF137:$BL137,"&gt;=95%")</f>
        <v>7</v>
      </c>
      <c r="AL421">
        <f t="shared" ref="AL421:AL425" si="39">COUNTIF($BN137:$BT137,"&gt;=95%")</f>
        <v>7</v>
      </c>
    </row>
    <row r="422" spans="33:47" x14ac:dyDescent="0.25">
      <c r="AG422" s="19" t="s">
        <v>199</v>
      </c>
      <c r="AH422">
        <f t="shared" ref="AH422:AH425" si="40">COUNTIF($AH138:$AN138,"&gt;=95%")</f>
        <v>4</v>
      </c>
      <c r="AI422">
        <f t="shared" si="36"/>
        <v>6</v>
      </c>
      <c r="AJ422">
        <f t="shared" si="37"/>
        <v>1</v>
      </c>
      <c r="AK422">
        <f t="shared" si="38"/>
        <v>3</v>
      </c>
      <c r="AL422">
        <f t="shared" si="39"/>
        <v>3</v>
      </c>
    </row>
    <row r="423" spans="33:47" x14ac:dyDescent="0.25">
      <c r="AG423" s="19" t="s">
        <v>200</v>
      </c>
      <c r="AH423">
        <f t="shared" si="40"/>
        <v>6</v>
      </c>
      <c r="AI423">
        <f t="shared" si="36"/>
        <v>3</v>
      </c>
      <c r="AJ423">
        <f t="shared" si="37"/>
        <v>3</v>
      </c>
      <c r="AK423">
        <f t="shared" si="38"/>
        <v>0</v>
      </c>
      <c r="AL423">
        <f t="shared" si="39"/>
        <v>3</v>
      </c>
    </row>
    <row r="424" spans="33:47" x14ac:dyDescent="0.25">
      <c r="AG424" s="19" t="s">
        <v>201</v>
      </c>
      <c r="AH424">
        <f t="shared" si="40"/>
        <v>0</v>
      </c>
      <c r="AI424">
        <f t="shared" si="36"/>
        <v>0</v>
      </c>
      <c r="AJ424">
        <f t="shared" si="37"/>
        <v>0</v>
      </c>
      <c r="AK424">
        <f t="shared" si="38"/>
        <v>0</v>
      </c>
      <c r="AL424">
        <f t="shared" si="39"/>
        <v>0</v>
      </c>
    </row>
    <row r="425" spans="33:47" x14ac:dyDescent="0.25">
      <c r="AG425" s="19" t="s">
        <v>202</v>
      </c>
      <c r="AH425">
        <f t="shared" si="40"/>
        <v>0</v>
      </c>
      <c r="AI425">
        <f t="shared" si="36"/>
        <v>0</v>
      </c>
      <c r="AJ425">
        <f t="shared" si="37"/>
        <v>0</v>
      </c>
      <c r="AK425">
        <f t="shared" si="38"/>
        <v>0</v>
      </c>
      <c r="AL425">
        <f t="shared" si="39"/>
        <v>1</v>
      </c>
    </row>
    <row r="426" spans="33:47" x14ac:dyDescent="0.25">
      <c r="AG426" s="19"/>
    </row>
    <row r="427" spans="33:47" x14ac:dyDescent="0.25">
      <c r="AG427" s="19"/>
    </row>
    <row r="428" spans="33:47" x14ac:dyDescent="0.25">
      <c r="AG428" s="19"/>
    </row>
    <row r="431" spans="33:47" x14ac:dyDescent="0.25">
      <c r="AG431" s="33">
        <v>1</v>
      </c>
      <c r="AH431" s="27" t="s">
        <v>51</v>
      </c>
      <c r="AI431" s="27" t="s">
        <v>52</v>
      </c>
      <c r="AJ431" s="27" t="s">
        <v>53</v>
      </c>
      <c r="AK431" s="27" t="s">
        <v>54</v>
      </c>
      <c r="AL431" s="27" t="s">
        <v>55</v>
      </c>
      <c r="AM431" s="27" t="s">
        <v>56</v>
      </c>
      <c r="AN431" s="27" t="s">
        <v>57</v>
      </c>
      <c r="AO431" s="27" t="s">
        <v>58</v>
      </c>
      <c r="AP431" s="27" t="s">
        <v>59</v>
      </c>
      <c r="AQ431" s="27" t="s">
        <v>60</v>
      </c>
      <c r="AR431" s="27" t="s">
        <v>61</v>
      </c>
      <c r="AS431" s="27" t="s">
        <v>62</v>
      </c>
      <c r="AT431" s="27" t="s">
        <v>63</v>
      </c>
      <c r="AU431" s="27" t="s">
        <v>64</v>
      </c>
    </row>
    <row r="432" spans="33:47" x14ac:dyDescent="0.25">
      <c r="AG432" s="33" t="s">
        <v>42</v>
      </c>
      <c r="AH432" s="27">
        <f t="shared" ref="AH432:AK432" si="41">COUNTIF(AH433:AH566,"&gt;0")</f>
        <v>14</v>
      </c>
      <c r="AI432" s="27">
        <f t="shared" si="41"/>
        <v>9</v>
      </c>
      <c r="AJ432" s="27">
        <f t="shared" si="41"/>
        <v>7</v>
      </c>
      <c r="AK432" s="27">
        <f t="shared" si="41"/>
        <v>6</v>
      </c>
      <c r="AL432" s="27">
        <f>IF(COUNTIF(AL433:AL566,"&gt;0")=0,"",COUNTIF(AL433:AL566,"&gt;0"))</f>
        <v>15</v>
      </c>
      <c r="AM432" s="27" t="str">
        <f t="shared" ref="AM432:AU432" si="42">IF(COUNTIF(AM433:AM566,"&gt;0")=0,"",COUNTIF(AM433:AM566,"&gt;0"))</f>
        <v/>
      </c>
      <c r="AN432" s="27" t="str">
        <f t="shared" si="42"/>
        <v/>
      </c>
      <c r="AO432" s="27" t="str">
        <f t="shared" si="42"/>
        <v/>
      </c>
      <c r="AP432" s="27" t="str">
        <f t="shared" si="42"/>
        <v/>
      </c>
      <c r="AQ432" s="27" t="str">
        <f t="shared" si="42"/>
        <v/>
      </c>
      <c r="AR432" s="27" t="str">
        <f t="shared" si="42"/>
        <v/>
      </c>
      <c r="AS432" s="27" t="str">
        <f t="shared" si="42"/>
        <v/>
      </c>
      <c r="AT432" s="27" t="str">
        <f t="shared" si="42"/>
        <v/>
      </c>
      <c r="AU432" s="27" t="str">
        <f t="shared" si="42"/>
        <v/>
      </c>
    </row>
    <row r="433" spans="33:38" x14ac:dyDescent="0.25">
      <c r="AG433" s="19" t="s">
        <v>73</v>
      </c>
      <c r="AH433">
        <f>COUNTIF($AH8:$AN8,"&gt;=100%")</f>
        <v>0</v>
      </c>
      <c r="AI433">
        <f>COUNTIF($AP8:$AV8,"&gt;=100%")</f>
        <v>0</v>
      </c>
      <c r="AJ433">
        <f>COUNTIF($AX8:$BD8,"&gt;=100%")</f>
        <v>0</v>
      </c>
      <c r="AK433">
        <f>COUNTIF($BF8:$BL8,"&gt;=100%")</f>
        <v>0</v>
      </c>
      <c r="AL433">
        <f>COUNTIF($BN8:$BT8,"&gt;=100%")</f>
        <v>0</v>
      </c>
    </row>
    <row r="434" spans="33:38" x14ac:dyDescent="0.25">
      <c r="AG434" s="19" t="s">
        <v>74</v>
      </c>
      <c r="AH434">
        <f t="shared" ref="AH434:AH497" si="43">COUNTIF($AH9:$AN9,"&gt;=100%")</f>
        <v>0</v>
      </c>
      <c r="AI434">
        <f t="shared" ref="AI434:AI497" si="44">COUNTIF($AP9:$AV9,"&gt;=100%")</f>
        <v>0</v>
      </c>
      <c r="AJ434">
        <f t="shared" ref="AJ434:AJ497" si="45">COUNTIF($AX9:$BD9,"&gt;=100%")</f>
        <v>0</v>
      </c>
      <c r="AK434">
        <f t="shared" ref="AK434:AK497" si="46">COUNTIF($BF9:$BL9,"&gt;=100%")</f>
        <v>0</v>
      </c>
      <c r="AL434">
        <f t="shared" ref="AL434:AL497" si="47">COUNTIF($BN9:$BT9,"&gt;=100%")</f>
        <v>0</v>
      </c>
    </row>
    <row r="435" spans="33:38" x14ac:dyDescent="0.25">
      <c r="AG435" s="19" t="s">
        <v>75</v>
      </c>
      <c r="AH435">
        <f t="shared" si="43"/>
        <v>0</v>
      </c>
      <c r="AI435">
        <f t="shared" si="44"/>
        <v>0</v>
      </c>
      <c r="AJ435">
        <f t="shared" si="45"/>
        <v>0</v>
      </c>
      <c r="AK435">
        <f t="shared" si="46"/>
        <v>0</v>
      </c>
      <c r="AL435">
        <f t="shared" si="47"/>
        <v>0</v>
      </c>
    </row>
    <row r="436" spans="33:38" x14ac:dyDescent="0.25">
      <c r="AG436" s="19" t="s">
        <v>76</v>
      </c>
      <c r="AH436">
        <f t="shared" si="43"/>
        <v>0</v>
      </c>
      <c r="AI436">
        <f t="shared" si="44"/>
        <v>0</v>
      </c>
      <c r="AJ436">
        <f t="shared" si="45"/>
        <v>0</v>
      </c>
      <c r="AK436">
        <f t="shared" si="46"/>
        <v>0</v>
      </c>
      <c r="AL436">
        <f t="shared" si="47"/>
        <v>0</v>
      </c>
    </row>
    <row r="437" spans="33:38" x14ac:dyDescent="0.25">
      <c r="AG437" s="19" t="s">
        <v>77</v>
      </c>
      <c r="AH437">
        <f t="shared" si="43"/>
        <v>0</v>
      </c>
      <c r="AI437">
        <f t="shared" si="44"/>
        <v>0</v>
      </c>
      <c r="AJ437">
        <f t="shared" si="45"/>
        <v>0</v>
      </c>
      <c r="AK437">
        <f t="shared" si="46"/>
        <v>0</v>
      </c>
      <c r="AL437">
        <f t="shared" si="47"/>
        <v>0</v>
      </c>
    </row>
    <row r="438" spans="33:38" x14ac:dyDescent="0.25">
      <c r="AG438" s="19" t="s">
        <v>78</v>
      </c>
      <c r="AH438">
        <f t="shared" si="43"/>
        <v>0</v>
      </c>
      <c r="AI438">
        <f t="shared" si="44"/>
        <v>0</v>
      </c>
      <c r="AJ438">
        <f t="shared" si="45"/>
        <v>0</v>
      </c>
      <c r="AK438">
        <f t="shared" si="46"/>
        <v>0</v>
      </c>
      <c r="AL438">
        <f t="shared" si="47"/>
        <v>3</v>
      </c>
    </row>
    <row r="439" spans="33:38" x14ac:dyDescent="0.25">
      <c r="AG439" s="19" t="s">
        <v>79</v>
      </c>
      <c r="AH439">
        <f t="shared" si="43"/>
        <v>0</v>
      </c>
      <c r="AI439">
        <f t="shared" si="44"/>
        <v>0</v>
      </c>
      <c r="AJ439">
        <f t="shared" si="45"/>
        <v>0</v>
      </c>
      <c r="AK439">
        <f t="shared" si="46"/>
        <v>0</v>
      </c>
      <c r="AL439">
        <f t="shared" si="47"/>
        <v>0</v>
      </c>
    </row>
    <row r="440" spans="33:38" x14ac:dyDescent="0.25">
      <c r="AG440" s="19" t="s">
        <v>80</v>
      </c>
      <c r="AH440">
        <f t="shared" si="43"/>
        <v>0</v>
      </c>
      <c r="AI440">
        <f t="shared" si="44"/>
        <v>0</v>
      </c>
      <c r="AJ440">
        <f t="shared" si="45"/>
        <v>0</v>
      </c>
      <c r="AK440">
        <f t="shared" si="46"/>
        <v>0</v>
      </c>
      <c r="AL440">
        <f t="shared" si="47"/>
        <v>0</v>
      </c>
    </row>
    <row r="441" spans="33:38" x14ac:dyDescent="0.25">
      <c r="AG441" s="19" t="s">
        <v>81</v>
      </c>
      <c r="AH441">
        <f t="shared" si="43"/>
        <v>0</v>
      </c>
      <c r="AI441">
        <f t="shared" si="44"/>
        <v>0</v>
      </c>
      <c r="AJ441">
        <f t="shared" si="45"/>
        <v>0</v>
      </c>
      <c r="AK441">
        <f t="shared" si="46"/>
        <v>0</v>
      </c>
      <c r="AL441">
        <f t="shared" si="47"/>
        <v>1</v>
      </c>
    </row>
    <row r="442" spans="33:38" x14ac:dyDescent="0.25">
      <c r="AG442" s="19" t="s">
        <v>82</v>
      </c>
      <c r="AH442">
        <f t="shared" si="43"/>
        <v>0</v>
      </c>
      <c r="AI442">
        <f t="shared" si="44"/>
        <v>0</v>
      </c>
      <c r="AJ442">
        <f t="shared" si="45"/>
        <v>0</v>
      </c>
      <c r="AK442">
        <f t="shared" si="46"/>
        <v>0</v>
      </c>
      <c r="AL442">
        <f t="shared" si="47"/>
        <v>0</v>
      </c>
    </row>
    <row r="443" spans="33:38" x14ac:dyDescent="0.25">
      <c r="AG443" s="19" t="s">
        <v>83</v>
      </c>
      <c r="AH443">
        <f t="shared" si="43"/>
        <v>0</v>
      </c>
      <c r="AI443">
        <f t="shared" si="44"/>
        <v>0</v>
      </c>
      <c r="AJ443">
        <f t="shared" si="45"/>
        <v>0</v>
      </c>
      <c r="AK443">
        <f t="shared" si="46"/>
        <v>0</v>
      </c>
      <c r="AL443">
        <f t="shared" si="47"/>
        <v>0</v>
      </c>
    </row>
    <row r="444" spans="33:38" x14ac:dyDescent="0.25">
      <c r="AG444" s="19" t="s">
        <v>84</v>
      </c>
      <c r="AH444">
        <f t="shared" si="43"/>
        <v>0</v>
      </c>
      <c r="AI444">
        <f t="shared" si="44"/>
        <v>0</v>
      </c>
      <c r="AJ444">
        <f t="shared" si="45"/>
        <v>2</v>
      </c>
      <c r="AK444">
        <f t="shared" si="46"/>
        <v>0</v>
      </c>
      <c r="AL444">
        <f t="shared" si="47"/>
        <v>0</v>
      </c>
    </row>
    <row r="445" spans="33:38" x14ac:dyDescent="0.25">
      <c r="AG445" s="19" t="s">
        <v>85</v>
      </c>
      <c r="AH445">
        <f t="shared" si="43"/>
        <v>0</v>
      </c>
      <c r="AI445">
        <f t="shared" si="44"/>
        <v>0</v>
      </c>
      <c r="AJ445">
        <f t="shared" si="45"/>
        <v>0</v>
      </c>
      <c r="AK445">
        <f t="shared" si="46"/>
        <v>0</v>
      </c>
      <c r="AL445">
        <f t="shared" si="47"/>
        <v>0</v>
      </c>
    </row>
    <row r="446" spans="33:38" x14ac:dyDescent="0.25">
      <c r="AG446" s="19" t="s">
        <v>86</v>
      </c>
      <c r="AH446">
        <f t="shared" si="43"/>
        <v>0</v>
      </c>
      <c r="AI446">
        <f t="shared" si="44"/>
        <v>0</v>
      </c>
      <c r="AJ446">
        <f t="shared" si="45"/>
        <v>0</v>
      </c>
      <c r="AK446">
        <f t="shared" si="46"/>
        <v>0</v>
      </c>
      <c r="AL446">
        <f t="shared" si="47"/>
        <v>0</v>
      </c>
    </row>
    <row r="447" spans="33:38" x14ac:dyDescent="0.25">
      <c r="AG447" s="19" t="s">
        <v>87</v>
      </c>
      <c r="AH447">
        <f t="shared" si="43"/>
        <v>0</v>
      </c>
      <c r="AI447">
        <f t="shared" si="44"/>
        <v>0</v>
      </c>
      <c r="AJ447">
        <f t="shared" si="45"/>
        <v>0</v>
      </c>
      <c r="AK447">
        <f t="shared" si="46"/>
        <v>0</v>
      </c>
      <c r="AL447">
        <f t="shared" si="47"/>
        <v>0</v>
      </c>
    </row>
    <row r="448" spans="33:38" x14ac:dyDescent="0.25">
      <c r="AG448" s="19" t="s">
        <v>88</v>
      </c>
      <c r="AH448">
        <f t="shared" si="43"/>
        <v>0</v>
      </c>
      <c r="AI448">
        <f t="shared" si="44"/>
        <v>0</v>
      </c>
      <c r="AJ448">
        <f t="shared" si="45"/>
        <v>0</v>
      </c>
      <c r="AK448">
        <f t="shared" si="46"/>
        <v>0</v>
      </c>
      <c r="AL448">
        <f t="shared" si="47"/>
        <v>0</v>
      </c>
    </row>
    <row r="449" spans="33:38" x14ac:dyDescent="0.25">
      <c r="AG449" s="19" t="s">
        <v>89</v>
      </c>
      <c r="AH449">
        <f t="shared" si="43"/>
        <v>0</v>
      </c>
      <c r="AI449">
        <f t="shared" si="44"/>
        <v>0</v>
      </c>
      <c r="AJ449">
        <f t="shared" si="45"/>
        <v>0</v>
      </c>
      <c r="AK449">
        <f t="shared" si="46"/>
        <v>0</v>
      </c>
      <c r="AL449">
        <f t="shared" si="47"/>
        <v>0</v>
      </c>
    </row>
    <row r="450" spans="33:38" x14ac:dyDescent="0.25">
      <c r="AG450" s="19" t="s">
        <v>90</v>
      </c>
      <c r="AH450">
        <f t="shared" si="43"/>
        <v>2</v>
      </c>
      <c r="AI450">
        <f t="shared" si="44"/>
        <v>0</v>
      </c>
      <c r="AJ450">
        <f t="shared" si="45"/>
        <v>0</v>
      </c>
      <c r="AK450">
        <f t="shared" si="46"/>
        <v>0</v>
      </c>
      <c r="AL450">
        <f t="shared" si="47"/>
        <v>0</v>
      </c>
    </row>
    <row r="451" spans="33:38" x14ac:dyDescent="0.25">
      <c r="AG451" s="19" t="s">
        <v>91</v>
      </c>
      <c r="AH451">
        <f t="shared" si="43"/>
        <v>0</v>
      </c>
      <c r="AI451">
        <f t="shared" si="44"/>
        <v>0</v>
      </c>
      <c r="AJ451">
        <f t="shared" si="45"/>
        <v>0</v>
      </c>
      <c r="AK451">
        <f t="shared" si="46"/>
        <v>0</v>
      </c>
      <c r="AL451">
        <f t="shared" si="47"/>
        <v>0</v>
      </c>
    </row>
    <row r="452" spans="33:38" x14ac:dyDescent="0.25">
      <c r="AG452" s="19" t="s">
        <v>92</v>
      </c>
      <c r="AH452">
        <f t="shared" si="43"/>
        <v>0</v>
      </c>
      <c r="AI452">
        <f t="shared" si="44"/>
        <v>0</v>
      </c>
      <c r="AJ452">
        <f t="shared" si="45"/>
        <v>0</v>
      </c>
      <c r="AK452">
        <f t="shared" si="46"/>
        <v>0</v>
      </c>
      <c r="AL452">
        <f t="shared" si="47"/>
        <v>0</v>
      </c>
    </row>
    <row r="453" spans="33:38" x14ac:dyDescent="0.25">
      <c r="AG453" s="19" t="s">
        <v>93</v>
      </c>
      <c r="AH453">
        <f t="shared" si="43"/>
        <v>0</v>
      </c>
      <c r="AI453">
        <f t="shared" si="44"/>
        <v>0</v>
      </c>
      <c r="AJ453">
        <f t="shared" si="45"/>
        <v>0</v>
      </c>
      <c r="AK453">
        <f t="shared" si="46"/>
        <v>0</v>
      </c>
      <c r="AL453">
        <f t="shared" si="47"/>
        <v>0</v>
      </c>
    </row>
    <row r="454" spans="33:38" x14ac:dyDescent="0.25">
      <c r="AG454" s="19" t="s">
        <v>94</v>
      </c>
      <c r="AH454">
        <f t="shared" si="43"/>
        <v>0</v>
      </c>
      <c r="AI454">
        <f t="shared" si="44"/>
        <v>0</v>
      </c>
      <c r="AJ454">
        <f t="shared" si="45"/>
        <v>0</v>
      </c>
      <c r="AK454">
        <f t="shared" si="46"/>
        <v>0</v>
      </c>
      <c r="AL454">
        <f t="shared" si="47"/>
        <v>0</v>
      </c>
    </row>
    <row r="455" spans="33:38" x14ac:dyDescent="0.25">
      <c r="AG455" s="19" t="s">
        <v>95</v>
      </c>
      <c r="AH455">
        <f t="shared" si="43"/>
        <v>6</v>
      </c>
      <c r="AI455">
        <f t="shared" si="44"/>
        <v>2</v>
      </c>
      <c r="AJ455">
        <f t="shared" si="45"/>
        <v>4</v>
      </c>
      <c r="AK455">
        <f t="shared" si="46"/>
        <v>4</v>
      </c>
      <c r="AL455">
        <f t="shared" si="47"/>
        <v>7</v>
      </c>
    </row>
    <row r="456" spans="33:38" x14ac:dyDescent="0.25">
      <c r="AG456" s="19" t="s">
        <v>96</v>
      </c>
      <c r="AH456">
        <f t="shared" si="43"/>
        <v>0</v>
      </c>
      <c r="AI456">
        <f t="shared" si="44"/>
        <v>0</v>
      </c>
      <c r="AJ456">
        <f t="shared" si="45"/>
        <v>0</v>
      </c>
      <c r="AK456">
        <f t="shared" si="46"/>
        <v>0</v>
      </c>
      <c r="AL456">
        <f t="shared" si="47"/>
        <v>0</v>
      </c>
    </row>
    <row r="457" spans="33:38" x14ac:dyDescent="0.25">
      <c r="AG457" s="19" t="s">
        <v>97</v>
      </c>
      <c r="AH457">
        <f t="shared" si="43"/>
        <v>0</v>
      </c>
      <c r="AI457">
        <f t="shared" si="44"/>
        <v>0</v>
      </c>
      <c r="AJ457">
        <f t="shared" si="45"/>
        <v>0</v>
      </c>
      <c r="AK457">
        <f t="shared" si="46"/>
        <v>0</v>
      </c>
      <c r="AL457">
        <f t="shared" si="47"/>
        <v>0</v>
      </c>
    </row>
    <row r="458" spans="33:38" x14ac:dyDescent="0.25">
      <c r="AG458" s="19" t="s">
        <v>98</v>
      </c>
      <c r="AH458">
        <f t="shared" si="43"/>
        <v>0</v>
      </c>
      <c r="AI458">
        <f t="shared" si="44"/>
        <v>0</v>
      </c>
      <c r="AJ458">
        <f t="shared" si="45"/>
        <v>0</v>
      </c>
      <c r="AK458">
        <f t="shared" si="46"/>
        <v>0</v>
      </c>
      <c r="AL458">
        <f t="shared" si="47"/>
        <v>0</v>
      </c>
    </row>
    <row r="459" spans="33:38" x14ac:dyDescent="0.25">
      <c r="AG459" s="19" t="s">
        <v>99</v>
      </c>
      <c r="AH459">
        <f t="shared" si="43"/>
        <v>0</v>
      </c>
      <c r="AI459">
        <f t="shared" si="44"/>
        <v>0</v>
      </c>
      <c r="AJ459">
        <f t="shared" si="45"/>
        <v>0</v>
      </c>
      <c r="AK459">
        <f t="shared" si="46"/>
        <v>0</v>
      </c>
      <c r="AL459">
        <f t="shared" si="47"/>
        <v>0</v>
      </c>
    </row>
    <row r="460" spans="33:38" x14ac:dyDescent="0.25">
      <c r="AG460" s="19" t="s">
        <v>100</v>
      </c>
      <c r="AH460">
        <f t="shared" si="43"/>
        <v>1</v>
      </c>
      <c r="AI460">
        <f t="shared" si="44"/>
        <v>2</v>
      </c>
      <c r="AJ460">
        <f t="shared" si="45"/>
        <v>0</v>
      </c>
      <c r="AK460">
        <f t="shared" si="46"/>
        <v>0</v>
      </c>
      <c r="AL460">
        <f t="shared" si="47"/>
        <v>0</v>
      </c>
    </row>
    <row r="461" spans="33:38" x14ac:dyDescent="0.25">
      <c r="AG461" s="19" t="s">
        <v>101</v>
      </c>
      <c r="AH461">
        <f t="shared" si="43"/>
        <v>0</v>
      </c>
      <c r="AI461">
        <f t="shared" si="44"/>
        <v>0</v>
      </c>
      <c r="AJ461">
        <f t="shared" si="45"/>
        <v>0</v>
      </c>
      <c r="AK461">
        <f t="shared" si="46"/>
        <v>0</v>
      </c>
      <c r="AL461">
        <f t="shared" si="47"/>
        <v>0</v>
      </c>
    </row>
    <row r="462" spans="33:38" x14ac:dyDescent="0.25">
      <c r="AG462" s="19" t="s">
        <v>102</v>
      </c>
      <c r="AH462">
        <f t="shared" si="43"/>
        <v>0</v>
      </c>
      <c r="AI462">
        <f t="shared" si="44"/>
        <v>0</v>
      </c>
      <c r="AJ462">
        <f t="shared" si="45"/>
        <v>0</v>
      </c>
      <c r="AK462">
        <f t="shared" si="46"/>
        <v>0</v>
      </c>
      <c r="AL462">
        <f t="shared" si="47"/>
        <v>0</v>
      </c>
    </row>
    <row r="463" spans="33:38" x14ac:dyDescent="0.25">
      <c r="AG463" s="19" t="s">
        <v>263</v>
      </c>
      <c r="AH463">
        <f t="shared" si="43"/>
        <v>0</v>
      </c>
      <c r="AI463">
        <f t="shared" si="44"/>
        <v>0</v>
      </c>
      <c r="AJ463">
        <f t="shared" si="45"/>
        <v>0</v>
      </c>
      <c r="AK463">
        <f t="shared" si="46"/>
        <v>0</v>
      </c>
      <c r="AL463">
        <f t="shared" si="47"/>
        <v>0</v>
      </c>
    </row>
    <row r="464" spans="33:38" x14ac:dyDescent="0.25">
      <c r="AG464" s="19" t="s">
        <v>103</v>
      </c>
      <c r="AH464">
        <f t="shared" si="43"/>
        <v>0</v>
      </c>
      <c r="AI464">
        <f t="shared" si="44"/>
        <v>0</v>
      </c>
      <c r="AJ464">
        <f t="shared" si="45"/>
        <v>0</v>
      </c>
      <c r="AK464">
        <f t="shared" si="46"/>
        <v>0</v>
      </c>
      <c r="AL464">
        <f t="shared" si="47"/>
        <v>0</v>
      </c>
    </row>
    <row r="465" spans="33:38" x14ac:dyDescent="0.25">
      <c r="AG465" s="19" t="s">
        <v>104</v>
      </c>
      <c r="AH465">
        <f t="shared" si="43"/>
        <v>0</v>
      </c>
      <c r="AI465">
        <f t="shared" si="44"/>
        <v>0</v>
      </c>
      <c r="AJ465">
        <f t="shared" si="45"/>
        <v>0</v>
      </c>
      <c r="AK465">
        <f t="shared" si="46"/>
        <v>0</v>
      </c>
      <c r="AL465">
        <f t="shared" si="47"/>
        <v>0</v>
      </c>
    </row>
    <row r="466" spans="33:38" x14ac:dyDescent="0.25">
      <c r="AG466" s="19" t="s">
        <v>105</v>
      </c>
      <c r="AH466">
        <f t="shared" si="43"/>
        <v>0</v>
      </c>
      <c r="AI466">
        <f t="shared" si="44"/>
        <v>0</v>
      </c>
      <c r="AJ466">
        <f t="shared" si="45"/>
        <v>0</v>
      </c>
      <c r="AK466">
        <f t="shared" si="46"/>
        <v>0</v>
      </c>
      <c r="AL466">
        <f t="shared" si="47"/>
        <v>0</v>
      </c>
    </row>
    <row r="467" spans="33:38" x14ac:dyDescent="0.25">
      <c r="AG467" s="19" t="s">
        <v>106</v>
      </c>
      <c r="AH467">
        <f t="shared" si="43"/>
        <v>0</v>
      </c>
      <c r="AI467">
        <f t="shared" si="44"/>
        <v>0</v>
      </c>
      <c r="AJ467">
        <f t="shared" si="45"/>
        <v>0</v>
      </c>
      <c r="AK467">
        <f t="shared" si="46"/>
        <v>0</v>
      </c>
      <c r="AL467">
        <f t="shared" si="47"/>
        <v>0</v>
      </c>
    </row>
    <row r="468" spans="33:38" x14ac:dyDescent="0.25">
      <c r="AG468" s="19" t="s">
        <v>107</v>
      </c>
      <c r="AH468">
        <f t="shared" si="43"/>
        <v>0</v>
      </c>
      <c r="AI468">
        <f t="shared" si="44"/>
        <v>0</v>
      </c>
      <c r="AJ468">
        <f t="shared" si="45"/>
        <v>0</v>
      </c>
      <c r="AK468">
        <f t="shared" si="46"/>
        <v>0</v>
      </c>
      <c r="AL468">
        <f t="shared" si="47"/>
        <v>0</v>
      </c>
    </row>
    <row r="469" spans="33:38" x14ac:dyDescent="0.25">
      <c r="AG469" s="19" t="s">
        <v>108</v>
      </c>
      <c r="AH469">
        <f t="shared" si="43"/>
        <v>0</v>
      </c>
      <c r="AI469">
        <f t="shared" si="44"/>
        <v>0</v>
      </c>
      <c r="AJ469">
        <f t="shared" si="45"/>
        <v>0</v>
      </c>
      <c r="AK469">
        <f t="shared" si="46"/>
        <v>0</v>
      </c>
      <c r="AL469">
        <f t="shared" si="47"/>
        <v>0</v>
      </c>
    </row>
    <row r="470" spans="33:38" x14ac:dyDescent="0.25">
      <c r="AG470" s="19" t="s">
        <v>109</v>
      </c>
      <c r="AH470">
        <f t="shared" si="43"/>
        <v>0</v>
      </c>
      <c r="AI470">
        <f t="shared" si="44"/>
        <v>0</v>
      </c>
      <c r="AJ470">
        <f t="shared" si="45"/>
        <v>0</v>
      </c>
      <c r="AK470">
        <f t="shared" si="46"/>
        <v>0</v>
      </c>
      <c r="AL470">
        <f t="shared" si="47"/>
        <v>0</v>
      </c>
    </row>
    <row r="471" spans="33:38" x14ac:dyDescent="0.25">
      <c r="AG471" s="19" t="s">
        <v>110</v>
      </c>
      <c r="AH471">
        <f t="shared" si="43"/>
        <v>0</v>
      </c>
      <c r="AI471">
        <f t="shared" si="44"/>
        <v>0</v>
      </c>
      <c r="AJ471">
        <f t="shared" si="45"/>
        <v>0</v>
      </c>
      <c r="AK471">
        <f t="shared" si="46"/>
        <v>0</v>
      </c>
      <c r="AL471">
        <f t="shared" si="47"/>
        <v>0</v>
      </c>
    </row>
    <row r="472" spans="33:38" x14ac:dyDescent="0.25">
      <c r="AG472" s="19" t="s">
        <v>111</v>
      </c>
      <c r="AH472">
        <f t="shared" si="43"/>
        <v>0</v>
      </c>
      <c r="AI472">
        <f t="shared" si="44"/>
        <v>0</v>
      </c>
      <c r="AJ472">
        <f t="shared" si="45"/>
        <v>0</v>
      </c>
      <c r="AK472">
        <f t="shared" si="46"/>
        <v>0</v>
      </c>
      <c r="AL472">
        <f t="shared" si="47"/>
        <v>0</v>
      </c>
    </row>
    <row r="473" spans="33:38" x14ac:dyDescent="0.25">
      <c r="AG473" s="19" t="s">
        <v>112</v>
      </c>
      <c r="AH473">
        <f t="shared" si="43"/>
        <v>0</v>
      </c>
      <c r="AI473">
        <f t="shared" si="44"/>
        <v>0</v>
      </c>
      <c r="AJ473">
        <f t="shared" si="45"/>
        <v>0</v>
      </c>
      <c r="AK473">
        <f t="shared" si="46"/>
        <v>0</v>
      </c>
      <c r="AL473">
        <f t="shared" si="47"/>
        <v>0</v>
      </c>
    </row>
    <row r="474" spans="33:38" x14ac:dyDescent="0.25">
      <c r="AG474" s="19" t="s">
        <v>113</v>
      </c>
      <c r="AH474">
        <f t="shared" si="43"/>
        <v>0</v>
      </c>
      <c r="AI474">
        <f t="shared" si="44"/>
        <v>0</v>
      </c>
      <c r="AJ474">
        <f t="shared" si="45"/>
        <v>0</v>
      </c>
      <c r="AK474">
        <f t="shared" si="46"/>
        <v>0</v>
      </c>
      <c r="AL474">
        <f t="shared" si="47"/>
        <v>0</v>
      </c>
    </row>
    <row r="475" spans="33:38" x14ac:dyDescent="0.25">
      <c r="AG475" s="19" t="s">
        <v>114</v>
      </c>
      <c r="AH475">
        <f t="shared" si="43"/>
        <v>0</v>
      </c>
      <c r="AI475">
        <f t="shared" si="44"/>
        <v>0</v>
      </c>
      <c r="AJ475">
        <f t="shared" si="45"/>
        <v>0</v>
      </c>
      <c r="AK475">
        <f t="shared" si="46"/>
        <v>0</v>
      </c>
      <c r="AL475">
        <f t="shared" si="47"/>
        <v>0</v>
      </c>
    </row>
    <row r="476" spans="33:38" x14ac:dyDescent="0.25">
      <c r="AG476" s="19" t="s">
        <v>115</v>
      </c>
      <c r="AH476">
        <f t="shared" si="43"/>
        <v>0</v>
      </c>
      <c r="AI476">
        <f t="shared" si="44"/>
        <v>0</v>
      </c>
      <c r="AJ476">
        <f t="shared" si="45"/>
        <v>0</v>
      </c>
      <c r="AK476">
        <f t="shared" si="46"/>
        <v>0</v>
      </c>
      <c r="AL476">
        <f t="shared" si="47"/>
        <v>0</v>
      </c>
    </row>
    <row r="477" spans="33:38" x14ac:dyDescent="0.25">
      <c r="AG477" s="19" t="s">
        <v>116</v>
      </c>
      <c r="AH477">
        <f t="shared" si="43"/>
        <v>1</v>
      </c>
      <c r="AI477">
        <f t="shared" si="44"/>
        <v>0</v>
      </c>
      <c r="AJ477">
        <f t="shared" si="45"/>
        <v>0</v>
      </c>
      <c r="AK477">
        <f t="shared" si="46"/>
        <v>0</v>
      </c>
      <c r="AL477">
        <f t="shared" si="47"/>
        <v>0</v>
      </c>
    </row>
    <row r="478" spans="33:38" x14ac:dyDescent="0.25">
      <c r="AG478" s="19" t="s">
        <v>117</v>
      </c>
      <c r="AH478">
        <f t="shared" si="43"/>
        <v>0</v>
      </c>
      <c r="AI478">
        <f t="shared" si="44"/>
        <v>0</v>
      </c>
      <c r="AJ478">
        <f t="shared" si="45"/>
        <v>0</v>
      </c>
      <c r="AK478">
        <f t="shared" si="46"/>
        <v>2</v>
      </c>
      <c r="AL478">
        <f t="shared" si="47"/>
        <v>3</v>
      </c>
    </row>
    <row r="479" spans="33:38" x14ac:dyDescent="0.25">
      <c r="AG479" s="19" t="s">
        <v>118</v>
      </c>
      <c r="AH479">
        <f t="shared" si="43"/>
        <v>0</v>
      </c>
      <c r="AI479">
        <f t="shared" si="44"/>
        <v>1</v>
      </c>
      <c r="AJ479">
        <f t="shared" si="45"/>
        <v>0</v>
      </c>
      <c r="AK479">
        <f t="shared" si="46"/>
        <v>0</v>
      </c>
      <c r="AL479">
        <f t="shared" si="47"/>
        <v>1</v>
      </c>
    </row>
    <row r="480" spans="33:38" x14ac:dyDescent="0.25">
      <c r="AG480" s="19" t="s">
        <v>119</v>
      </c>
      <c r="AH480">
        <f t="shared" si="43"/>
        <v>1</v>
      </c>
      <c r="AI480">
        <f t="shared" si="44"/>
        <v>1</v>
      </c>
      <c r="AJ480">
        <f t="shared" si="45"/>
        <v>0</v>
      </c>
      <c r="AK480">
        <f t="shared" si="46"/>
        <v>0</v>
      </c>
      <c r="AL480">
        <f t="shared" si="47"/>
        <v>0</v>
      </c>
    </row>
    <row r="481" spans="33:38" x14ac:dyDescent="0.25">
      <c r="AG481" s="19" t="s">
        <v>120</v>
      </c>
      <c r="AH481">
        <f t="shared" si="43"/>
        <v>0</v>
      </c>
      <c r="AI481">
        <f t="shared" si="44"/>
        <v>0</v>
      </c>
      <c r="AJ481">
        <f t="shared" si="45"/>
        <v>0</v>
      </c>
      <c r="AK481">
        <f t="shared" si="46"/>
        <v>0</v>
      </c>
      <c r="AL481">
        <f t="shared" si="47"/>
        <v>0</v>
      </c>
    </row>
    <row r="482" spans="33:38" x14ac:dyDescent="0.25">
      <c r="AG482" s="19" t="s">
        <v>121</v>
      </c>
      <c r="AH482">
        <f t="shared" si="43"/>
        <v>0</v>
      </c>
      <c r="AI482">
        <f t="shared" si="44"/>
        <v>0</v>
      </c>
      <c r="AJ482">
        <f t="shared" si="45"/>
        <v>0</v>
      </c>
      <c r="AK482">
        <f t="shared" si="46"/>
        <v>0</v>
      </c>
      <c r="AL482">
        <f t="shared" si="47"/>
        <v>0</v>
      </c>
    </row>
    <row r="483" spans="33:38" x14ac:dyDescent="0.25">
      <c r="AG483" s="19" t="s">
        <v>122</v>
      </c>
      <c r="AH483">
        <f t="shared" si="43"/>
        <v>0</v>
      </c>
      <c r="AI483">
        <f t="shared" si="44"/>
        <v>0</v>
      </c>
      <c r="AJ483">
        <f t="shared" si="45"/>
        <v>0</v>
      </c>
      <c r="AK483">
        <f t="shared" si="46"/>
        <v>0</v>
      </c>
      <c r="AL483">
        <f t="shared" si="47"/>
        <v>0</v>
      </c>
    </row>
    <row r="484" spans="33:38" x14ac:dyDescent="0.25">
      <c r="AG484" s="19" t="s">
        <v>123</v>
      </c>
      <c r="AH484">
        <f t="shared" si="43"/>
        <v>0</v>
      </c>
      <c r="AI484">
        <f t="shared" si="44"/>
        <v>0</v>
      </c>
      <c r="AJ484">
        <f t="shared" si="45"/>
        <v>0</v>
      </c>
      <c r="AK484">
        <f t="shared" si="46"/>
        <v>0</v>
      </c>
      <c r="AL484">
        <f t="shared" si="47"/>
        <v>0</v>
      </c>
    </row>
    <row r="485" spans="33:38" x14ac:dyDescent="0.25">
      <c r="AG485" s="19" t="s">
        <v>264</v>
      </c>
      <c r="AH485">
        <f t="shared" si="43"/>
        <v>7</v>
      </c>
      <c r="AI485">
        <f t="shared" si="44"/>
        <v>3</v>
      </c>
      <c r="AJ485">
        <f t="shared" si="45"/>
        <v>2</v>
      </c>
      <c r="AK485">
        <f t="shared" si="46"/>
        <v>6</v>
      </c>
      <c r="AL485">
        <f t="shared" si="47"/>
        <v>4</v>
      </c>
    </row>
    <row r="486" spans="33:38" x14ac:dyDescent="0.25">
      <c r="AG486" s="19" t="s">
        <v>124</v>
      </c>
      <c r="AH486">
        <f t="shared" si="43"/>
        <v>0</v>
      </c>
      <c r="AI486">
        <f t="shared" si="44"/>
        <v>0</v>
      </c>
      <c r="AJ486">
        <f t="shared" si="45"/>
        <v>0</v>
      </c>
      <c r="AK486">
        <f t="shared" si="46"/>
        <v>0</v>
      </c>
      <c r="AL486">
        <f t="shared" si="47"/>
        <v>0</v>
      </c>
    </row>
    <row r="487" spans="33:38" x14ac:dyDescent="0.25">
      <c r="AG487" s="19" t="s">
        <v>125</v>
      </c>
      <c r="AH487">
        <f t="shared" si="43"/>
        <v>0</v>
      </c>
      <c r="AI487">
        <f t="shared" si="44"/>
        <v>0</v>
      </c>
      <c r="AJ487">
        <f t="shared" si="45"/>
        <v>0</v>
      </c>
      <c r="AK487">
        <f t="shared" si="46"/>
        <v>0</v>
      </c>
      <c r="AL487">
        <f t="shared" si="47"/>
        <v>0</v>
      </c>
    </row>
    <row r="488" spans="33:38" x14ac:dyDescent="0.25">
      <c r="AG488" s="19" t="s">
        <v>126</v>
      </c>
      <c r="AH488">
        <f t="shared" si="43"/>
        <v>0</v>
      </c>
      <c r="AI488">
        <f t="shared" si="44"/>
        <v>0</v>
      </c>
      <c r="AJ488">
        <f t="shared" si="45"/>
        <v>0</v>
      </c>
      <c r="AK488">
        <f t="shared" si="46"/>
        <v>0</v>
      </c>
      <c r="AL488">
        <f t="shared" si="47"/>
        <v>0</v>
      </c>
    </row>
    <row r="489" spans="33:38" x14ac:dyDescent="0.25">
      <c r="AG489" s="19" t="s">
        <v>127</v>
      </c>
      <c r="AH489">
        <f t="shared" si="43"/>
        <v>0</v>
      </c>
      <c r="AI489">
        <f t="shared" si="44"/>
        <v>0</v>
      </c>
      <c r="AJ489">
        <f t="shared" si="45"/>
        <v>0</v>
      </c>
      <c r="AK489">
        <f t="shared" si="46"/>
        <v>0</v>
      </c>
      <c r="AL489">
        <f t="shared" si="47"/>
        <v>1</v>
      </c>
    </row>
    <row r="490" spans="33:38" x14ac:dyDescent="0.25">
      <c r="AG490" s="19" t="s">
        <v>128</v>
      </c>
      <c r="AH490">
        <f t="shared" si="43"/>
        <v>0</v>
      </c>
      <c r="AI490">
        <f t="shared" si="44"/>
        <v>0</v>
      </c>
      <c r="AJ490">
        <f t="shared" si="45"/>
        <v>0</v>
      </c>
      <c r="AK490">
        <f t="shared" si="46"/>
        <v>0</v>
      </c>
      <c r="AL490">
        <f t="shared" si="47"/>
        <v>0</v>
      </c>
    </row>
    <row r="491" spans="33:38" x14ac:dyDescent="0.25">
      <c r="AG491" s="19" t="s">
        <v>129</v>
      </c>
      <c r="AH491">
        <f t="shared" si="43"/>
        <v>0</v>
      </c>
      <c r="AI491">
        <f t="shared" si="44"/>
        <v>0</v>
      </c>
      <c r="AJ491">
        <f t="shared" si="45"/>
        <v>0</v>
      </c>
      <c r="AK491">
        <f t="shared" si="46"/>
        <v>0</v>
      </c>
      <c r="AL491">
        <f t="shared" si="47"/>
        <v>0</v>
      </c>
    </row>
    <row r="492" spans="33:38" x14ac:dyDescent="0.25">
      <c r="AG492" s="19" t="s">
        <v>130</v>
      </c>
      <c r="AH492">
        <f t="shared" si="43"/>
        <v>0</v>
      </c>
      <c r="AI492">
        <f t="shared" si="44"/>
        <v>0</v>
      </c>
      <c r="AJ492">
        <f t="shared" si="45"/>
        <v>0</v>
      </c>
      <c r="AK492">
        <f t="shared" si="46"/>
        <v>0</v>
      </c>
      <c r="AL492">
        <f t="shared" si="47"/>
        <v>0</v>
      </c>
    </row>
    <row r="493" spans="33:38" x14ac:dyDescent="0.25">
      <c r="AG493" s="19" t="s">
        <v>131</v>
      </c>
      <c r="AH493">
        <f t="shared" si="43"/>
        <v>0</v>
      </c>
      <c r="AI493">
        <f t="shared" si="44"/>
        <v>0</v>
      </c>
      <c r="AJ493">
        <f t="shared" si="45"/>
        <v>0</v>
      </c>
      <c r="AK493">
        <f t="shared" si="46"/>
        <v>0</v>
      </c>
      <c r="AL493">
        <f t="shared" si="47"/>
        <v>0</v>
      </c>
    </row>
    <row r="494" spans="33:38" x14ac:dyDescent="0.25">
      <c r="AG494" s="19" t="s">
        <v>132</v>
      </c>
      <c r="AH494">
        <f t="shared" si="43"/>
        <v>0</v>
      </c>
      <c r="AI494">
        <f t="shared" si="44"/>
        <v>0</v>
      </c>
      <c r="AJ494">
        <f t="shared" si="45"/>
        <v>0</v>
      </c>
      <c r="AK494">
        <f t="shared" si="46"/>
        <v>0</v>
      </c>
      <c r="AL494">
        <f t="shared" si="47"/>
        <v>0</v>
      </c>
    </row>
    <row r="495" spans="33:38" x14ac:dyDescent="0.25">
      <c r="AG495" s="19" t="s">
        <v>133</v>
      </c>
      <c r="AH495">
        <f t="shared" si="43"/>
        <v>0</v>
      </c>
      <c r="AI495">
        <f t="shared" si="44"/>
        <v>0</v>
      </c>
      <c r="AJ495">
        <f t="shared" si="45"/>
        <v>0</v>
      </c>
      <c r="AK495">
        <f t="shared" si="46"/>
        <v>0</v>
      </c>
      <c r="AL495">
        <f t="shared" si="47"/>
        <v>0</v>
      </c>
    </row>
    <row r="496" spans="33:38" x14ac:dyDescent="0.25">
      <c r="AG496" s="19" t="s">
        <v>134</v>
      </c>
      <c r="AH496">
        <f t="shared" si="43"/>
        <v>0</v>
      </c>
      <c r="AI496">
        <f t="shared" si="44"/>
        <v>0</v>
      </c>
      <c r="AJ496">
        <f t="shared" si="45"/>
        <v>0</v>
      </c>
      <c r="AK496">
        <f t="shared" si="46"/>
        <v>0</v>
      </c>
      <c r="AL496">
        <f t="shared" si="47"/>
        <v>0</v>
      </c>
    </row>
    <row r="497" spans="33:38" x14ac:dyDescent="0.25">
      <c r="AG497" s="19" t="s">
        <v>135</v>
      </c>
      <c r="AH497">
        <f t="shared" si="43"/>
        <v>0</v>
      </c>
      <c r="AI497">
        <f t="shared" si="44"/>
        <v>0</v>
      </c>
      <c r="AJ497">
        <f t="shared" si="45"/>
        <v>0</v>
      </c>
      <c r="AK497">
        <f t="shared" si="46"/>
        <v>0</v>
      </c>
      <c r="AL497">
        <f t="shared" si="47"/>
        <v>0</v>
      </c>
    </row>
    <row r="498" spans="33:38" x14ac:dyDescent="0.25">
      <c r="AG498" s="19" t="s">
        <v>136</v>
      </c>
      <c r="AH498">
        <f t="shared" ref="AH498:AH561" si="48">COUNTIF($AH73:$AN73,"&gt;=100%")</f>
        <v>0</v>
      </c>
      <c r="AI498">
        <f t="shared" ref="AI498:AI561" si="49">COUNTIF($AP73:$AV73,"&gt;=100%")</f>
        <v>0</v>
      </c>
      <c r="AJ498">
        <f t="shared" ref="AJ498:AJ561" si="50">COUNTIF($AX73:$BD73,"&gt;=100%")</f>
        <v>0</v>
      </c>
      <c r="AK498">
        <f t="shared" ref="AK498:AK561" si="51">COUNTIF($BF73:$BL73,"&gt;=100%")</f>
        <v>0</v>
      </c>
      <c r="AL498">
        <f t="shared" ref="AL498:AL561" si="52">COUNTIF($BN73:$BT73,"&gt;=100%")</f>
        <v>0</v>
      </c>
    </row>
    <row r="499" spans="33:38" x14ac:dyDescent="0.25">
      <c r="AG499" s="19" t="s">
        <v>137</v>
      </c>
      <c r="AH499">
        <f t="shared" si="48"/>
        <v>0</v>
      </c>
      <c r="AI499">
        <f t="shared" si="49"/>
        <v>0</v>
      </c>
      <c r="AJ499">
        <f t="shared" si="50"/>
        <v>0</v>
      </c>
      <c r="AK499">
        <f t="shared" si="51"/>
        <v>0</v>
      </c>
      <c r="AL499">
        <f t="shared" si="52"/>
        <v>0</v>
      </c>
    </row>
    <row r="500" spans="33:38" x14ac:dyDescent="0.25">
      <c r="AG500" s="19" t="s">
        <v>138</v>
      </c>
      <c r="AH500">
        <f t="shared" si="48"/>
        <v>2</v>
      </c>
      <c r="AI500">
        <f t="shared" si="49"/>
        <v>0</v>
      </c>
      <c r="AJ500">
        <f t="shared" si="50"/>
        <v>0</v>
      </c>
      <c r="AK500">
        <f t="shared" si="51"/>
        <v>0</v>
      </c>
      <c r="AL500">
        <f t="shared" si="52"/>
        <v>0</v>
      </c>
    </row>
    <row r="501" spans="33:38" x14ac:dyDescent="0.25">
      <c r="AG501" s="19" t="s">
        <v>139</v>
      </c>
      <c r="AH501">
        <f t="shared" si="48"/>
        <v>0</v>
      </c>
      <c r="AI501">
        <f t="shared" si="49"/>
        <v>0</v>
      </c>
      <c r="AJ501">
        <f t="shared" si="50"/>
        <v>0</v>
      </c>
      <c r="AK501">
        <f t="shared" si="51"/>
        <v>0</v>
      </c>
      <c r="AL501">
        <f t="shared" si="52"/>
        <v>0</v>
      </c>
    </row>
    <row r="502" spans="33:38" x14ac:dyDescent="0.25">
      <c r="AG502" s="19" t="s">
        <v>140</v>
      </c>
      <c r="AH502">
        <f t="shared" si="48"/>
        <v>0</v>
      </c>
      <c r="AI502">
        <f t="shared" si="49"/>
        <v>0</v>
      </c>
      <c r="AJ502">
        <f t="shared" si="50"/>
        <v>0</v>
      </c>
      <c r="AK502">
        <f t="shared" si="51"/>
        <v>0</v>
      </c>
      <c r="AL502">
        <f t="shared" si="52"/>
        <v>0</v>
      </c>
    </row>
    <row r="503" spans="33:38" x14ac:dyDescent="0.25">
      <c r="AG503" s="19" t="s">
        <v>141</v>
      </c>
      <c r="AH503">
        <f t="shared" si="48"/>
        <v>0</v>
      </c>
      <c r="AI503">
        <f t="shared" si="49"/>
        <v>0</v>
      </c>
      <c r="AJ503">
        <f t="shared" si="50"/>
        <v>0</v>
      </c>
      <c r="AK503">
        <f t="shared" si="51"/>
        <v>0</v>
      </c>
      <c r="AL503">
        <f t="shared" si="52"/>
        <v>0</v>
      </c>
    </row>
    <row r="504" spans="33:38" x14ac:dyDescent="0.25">
      <c r="AG504" s="19" t="s">
        <v>142</v>
      </c>
      <c r="AH504">
        <f t="shared" si="48"/>
        <v>0</v>
      </c>
      <c r="AI504">
        <f t="shared" si="49"/>
        <v>0</v>
      </c>
      <c r="AJ504">
        <f t="shared" si="50"/>
        <v>0</v>
      </c>
      <c r="AK504">
        <f t="shared" si="51"/>
        <v>0</v>
      </c>
      <c r="AL504">
        <f t="shared" si="52"/>
        <v>0</v>
      </c>
    </row>
    <row r="505" spans="33:38" x14ac:dyDescent="0.25">
      <c r="AG505" s="19" t="s">
        <v>143</v>
      </c>
      <c r="AH505">
        <f t="shared" si="48"/>
        <v>0</v>
      </c>
      <c r="AI505">
        <f t="shared" si="49"/>
        <v>0</v>
      </c>
      <c r="AJ505">
        <f t="shared" si="50"/>
        <v>0</v>
      </c>
      <c r="AK505">
        <f t="shared" si="51"/>
        <v>0</v>
      </c>
      <c r="AL505">
        <f t="shared" si="52"/>
        <v>0</v>
      </c>
    </row>
    <row r="506" spans="33:38" x14ac:dyDescent="0.25">
      <c r="AG506" s="19" t="s">
        <v>144</v>
      </c>
      <c r="AH506">
        <f t="shared" si="48"/>
        <v>0</v>
      </c>
      <c r="AI506">
        <f t="shared" si="49"/>
        <v>0</v>
      </c>
      <c r="AJ506">
        <f t="shared" si="50"/>
        <v>0</v>
      </c>
      <c r="AK506">
        <f t="shared" si="51"/>
        <v>0</v>
      </c>
      <c r="AL506">
        <f t="shared" si="52"/>
        <v>0</v>
      </c>
    </row>
    <row r="507" spans="33:38" x14ac:dyDescent="0.25">
      <c r="AG507" s="19" t="s">
        <v>145</v>
      </c>
      <c r="AH507">
        <f t="shared" si="48"/>
        <v>0</v>
      </c>
      <c r="AI507">
        <f t="shared" si="49"/>
        <v>0</v>
      </c>
      <c r="AJ507">
        <f t="shared" si="50"/>
        <v>0</v>
      </c>
      <c r="AK507">
        <f t="shared" si="51"/>
        <v>0</v>
      </c>
      <c r="AL507">
        <f t="shared" si="52"/>
        <v>0</v>
      </c>
    </row>
    <row r="508" spans="33:38" x14ac:dyDescent="0.25">
      <c r="AG508" s="19" t="s">
        <v>146</v>
      </c>
      <c r="AH508">
        <f t="shared" si="48"/>
        <v>0</v>
      </c>
      <c r="AI508">
        <f t="shared" si="49"/>
        <v>0</v>
      </c>
      <c r="AJ508">
        <f t="shared" si="50"/>
        <v>0</v>
      </c>
      <c r="AK508">
        <f t="shared" si="51"/>
        <v>0</v>
      </c>
      <c r="AL508">
        <f t="shared" si="52"/>
        <v>0</v>
      </c>
    </row>
    <row r="509" spans="33:38" x14ac:dyDescent="0.25">
      <c r="AG509" s="19" t="s">
        <v>147</v>
      </c>
      <c r="AH509">
        <f t="shared" si="48"/>
        <v>0</v>
      </c>
      <c r="AI509">
        <f t="shared" si="49"/>
        <v>0</v>
      </c>
      <c r="AJ509">
        <f t="shared" si="50"/>
        <v>0</v>
      </c>
      <c r="AK509">
        <f t="shared" si="51"/>
        <v>0</v>
      </c>
      <c r="AL509">
        <f t="shared" si="52"/>
        <v>0</v>
      </c>
    </row>
    <row r="510" spans="33:38" x14ac:dyDescent="0.25">
      <c r="AG510" s="19" t="s">
        <v>148</v>
      </c>
      <c r="AH510">
        <f t="shared" si="48"/>
        <v>0</v>
      </c>
      <c r="AI510">
        <f t="shared" si="49"/>
        <v>0</v>
      </c>
      <c r="AJ510">
        <f t="shared" si="50"/>
        <v>0</v>
      </c>
      <c r="AK510">
        <f t="shared" si="51"/>
        <v>0</v>
      </c>
      <c r="AL510">
        <f t="shared" si="52"/>
        <v>0</v>
      </c>
    </row>
    <row r="511" spans="33:38" x14ac:dyDescent="0.25">
      <c r="AG511" s="19" t="s">
        <v>149</v>
      </c>
      <c r="AH511">
        <f t="shared" si="48"/>
        <v>0</v>
      </c>
      <c r="AI511">
        <f t="shared" si="49"/>
        <v>0</v>
      </c>
      <c r="AJ511">
        <f t="shared" si="50"/>
        <v>0</v>
      </c>
      <c r="AK511">
        <f t="shared" si="51"/>
        <v>0</v>
      </c>
      <c r="AL511">
        <f t="shared" si="52"/>
        <v>0</v>
      </c>
    </row>
    <row r="512" spans="33:38" x14ac:dyDescent="0.25">
      <c r="AG512" s="19" t="s">
        <v>150</v>
      </c>
      <c r="AH512">
        <f t="shared" si="48"/>
        <v>0</v>
      </c>
      <c r="AI512">
        <f t="shared" si="49"/>
        <v>0</v>
      </c>
      <c r="AJ512">
        <f t="shared" si="50"/>
        <v>0</v>
      </c>
      <c r="AK512">
        <f t="shared" si="51"/>
        <v>0</v>
      </c>
      <c r="AL512">
        <f t="shared" si="52"/>
        <v>0</v>
      </c>
    </row>
    <row r="513" spans="33:38" x14ac:dyDescent="0.25">
      <c r="AG513" s="19" t="s">
        <v>151</v>
      </c>
      <c r="AH513">
        <f t="shared" si="48"/>
        <v>7</v>
      </c>
      <c r="AI513">
        <f t="shared" si="49"/>
        <v>0</v>
      </c>
      <c r="AJ513">
        <f t="shared" si="50"/>
        <v>0</v>
      </c>
      <c r="AK513">
        <f t="shared" si="51"/>
        <v>0</v>
      </c>
      <c r="AL513">
        <f t="shared" si="52"/>
        <v>0</v>
      </c>
    </row>
    <row r="514" spans="33:38" x14ac:dyDescent="0.25">
      <c r="AG514" s="19" t="s">
        <v>152</v>
      </c>
      <c r="AH514">
        <f t="shared" si="48"/>
        <v>0</v>
      </c>
      <c r="AI514">
        <f t="shared" si="49"/>
        <v>0</v>
      </c>
      <c r="AJ514">
        <f t="shared" si="50"/>
        <v>0</v>
      </c>
      <c r="AK514">
        <f t="shared" si="51"/>
        <v>0</v>
      </c>
      <c r="AL514">
        <f t="shared" si="52"/>
        <v>1</v>
      </c>
    </row>
    <row r="515" spans="33:38" x14ac:dyDescent="0.25">
      <c r="AG515" s="19" t="s">
        <v>153</v>
      </c>
      <c r="AH515">
        <f t="shared" si="48"/>
        <v>0</v>
      </c>
      <c r="AI515">
        <f t="shared" si="49"/>
        <v>0</v>
      </c>
      <c r="AJ515">
        <f t="shared" si="50"/>
        <v>0</v>
      </c>
      <c r="AK515">
        <f t="shared" si="51"/>
        <v>0</v>
      </c>
      <c r="AL515">
        <f t="shared" si="52"/>
        <v>0</v>
      </c>
    </row>
    <row r="516" spans="33:38" x14ac:dyDescent="0.25">
      <c r="AG516" s="19" t="s">
        <v>154</v>
      </c>
      <c r="AH516">
        <f t="shared" si="48"/>
        <v>0</v>
      </c>
      <c r="AI516">
        <f t="shared" si="49"/>
        <v>0</v>
      </c>
      <c r="AJ516">
        <f t="shared" si="50"/>
        <v>0</v>
      </c>
      <c r="AK516">
        <f t="shared" si="51"/>
        <v>0</v>
      </c>
      <c r="AL516">
        <f t="shared" si="52"/>
        <v>0</v>
      </c>
    </row>
    <row r="517" spans="33:38" x14ac:dyDescent="0.25">
      <c r="AG517" s="19" t="s">
        <v>155</v>
      </c>
      <c r="AH517">
        <f t="shared" si="48"/>
        <v>0</v>
      </c>
      <c r="AI517">
        <f t="shared" si="49"/>
        <v>0</v>
      </c>
      <c r="AJ517">
        <f t="shared" si="50"/>
        <v>0</v>
      </c>
      <c r="AK517">
        <f t="shared" si="51"/>
        <v>0</v>
      </c>
      <c r="AL517">
        <f t="shared" si="52"/>
        <v>0</v>
      </c>
    </row>
    <row r="518" spans="33:38" x14ac:dyDescent="0.25">
      <c r="AG518" s="19" t="s">
        <v>156</v>
      </c>
      <c r="AH518">
        <f t="shared" si="48"/>
        <v>0</v>
      </c>
      <c r="AI518">
        <f t="shared" si="49"/>
        <v>0</v>
      </c>
      <c r="AJ518">
        <f t="shared" si="50"/>
        <v>0</v>
      </c>
      <c r="AK518">
        <f t="shared" si="51"/>
        <v>0</v>
      </c>
      <c r="AL518">
        <f t="shared" si="52"/>
        <v>0</v>
      </c>
    </row>
    <row r="519" spans="33:38" x14ac:dyDescent="0.25">
      <c r="AG519" s="19" t="s">
        <v>157</v>
      </c>
      <c r="AH519">
        <f t="shared" si="48"/>
        <v>0</v>
      </c>
      <c r="AI519">
        <f t="shared" si="49"/>
        <v>0</v>
      </c>
      <c r="AJ519">
        <f t="shared" si="50"/>
        <v>0</v>
      </c>
      <c r="AK519">
        <f t="shared" si="51"/>
        <v>0</v>
      </c>
      <c r="AL519">
        <f t="shared" si="52"/>
        <v>0</v>
      </c>
    </row>
    <row r="520" spans="33:38" x14ac:dyDescent="0.25">
      <c r="AG520" s="19" t="s">
        <v>158</v>
      </c>
      <c r="AH520">
        <f t="shared" si="48"/>
        <v>0</v>
      </c>
      <c r="AI520">
        <f t="shared" si="49"/>
        <v>0</v>
      </c>
      <c r="AJ520">
        <f t="shared" si="50"/>
        <v>0</v>
      </c>
      <c r="AK520">
        <f t="shared" si="51"/>
        <v>0</v>
      </c>
      <c r="AL520">
        <f t="shared" si="52"/>
        <v>0</v>
      </c>
    </row>
    <row r="521" spans="33:38" x14ac:dyDescent="0.25">
      <c r="AG521" s="19" t="s">
        <v>159</v>
      </c>
      <c r="AH521">
        <f t="shared" si="48"/>
        <v>0</v>
      </c>
      <c r="AI521">
        <f t="shared" si="49"/>
        <v>0</v>
      </c>
      <c r="AJ521">
        <f t="shared" si="50"/>
        <v>0</v>
      </c>
      <c r="AK521">
        <f t="shared" si="51"/>
        <v>0</v>
      </c>
      <c r="AL521">
        <f t="shared" si="52"/>
        <v>0</v>
      </c>
    </row>
    <row r="522" spans="33:38" x14ac:dyDescent="0.25">
      <c r="AG522" s="19" t="s">
        <v>160</v>
      </c>
      <c r="AH522">
        <f t="shared" si="48"/>
        <v>0</v>
      </c>
      <c r="AI522">
        <f t="shared" si="49"/>
        <v>0</v>
      </c>
      <c r="AJ522">
        <f t="shared" si="50"/>
        <v>0</v>
      </c>
      <c r="AK522">
        <f t="shared" si="51"/>
        <v>0</v>
      </c>
      <c r="AL522">
        <f t="shared" si="52"/>
        <v>0</v>
      </c>
    </row>
    <row r="523" spans="33:38" x14ac:dyDescent="0.25">
      <c r="AG523" s="19" t="s">
        <v>161</v>
      </c>
      <c r="AH523">
        <f t="shared" si="48"/>
        <v>0</v>
      </c>
      <c r="AI523">
        <f t="shared" si="49"/>
        <v>0</v>
      </c>
      <c r="AJ523">
        <f t="shared" si="50"/>
        <v>0</v>
      </c>
      <c r="AK523">
        <f t="shared" si="51"/>
        <v>0</v>
      </c>
      <c r="AL523">
        <f t="shared" si="52"/>
        <v>0</v>
      </c>
    </row>
    <row r="524" spans="33:38" x14ac:dyDescent="0.25">
      <c r="AG524" s="19" t="s">
        <v>162</v>
      </c>
      <c r="AH524">
        <f t="shared" si="48"/>
        <v>0</v>
      </c>
      <c r="AI524">
        <f t="shared" si="49"/>
        <v>0</v>
      </c>
      <c r="AJ524">
        <f t="shared" si="50"/>
        <v>0</v>
      </c>
      <c r="AK524">
        <f t="shared" si="51"/>
        <v>0</v>
      </c>
      <c r="AL524">
        <f t="shared" si="52"/>
        <v>0</v>
      </c>
    </row>
    <row r="525" spans="33:38" x14ac:dyDescent="0.25">
      <c r="AG525" s="19" t="s">
        <v>163</v>
      </c>
      <c r="AH525">
        <f t="shared" si="48"/>
        <v>0</v>
      </c>
      <c r="AI525">
        <f t="shared" si="49"/>
        <v>0</v>
      </c>
      <c r="AJ525">
        <f t="shared" si="50"/>
        <v>0</v>
      </c>
      <c r="AK525">
        <f t="shared" si="51"/>
        <v>0</v>
      </c>
      <c r="AL525">
        <f t="shared" si="52"/>
        <v>0</v>
      </c>
    </row>
    <row r="526" spans="33:38" x14ac:dyDescent="0.25">
      <c r="AG526" s="19" t="s">
        <v>164</v>
      </c>
      <c r="AH526">
        <f t="shared" si="48"/>
        <v>0</v>
      </c>
      <c r="AI526">
        <f t="shared" si="49"/>
        <v>0</v>
      </c>
      <c r="AJ526">
        <f t="shared" si="50"/>
        <v>0</v>
      </c>
      <c r="AK526">
        <f t="shared" si="51"/>
        <v>0</v>
      </c>
      <c r="AL526">
        <f t="shared" si="52"/>
        <v>0</v>
      </c>
    </row>
    <row r="527" spans="33:38" x14ac:dyDescent="0.25">
      <c r="AG527" s="19" t="s">
        <v>165</v>
      </c>
      <c r="AH527">
        <f t="shared" si="48"/>
        <v>0</v>
      </c>
      <c r="AI527">
        <f t="shared" si="49"/>
        <v>0</v>
      </c>
      <c r="AJ527">
        <f t="shared" si="50"/>
        <v>0</v>
      </c>
      <c r="AK527">
        <f t="shared" si="51"/>
        <v>0</v>
      </c>
      <c r="AL527">
        <f t="shared" si="52"/>
        <v>1</v>
      </c>
    </row>
    <row r="528" spans="33:38" x14ac:dyDescent="0.25">
      <c r="AG528" s="19" t="s">
        <v>166</v>
      </c>
      <c r="AH528">
        <f t="shared" si="48"/>
        <v>0</v>
      </c>
      <c r="AI528">
        <f t="shared" si="49"/>
        <v>0</v>
      </c>
      <c r="AJ528">
        <f t="shared" si="50"/>
        <v>0</v>
      </c>
      <c r="AK528">
        <f t="shared" si="51"/>
        <v>0</v>
      </c>
      <c r="AL528">
        <f t="shared" si="52"/>
        <v>0</v>
      </c>
    </row>
    <row r="529" spans="33:38" x14ac:dyDescent="0.25">
      <c r="AG529" s="19" t="s">
        <v>167</v>
      </c>
      <c r="AH529">
        <f t="shared" si="48"/>
        <v>0</v>
      </c>
      <c r="AI529">
        <f t="shared" si="49"/>
        <v>0</v>
      </c>
      <c r="AJ529">
        <f t="shared" si="50"/>
        <v>0</v>
      </c>
      <c r="AK529">
        <f t="shared" si="51"/>
        <v>0</v>
      </c>
      <c r="AL529">
        <f t="shared" si="52"/>
        <v>0</v>
      </c>
    </row>
    <row r="530" spans="33:38" x14ac:dyDescent="0.25">
      <c r="AG530" s="19" t="s">
        <v>168</v>
      </c>
      <c r="AH530">
        <f t="shared" si="48"/>
        <v>0</v>
      </c>
      <c r="AI530">
        <f t="shared" si="49"/>
        <v>0</v>
      </c>
      <c r="AJ530">
        <f t="shared" si="50"/>
        <v>0</v>
      </c>
      <c r="AK530">
        <f t="shared" si="51"/>
        <v>0</v>
      </c>
      <c r="AL530">
        <f t="shared" si="52"/>
        <v>0</v>
      </c>
    </row>
    <row r="531" spans="33:38" x14ac:dyDescent="0.25">
      <c r="AG531" s="19" t="s">
        <v>169</v>
      </c>
      <c r="AH531">
        <f t="shared" si="48"/>
        <v>0</v>
      </c>
      <c r="AI531">
        <f t="shared" si="49"/>
        <v>0</v>
      </c>
      <c r="AJ531">
        <f t="shared" si="50"/>
        <v>0</v>
      </c>
      <c r="AK531">
        <f t="shared" si="51"/>
        <v>0</v>
      </c>
      <c r="AL531">
        <f t="shared" si="52"/>
        <v>0</v>
      </c>
    </row>
    <row r="532" spans="33:38" x14ac:dyDescent="0.25">
      <c r="AG532" s="19" t="s">
        <v>170</v>
      </c>
      <c r="AH532">
        <f t="shared" si="48"/>
        <v>0</v>
      </c>
      <c r="AI532">
        <f t="shared" si="49"/>
        <v>0</v>
      </c>
      <c r="AJ532">
        <f t="shared" si="50"/>
        <v>0</v>
      </c>
      <c r="AK532">
        <f t="shared" si="51"/>
        <v>0</v>
      </c>
      <c r="AL532">
        <f t="shared" si="52"/>
        <v>0</v>
      </c>
    </row>
    <row r="533" spans="33:38" x14ac:dyDescent="0.25">
      <c r="AG533" s="19" t="s">
        <v>171</v>
      </c>
      <c r="AH533">
        <f t="shared" si="48"/>
        <v>0</v>
      </c>
      <c r="AI533">
        <f t="shared" si="49"/>
        <v>0</v>
      </c>
      <c r="AJ533">
        <f t="shared" si="50"/>
        <v>0</v>
      </c>
      <c r="AK533">
        <f t="shared" si="51"/>
        <v>0</v>
      </c>
      <c r="AL533">
        <f t="shared" si="52"/>
        <v>0</v>
      </c>
    </row>
    <row r="534" spans="33:38" x14ac:dyDescent="0.25">
      <c r="AG534" s="19" t="s">
        <v>172</v>
      </c>
      <c r="AH534">
        <f t="shared" si="48"/>
        <v>0</v>
      </c>
      <c r="AI534">
        <f t="shared" si="49"/>
        <v>0</v>
      </c>
      <c r="AJ534">
        <f t="shared" si="50"/>
        <v>0</v>
      </c>
      <c r="AK534">
        <f t="shared" si="51"/>
        <v>0</v>
      </c>
      <c r="AL534">
        <f t="shared" si="52"/>
        <v>0</v>
      </c>
    </row>
    <row r="535" spans="33:38" x14ac:dyDescent="0.25">
      <c r="AG535" s="19" t="s">
        <v>173</v>
      </c>
      <c r="AH535">
        <f t="shared" si="48"/>
        <v>1</v>
      </c>
      <c r="AI535">
        <f t="shared" si="49"/>
        <v>0</v>
      </c>
      <c r="AJ535">
        <f t="shared" si="50"/>
        <v>1</v>
      </c>
      <c r="AK535">
        <f t="shared" si="51"/>
        <v>1</v>
      </c>
      <c r="AL535">
        <f t="shared" si="52"/>
        <v>1</v>
      </c>
    </row>
    <row r="536" spans="33:38" x14ac:dyDescent="0.25">
      <c r="AG536" s="19" t="s">
        <v>174</v>
      </c>
      <c r="AH536">
        <f t="shared" si="48"/>
        <v>0</v>
      </c>
      <c r="AI536">
        <f t="shared" si="49"/>
        <v>0</v>
      </c>
      <c r="AJ536">
        <f t="shared" si="50"/>
        <v>0</v>
      </c>
      <c r="AK536">
        <f t="shared" si="51"/>
        <v>0</v>
      </c>
      <c r="AL536">
        <f t="shared" si="52"/>
        <v>0</v>
      </c>
    </row>
    <row r="537" spans="33:38" x14ac:dyDescent="0.25">
      <c r="AG537" s="19" t="s">
        <v>175</v>
      </c>
      <c r="AH537">
        <f t="shared" si="48"/>
        <v>2</v>
      </c>
      <c r="AI537">
        <f t="shared" si="49"/>
        <v>4</v>
      </c>
      <c r="AJ537">
        <f t="shared" si="50"/>
        <v>0</v>
      </c>
      <c r="AK537">
        <f t="shared" si="51"/>
        <v>0</v>
      </c>
      <c r="AL537">
        <f t="shared" si="52"/>
        <v>0</v>
      </c>
    </row>
    <row r="538" spans="33:38" x14ac:dyDescent="0.25">
      <c r="AG538" s="19" t="s">
        <v>176</v>
      </c>
      <c r="AH538">
        <f t="shared" si="48"/>
        <v>0</v>
      </c>
      <c r="AI538">
        <f t="shared" si="49"/>
        <v>0</v>
      </c>
      <c r="AJ538">
        <f t="shared" si="50"/>
        <v>0</v>
      </c>
      <c r="AK538">
        <f t="shared" si="51"/>
        <v>0</v>
      </c>
      <c r="AL538">
        <f t="shared" si="52"/>
        <v>0</v>
      </c>
    </row>
    <row r="539" spans="33:38" x14ac:dyDescent="0.25">
      <c r="AG539" s="19" t="s">
        <v>177</v>
      </c>
      <c r="AH539">
        <f t="shared" si="48"/>
        <v>0</v>
      </c>
      <c r="AI539">
        <f t="shared" si="49"/>
        <v>0</v>
      </c>
      <c r="AJ539">
        <f t="shared" si="50"/>
        <v>0</v>
      </c>
      <c r="AK539">
        <f t="shared" si="51"/>
        <v>0</v>
      </c>
      <c r="AL539">
        <f t="shared" si="52"/>
        <v>1</v>
      </c>
    </row>
    <row r="540" spans="33:38" x14ac:dyDescent="0.25">
      <c r="AG540" s="19" t="s">
        <v>178</v>
      </c>
      <c r="AH540">
        <f t="shared" si="48"/>
        <v>0</v>
      </c>
      <c r="AI540">
        <f t="shared" si="49"/>
        <v>0</v>
      </c>
      <c r="AJ540">
        <f t="shared" si="50"/>
        <v>0</v>
      </c>
      <c r="AK540">
        <f t="shared" si="51"/>
        <v>0</v>
      </c>
      <c r="AL540">
        <f t="shared" si="52"/>
        <v>0</v>
      </c>
    </row>
    <row r="541" spans="33:38" x14ac:dyDescent="0.25">
      <c r="AG541" s="19" t="s">
        <v>179</v>
      </c>
      <c r="AH541">
        <f t="shared" si="48"/>
        <v>0</v>
      </c>
      <c r="AI541">
        <f t="shared" si="49"/>
        <v>0</v>
      </c>
      <c r="AJ541">
        <f t="shared" si="50"/>
        <v>0</v>
      </c>
      <c r="AK541">
        <f t="shared" si="51"/>
        <v>0</v>
      </c>
      <c r="AL541">
        <f t="shared" si="52"/>
        <v>0</v>
      </c>
    </row>
    <row r="542" spans="33:38" x14ac:dyDescent="0.25">
      <c r="AG542" s="19" t="s">
        <v>180</v>
      </c>
      <c r="AH542">
        <f t="shared" si="48"/>
        <v>0</v>
      </c>
      <c r="AI542">
        <f t="shared" si="49"/>
        <v>0</v>
      </c>
      <c r="AJ542">
        <f t="shared" si="50"/>
        <v>0</v>
      </c>
      <c r="AK542">
        <f t="shared" si="51"/>
        <v>0</v>
      </c>
      <c r="AL542">
        <f t="shared" si="52"/>
        <v>0</v>
      </c>
    </row>
    <row r="543" spans="33:38" x14ac:dyDescent="0.25">
      <c r="AG543" s="19" t="s">
        <v>181</v>
      </c>
      <c r="AH543">
        <f t="shared" si="48"/>
        <v>0</v>
      </c>
      <c r="AI543">
        <f t="shared" si="49"/>
        <v>0</v>
      </c>
      <c r="AJ543">
        <f t="shared" si="50"/>
        <v>0</v>
      </c>
      <c r="AK543">
        <f t="shared" si="51"/>
        <v>0</v>
      </c>
      <c r="AL543">
        <f t="shared" si="52"/>
        <v>0</v>
      </c>
    </row>
    <row r="544" spans="33:38" x14ac:dyDescent="0.25">
      <c r="AG544" s="19" t="s">
        <v>182</v>
      </c>
      <c r="AH544">
        <f t="shared" si="48"/>
        <v>0</v>
      </c>
      <c r="AI544">
        <f t="shared" si="49"/>
        <v>0</v>
      </c>
      <c r="AJ544">
        <f t="shared" si="50"/>
        <v>0</v>
      </c>
      <c r="AK544">
        <f t="shared" si="51"/>
        <v>0</v>
      </c>
      <c r="AL544">
        <f t="shared" si="52"/>
        <v>0</v>
      </c>
    </row>
    <row r="545" spans="33:38" x14ac:dyDescent="0.25">
      <c r="AG545" s="19" t="s">
        <v>183</v>
      </c>
      <c r="AH545">
        <f t="shared" si="48"/>
        <v>0</v>
      </c>
      <c r="AI545">
        <f t="shared" si="49"/>
        <v>0</v>
      </c>
      <c r="AJ545">
        <f t="shared" si="50"/>
        <v>0</v>
      </c>
      <c r="AK545">
        <f t="shared" si="51"/>
        <v>0</v>
      </c>
      <c r="AL545">
        <f t="shared" si="52"/>
        <v>0</v>
      </c>
    </row>
    <row r="546" spans="33:38" x14ac:dyDescent="0.25">
      <c r="AG546" s="19" t="s">
        <v>184</v>
      </c>
      <c r="AH546">
        <f t="shared" si="48"/>
        <v>0</v>
      </c>
      <c r="AI546">
        <f t="shared" si="49"/>
        <v>0</v>
      </c>
      <c r="AJ546">
        <f t="shared" si="50"/>
        <v>0</v>
      </c>
      <c r="AK546">
        <f t="shared" si="51"/>
        <v>0</v>
      </c>
      <c r="AL546">
        <f t="shared" si="52"/>
        <v>0</v>
      </c>
    </row>
    <row r="547" spans="33:38" x14ac:dyDescent="0.25">
      <c r="AG547" s="19" t="s">
        <v>185</v>
      </c>
      <c r="AH547">
        <f t="shared" si="48"/>
        <v>0</v>
      </c>
      <c r="AI547">
        <f t="shared" si="49"/>
        <v>0</v>
      </c>
      <c r="AJ547">
        <f t="shared" si="50"/>
        <v>0</v>
      </c>
      <c r="AK547">
        <f t="shared" si="51"/>
        <v>0</v>
      </c>
      <c r="AL547">
        <f t="shared" si="52"/>
        <v>0</v>
      </c>
    </row>
    <row r="548" spans="33:38" x14ac:dyDescent="0.25">
      <c r="AG548" s="19" t="s">
        <v>186</v>
      </c>
      <c r="AH548">
        <f t="shared" si="48"/>
        <v>0</v>
      </c>
      <c r="AI548">
        <f t="shared" si="49"/>
        <v>0</v>
      </c>
      <c r="AJ548">
        <f t="shared" si="50"/>
        <v>0</v>
      </c>
      <c r="AK548">
        <f t="shared" si="51"/>
        <v>0</v>
      </c>
      <c r="AL548">
        <f t="shared" si="52"/>
        <v>0</v>
      </c>
    </row>
    <row r="549" spans="33:38" x14ac:dyDescent="0.25">
      <c r="AG549" s="19" t="s">
        <v>279</v>
      </c>
      <c r="AH549">
        <f t="shared" si="48"/>
        <v>0</v>
      </c>
      <c r="AI549">
        <f t="shared" si="49"/>
        <v>0</v>
      </c>
      <c r="AJ549">
        <f t="shared" si="50"/>
        <v>0</v>
      </c>
      <c r="AK549">
        <f t="shared" si="51"/>
        <v>0</v>
      </c>
      <c r="AL549">
        <f t="shared" si="52"/>
        <v>0</v>
      </c>
    </row>
    <row r="550" spans="33:38" x14ac:dyDescent="0.25">
      <c r="AG550" s="19" t="s">
        <v>187</v>
      </c>
      <c r="AH550">
        <f t="shared" si="48"/>
        <v>0</v>
      </c>
      <c r="AI550">
        <f t="shared" si="49"/>
        <v>0</v>
      </c>
      <c r="AJ550">
        <f t="shared" si="50"/>
        <v>0</v>
      </c>
      <c r="AK550">
        <f t="shared" si="51"/>
        <v>0</v>
      </c>
      <c r="AL550">
        <f t="shared" si="52"/>
        <v>0</v>
      </c>
    </row>
    <row r="551" spans="33:38" x14ac:dyDescent="0.25">
      <c r="AG551" s="19" t="s">
        <v>188</v>
      </c>
      <c r="AH551">
        <f t="shared" si="48"/>
        <v>0</v>
      </c>
      <c r="AI551">
        <f t="shared" si="49"/>
        <v>0</v>
      </c>
      <c r="AJ551">
        <f t="shared" si="50"/>
        <v>0</v>
      </c>
      <c r="AK551">
        <f t="shared" si="51"/>
        <v>0</v>
      </c>
      <c r="AL551">
        <f t="shared" si="52"/>
        <v>0</v>
      </c>
    </row>
    <row r="552" spans="33:38" x14ac:dyDescent="0.25">
      <c r="AG552" s="19" t="s">
        <v>189</v>
      </c>
      <c r="AH552">
        <f t="shared" si="48"/>
        <v>0</v>
      </c>
      <c r="AI552">
        <f t="shared" si="49"/>
        <v>0</v>
      </c>
      <c r="AJ552">
        <f t="shared" si="50"/>
        <v>0</v>
      </c>
      <c r="AK552">
        <f t="shared" si="51"/>
        <v>0</v>
      </c>
      <c r="AL552">
        <f t="shared" si="52"/>
        <v>0</v>
      </c>
    </row>
    <row r="553" spans="33:38" x14ac:dyDescent="0.25">
      <c r="AG553" s="19" t="s">
        <v>265</v>
      </c>
      <c r="AH553">
        <f t="shared" si="48"/>
        <v>0</v>
      </c>
      <c r="AI553">
        <f t="shared" si="49"/>
        <v>0</v>
      </c>
      <c r="AJ553">
        <f t="shared" si="50"/>
        <v>0</v>
      </c>
      <c r="AK553">
        <f t="shared" si="51"/>
        <v>0</v>
      </c>
      <c r="AL553">
        <f t="shared" si="52"/>
        <v>0</v>
      </c>
    </row>
    <row r="554" spans="33:38" x14ac:dyDescent="0.25">
      <c r="AG554" s="19" t="s">
        <v>190</v>
      </c>
      <c r="AH554">
        <f t="shared" si="48"/>
        <v>0</v>
      </c>
      <c r="AI554">
        <f t="shared" si="49"/>
        <v>3</v>
      </c>
      <c r="AJ554">
        <f t="shared" si="50"/>
        <v>1</v>
      </c>
      <c r="AK554">
        <f t="shared" si="51"/>
        <v>1</v>
      </c>
      <c r="AL554">
        <f t="shared" si="52"/>
        <v>3</v>
      </c>
    </row>
    <row r="555" spans="33:38" x14ac:dyDescent="0.25">
      <c r="AG555" s="19" t="s">
        <v>191</v>
      </c>
      <c r="AH555">
        <f t="shared" si="48"/>
        <v>0</v>
      </c>
      <c r="AI555">
        <f t="shared" si="49"/>
        <v>0</v>
      </c>
      <c r="AJ555">
        <f t="shared" si="50"/>
        <v>0</v>
      </c>
      <c r="AK555">
        <f t="shared" si="51"/>
        <v>0</v>
      </c>
      <c r="AL555">
        <f t="shared" si="52"/>
        <v>0</v>
      </c>
    </row>
    <row r="556" spans="33:38" x14ac:dyDescent="0.25">
      <c r="AG556" s="19" t="s">
        <v>192</v>
      </c>
      <c r="AH556">
        <f t="shared" si="48"/>
        <v>0</v>
      </c>
      <c r="AI556">
        <f t="shared" si="49"/>
        <v>0</v>
      </c>
      <c r="AJ556">
        <f t="shared" si="50"/>
        <v>0</v>
      </c>
      <c r="AK556">
        <f t="shared" si="51"/>
        <v>0</v>
      </c>
      <c r="AL556">
        <f t="shared" si="52"/>
        <v>0</v>
      </c>
    </row>
    <row r="557" spans="33:38" x14ac:dyDescent="0.25">
      <c r="AG557" s="19" t="s">
        <v>193</v>
      </c>
      <c r="AH557">
        <f t="shared" si="48"/>
        <v>0</v>
      </c>
      <c r="AI557">
        <f t="shared" si="49"/>
        <v>0</v>
      </c>
      <c r="AJ557">
        <f t="shared" si="50"/>
        <v>0</v>
      </c>
      <c r="AK557">
        <f t="shared" si="51"/>
        <v>0</v>
      </c>
      <c r="AL557">
        <f t="shared" si="52"/>
        <v>0</v>
      </c>
    </row>
    <row r="558" spans="33:38" x14ac:dyDescent="0.25">
      <c r="AG558" s="19" t="s">
        <v>194</v>
      </c>
      <c r="AH558">
        <f t="shared" si="48"/>
        <v>0</v>
      </c>
      <c r="AI558">
        <f t="shared" si="49"/>
        <v>0</v>
      </c>
      <c r="AJ558">
        <f t="shared" si="50"/>
        <v>0</v>
      </c>
      <c r="AK558">
        <f t="shared" si="51"/>
        <v>0</v>
      </c>
      <c r="AL558">
        <f t="shared" si="52"/>
        <v>0</v>
      </c>
    </row>
    <row r="559" spans="33:38" x14ac:dyDescent="0.25">
      <c r="AG559" s="19" t="s">
        <v>195</v>
      </c>
      <c r="AH559">
        <f t="shared" si="48"/>
        <v>3</v>
      </c>
      <c r="AI559">
        <f t="shared" si="49"/>
        <v>6</v>
      </c>
      <c r="AJ559">
        <f t="shared" si="50"/>
        <v>4</v>
      </c>
      <c r="AK559">
        <f t="shared" si="51"/>
        <v>2</v>
      </c>
      <c r="AL559">
        <f t="shared" si="52"/>
        <v>3</v>
      </c>
    </row>
    <row r="560" spans="33:38" x14ac:dyDescent="0.25">
      <c r="AG560" s="19" t="s">
        <v>196</v>
      </c>
      <c r="AH560">
        <f t="shared" si="48"/>
        <v>2</v>
      </c>
      <c r="AI560">
        <f t="shared" si="49"/>
        <v>3</v>
      </c>
      <c r="AJ560">
        <f t="shared" si="50"/>
        <v>1</v>
      </c>
      <c r="AK560">
        <f t="shared" si="51"/>
        <v>0</v>
      </c>
      <c r="AL560">
        <f t="shared" si="52"/>
        <v>0</v>
      </c>
    </row>
    <row r="561" spans="33:38" x14ac:dyDescent="0.25">
      <c r="AG561" s="19" t="s">
        <v>197</v>
      </c>
      <c r="AH561">
        <f t="shared" si="48"/>
        <v>1</v>
      </c>
      <c r="AI561">
        <f t="shared" si="49"/>
        <v>0</v>
      </c>
      <c r="AJ561">
        <f t="shared" si="50"/>
        <v>0</v>
      </c>
      <c r="AK561">
        <f t="shared" si="51"/>
        <v>0</v>
      </c>
      <c r="AL561">
        <f t="shared" si="52"/>
        <v>1</v>
      </c>
    </row>
    <row r="562" spans="33:38" x14ac:dyDescent="0.25">
      <c r="AG562" s="19" t="s">
        <v>198</v>
      </c>
      <c r="AH562">
        <f t="shared" ref="AH562:AH566" si="53">COUNTIF($AH137:$AN137,"&gt;=100%")</f>
        <v>1</v>
      </c>
      <c r="AI562">
        <f t="shared" ref="AI562:AI566" si="54">COUNTIF($AP137:$AV137,"&gt;=100%")</f>
        <v>0</v>
      </c>
      <c r="AJ562">
        <f t="shared" ref="AJ562:AJ566" si="55">COUNTIF($AX137:$BD137,"&gt;=100%")</f>
        <v>0</v>
      </c>
      <c r="AK562">
        <f t="shared" ref="AK562:AK566" si="56">COUNTIF($BF137:$BL137,"&gt;=100%")</f>
        <v>0</v>
      </c>
      <c r="AL562">
        <f t="shared" ref="AL562:AL566" si="57">COUNTIF($BN137:$BT137,"&gt;=100%")</f>
        <v>1</v>
      </c>
    </row>
    <row r="563" spans="33:38" x14ac:dyDescent="0.25">
      <c r="AG563" s="19" t="s">
        <v>199</v>
      </c>
      <c r="AH563">
        <f t="shared" si="53"/>
        <v>0</v>
      </c>
      <c r="AI563">
        <f t="shared" si="54"/>
        <v>0</v>
      </c>
      <c r="AJ563">
        <f t="shared" si="55"/>
        <v>0</v>
      </c>
      <c r="AK563">
        <f t="shared" si="56"/>
        <v>0</v>
      </c>
      <c r="AL563">
        <f t="shared" si="57"/>
        <v>0</v>
      </c>
    </row>
    <row r="564" spans="33:38" x14ac:dyDescent="0.25">
      <c r="AG564" s="19" t="s">
        <v>200</v>
      </c>
      <c r="AH564">
        <f t="shared" si="53"/>
        <v>0</v>
      </c>
      <c r="AI564">
        <f t="shared" si="54"/>
        <v>0</v>
      </c>
      <c r="AJ564">
        <f t="shared" si="55"/>
        <v>0</v>
      </c>
      <c r="AK564">
        <f t="shared" si="56"/>
        <v>0</v>
      </c>
      <c r="AL564">
        <f t="shared" si="57"/>
        <v>0</v>
      </c>
    </row>
    <row r="565" spans="33:38" x14ac:dyDescent="0.25">
      <c r="AG565" s="19" t="s">
        <v>201</v>
      </c>
      <c r="AH565">
        <f t="shared" si="53"/>
        <v>0</v>
      </c>
      <c r="AI565">
        <f t="shared" si="54"/>
        <v>0</v>
      </c>
      <c r="AJ565">
        <f t="shared" si="55"/>
        <v>0</v>
      </c>
      <c r="AK565">
        <f t="shared" si="56"/>
        <v>0</v>
      </c>
      <c r="AL565">
        <f t="shared" si="57"/>
        <v>0</v>
      </c>
    </row>
    <row r="566" spans="33:38" x14ac:dyDescent="0.25">
      <c r="AG566" s="19" t="s">
        <v>202</v>
      </c>
      <c r="AH566">
        <f t="shared" si="53"/>
        <v>0</v>
      </c>
      <c r="AI566">
        <f t="shared" si="54"/>
        <v>0</v>
      </c>
      <c r="AJ566">
        <f t="shared" si="55"/>
        <v>0</v>
      </c>
      <c r="AK566">
        <f t="shared" si="56"/>
        <v>0</v>
      </c>
      <c r="AL566">
        <f t="shared" si="57"/>
        <v>0</v>
      </c>
    </row>
    <row r="567" spans="33:38" x14ac:dyDescent="0.25">
      <c r="AG567" s="19"/>
    </row>
    <row r="568" spans="33:38" x14ac:dyDescent="0.25">
      <c r="AG568" s="19"/>
    </row>
    <row r="569" spans="33:38" x14ac:dyDescent="0.25">
      <c r="AG569" s="19"/>
    </row>
  </sheetData>
  <mergeCells count="1">
    <mergeCell ref="I1:Z1"/>
  </mergeCells>
  <pageMargins left="0.7" right="0.7" top="0.75" bottom="0.75" header="0.3" footer="0.3"/>
  <pageSetup paperSize="9" orientation="portrait" r:id="rId4"/>
  <ignoredErrors>
    <ignoredError sqref="AL43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X18"/>
  <sheetViews>
    <sheetView topLeftCell="AK1" workbookViewId="0">
      <selection activeCell="AR9" sqref="AR9"/>
    </sheetView>
  </sheetViews>
  <sheetFormatPr defaultRowHeight="15" x14ac:dyDescent="0.25"/>
  <cols>
    <col min="1" max="1" width="3.5703125" customWidth="1"/>
    <col min="2" max="2" width="26" bestFit="1" customWidth="1"/>
    <col min="3" max="3" width="16.28515625" bestFit="1" customWidth="1"/>
    <col min="4" max="4" width="27.85546875" customWidth="1"/>
    <col min="5" max="5" width="16" bestFit="1" customWidth="1"/>
    <col min="6" max="6" width="20.140625" customWidth="1"/>
    <col min="7" max="7" width="21.42578125" customWidth="1"/>
    <col min="8" max="8" width="11.28515625" customWidth="1"/>
    <col min="18" max="18" width="27" customWidth="1"/>
    <col min="19" max="19" width="16.28515625" bestFit="1" customWidth="1"/>
    <col min="20" max="20" width="27.85546875" bestFit="1" customWidth="1"/>
    <col min="21" max="21" width="16" bestFit="1" customWidth="1"/>
    <col min="22" max="22" width="20.140625" bestFit="1" customWidth="1"/>
    <col min="23" max="23" width="21.42578125" customWidth="1"/>
    <col min="24" max="25" width="11.28515625" customWidth="1"/>
    <col min="35" max="35" width="27" customWidth="1"/>
    <col min="36" max="36" width="16.28515625" customWidth="1"/>
    <col min="37" max="37" width="27.85546875" customWidth="1"/>
    <col min="38" max="38" width="16.28515625" bestFit="1" customWidth="1"/>
    <col min="39" max="39" width="20.140625" bestFit="1" customWidth="1"/>
    <col min="40" max="40" width="21.42578125" bestFit="1" customWidth="1"/>
    <col min="41" max="41" width="11.28515625" customWidth="1"/>
    <col min="42" max="42" width="11.28515625" bestFit="1" customWidth="1"/>
  </cols>
  <sheetData>
    <row r="1" spans="2:50" x14ac:dyDescent="0.25">
      <c r="B1" s="133" t="s">
        <v>325</v>
      </c>
      <c r="C1" s="133"/>
      <c r="D1" s="133"/>
      <c r="E1" s="133"/>
      <c r="F1" s="133"/>
      <c r="G1" s="133"/>
      <c r="H1" s="133"/>
      <c r="I1" s="133"/>
      <c r="J1" s="133"/>
      <c r="K1" s="133"/>
      <c r="L1" s="133"/>
      <c r="M1" s="133"/>
      <c r="N1" s="133"/>
      <c r="R1" s="131" t="s">
        <v>324</v>
      </c>
      <c r="S1" s="131"/>
      <c r="T1" s="131"/>
      <c r="U1" s="131"/>
      <c r="V1" s="131"/>
      <c r="W1" s="131"/>
      <c r="X1" s="131"/>
      <c r="Y1" s="131"/>
      <c r="Z1" s="131"/>
      <c r="AA1" s="131"/>
      <c r="AB1" s="131"/>
      <c r="AC1" s="131"/>
      <c r="AD1" s="131"/>
      <c r="AE1" s="131"/>
      <c r="AI1" s="131" t="s">
        <v>326</v>
      </c>
      <c r="AJ1" s="131"/>
      <c r="AK1" s="131"/>
      <c r="AL1" s="131"/>
      <c r="AM1" s="131"/>
      <c r="AN1" s="131"/>
      <c r="AO1" s="131"/>
      <c r="AP1" s="131"/>
      <c r="AQ1" s="131"/>
      <c r="AR1" s="131"/>
      <c r="AS1" s="131"/>
      <c r="AT1" s="131"/>
      <c r="AU1" s="131"/>
      <c r="AV1" s="131"/>
    </row>
    <row r="3" spans="2:50" x14ac:dyDescent="0.25">
      <c r="B3" s="18" t="s">
        <v>47</v>
      </c>
      <c r="C3" t="s" vm="2">
        <v>262</v>
      </c>
      <c r="R3" s="18" t="s">
        <v>47</v>
      </c>
      <c r="S3" t="s" vm="2">
        <v>262</v>
      </c>
    </row>
    <row r="4" spans="2:50" x14ac:dyDescent="0.25">
      <c r="J4" t="s">
        <v>48</v>
      </c>
      <c r="K4" t="s">
        <v>2</v>
      </c>
      <c r="L4" t="s">
        <v>65</v>
      </c>
      <c r="M4" t="s">
        <v>3</v>
      </c>
      <c r="N4" t="s">
        <v>270</v>
      </c>
      <c r="O4" t="s">
        <v>269</v>
      </c>
      <c r="P4" t="s">
        <v>298</v>
      </c>
      <c r="AA4" t="s">
        <v>48</v>
      </c>
      <c r="AB4" t="s">
        <v>2</v>
      </c>
      <c r="AC4" t="s">
        <v>65</v>
      </c>
      <c r="AD4" t="s">
        <v>3</v>
      </c>
      <c r="AE4" t="s">
        <v>304</v>
      </c>
      <c r="AF4" t="s">
        <v>305</v>
      </c>
      <c r="AG4" t="s">
        <v>298</v>
      </c>
      <c r="AI4" s="18" t="s">
        <v>47</v>
      </c>
      <c r="AJ4" t="s" vm="3">
        <v>262</v>
      </c>
      <c r="AR4" t="s">
        <v>48</v>
      </c>
      <c r="AS4" t="s">
        <v>2</v>
      </c>
      <c r="AT4" t="s">
        <v>65</v>
      </c>
      <c r="AU4" t="s">
        <v>3</v>
      </c>
      <c r="AV4" t="s">
        <v>304</v>
      </c>
      <c r="AW4" t="s">
        <v>305</v>
      </c>
      <c r="AX4" t="s">
        <v>298</v>
      </c>
    </row>
    <row r="5" spans="2:50" x14ac:dyDescent="0.25">
      <c r="B5" s="18" t="s">
        <v>70</v>
      </c>
      <c r="C5" s="18" t="s">
        <v>49</v>
      </c>
      <c r="I5" s="21" t="s">
        <v>51</v>
      </c>
      <c r="J5">
        <f t="shared" ref="J5:J18" si="0">VLOOKUP($I5,$B$7:$H$1048576,7,FALSE)/7</f>
        <v>40658.428571428572</v>
      </c>
      <c r="K5">
        <f t="shared" ref="K5:K18" si="1">VLOOKUP($I5,$B$7:$H$1048576,2,FALSE)/7</f>
        <v>5844.4285714285716</v>
      </c>
      <c r="L5">
        <f t="shared" ref="L5:L18" si="2">VLOOKUP($I5,$B$7:$H$1048576,3,FALSE)/7</f>
        <v>11579.428571428571</v>
      </c>
      <c r="M5">
        <f t="shared" ref="M5:M18" si="3">VLOOKUP($I5,$B$7:$H$1048576,4,FALSE)/7</f>
        <v>13072.142857142857</v>
      </c>
      <c r="N5">
        <f t="shared" ref="N5:N18" si="4">VLOOKUP($I5,$B$7:$H$1048576,5,FALSE)/7</f>
        <v>6263.1428571428569</v>
      </c>
      <c r="O5">
        <f t="shared" ref="O5:O18" si="5">VLOOKUP($I5,$B$7:$H$1048576,6,FALSE)/7</f>
        <v>3899.2857142857142</v>
      </c>
      <c r="P5">
        <f>N5+O5</f>
        <v>10162.428571428571</v>
      </c>
      <c r="R5" s="18" t="s">
        <v>71</v>
      </c>
      <c r="S5" s="18" t="s">
        <v>49</v>
      </c>
      <c r="Z5" s="21" t="s">
        <v>51</v>
      </c>
      <c r="AA5">
        <f>VLOOKUP($Z5,$R$7:$X$1048576,7,FALSE)/7</f>
        <v>14924.714285714286</v>
      </c>
      <c r="AB5">
        <f t="shared" ref="AB5:AB18" si="6">VLOOKUP($Z5,$R$7:$X$1048576,2,FALSE)/7</f>
        <v>2247</v>
      </c>
      <c r="AC5">
        <f>VLOOKUP($Z5,$R$7:$X$1048576,3,FALSE)/7</f>
        <v>3963.1428571428573</v>
      </c>
      <c r="AD5">
        <f>VLOOKUP($Z5,$R$7:$X$1048576,4,FALSE)/7</f>
        <v>5114.5714285714284</v>
      </c>
      <c r="AE5">
        <f>VLOOKUP($Z5,$R$7:$X$1048576,5,FALSE)/7</f>
        <v>2347</v>
      </c>
      <c r="AF5">
        <f t="shared" ref="AF5:AF18" si="7">VLOOKUP($Z5,$R$7:$X$1048576,6,FALSE)/7</f>
        <v>1253</v>
      </c>
      <c r="AG5">
        <f>AE5+AF5</f>
        <v>3600</v>
      </c>
      <c r="AQ5" s="21">
        <v>1</v>
      </c>
      <c r="AR5">
        <f>AO8/7</f>
        <v>23080.857142857141</v>
      </c>
      <c r="AS5">
        <f>AJ8/7</f>
        <v>3377.4285714285716</v>
      </c>
      <c r="AT5">
        <f>AK8/7</f>
        <v>6382.8571428571431</v>
      </c>
      <c r="AU5">
        <f>AL8/7</f>
        <v>7669.2857142857147</v>
      </c>
      <c r="AV5">
        <f>AM8/7</f>
        <v>3604.4285714285716</v>
      </c>
      <c r="AW5">
        <f>AN8/7</f>
        <v>2046.8571428571429</v>
      </c>
      <c r="AX5">
        <f>AV5+AW5</f>
        <v>5651.2857142857147</v>
      </c>
    </row>
    <row r="6" spans="2:50" x14ac:dyDescent="0.25">
      <c r="B6" s="18" t="s">
        <v>44</v>
      </c>
      <c r="C6" t="s">
        <v>2</v>
      </c>
      <c r="D6" t="s">
        <v>266</v>
      </c>
      <c r="E6" t="s">
        <v>50</v>
      </c>
      <c r="F6" t="s">
        <v>267</v>
      </c>
      <c r="G6" t="s">
        <v>268</v>
      </c>
      <c r="H6" t="s">
        <v>46</v>
      </c>
      <c r="I6" s="20" t="s">
        <v>52</v>
      </c>
      <c r="J6">
        <f t="shared" si="0"/>
        <v>40129.428571428572</v>
      </c>
      <c r="K6">
        <f t="shared" si="1"/>
        <v>5576.7142857142853</v>
      </c>
      <c r="L6">
        <f t="shared" si="2"/>
        <v>11497.428571428571</v>
      </c>
      <c r="M6">
        <f t="shared" si="3"/>
        <v>13060.857142857143</v>
      </c>
      <c r="N6">
        <f t="shared" si="4"/>
        <v>6126.2857142857147</v>
      </c>
      <c r="O6">
        <f t="shared" si="5"/>
        <v>3868.1428571428573</v>
      </c>
      <c r="P6">
        <f>N6+O6</f>
        <v>9994.4285714285725</v>
      </c>
      <c r="R6" s="18" t="s">
        <v>44</v>
      </c>
      <c r="S6" t="s">
        <v>2</v>
      </c>
      <c r="T6" t="s">
        <v>266</v>
      </c>
      <c r="U6" t="s">
        <v>50</v>
      </c>
      <c r="V6" t="s">
        <v>267</v>
      </c>
      <c r="W6" t="s">
        <v>268</v>
      </c>
      <c r="X6" t="s">
        <v>46</v>
      </c>
      <c r="Z6" s="20" t="s">
        <v>52</v>
      </c>
      <c r="AA6">
        <f t="shared" ref="AA6:AA18" si="8">VLOOKUP($Z6,$R$7:$X$1048576,7,FALSE)/7</f>
        <v>14588.571428571429</v>
      </c>
      <c r="AB6">
        <f t="shared" si="6"/>
        <v>2140</v>
      </c>
      <c r="AC6">
        <f t="shared" ref="AC6:AC18" si="9">VLOOKUP($Z6,$R$7:$X$1048576,3,FALSE)/7</f>
        <v>3933.2857142857142</v>
      </c>
      <c r="AD6">
        <f t="shared" ref="AD6:AD18" si="10">VLOOKUP($Z6,$R$7:$X$1048576,4,FALSE)/7</f>
        <v>5007.8571428571431</v>
      </c>
      <c r="AE6">
        <f t="shared" ref="AE6:AE18" si="11">VLOOKUP($Z6,$R$7:$X$1048576,5,FALSE)/7</f>
        <v>2277.7142857142858</v>
      </c>
      <c r="AF6">
        <f t="shared" si="7"/>
        <v>1229.7142857142858</v>
      </c>
      <c r="AG6">
        <f t="shared" ref="AG6:AG18" si="12">AE6+AF6</f>
        <v>3507.4285714285716</v>
      </c>
      <c r="AI6" s="18" t="s">
        <v>331</v>
      </c>
      <c r="AJ6" s="18" t="s">
        <v>49</v>
      </c>
      <c r="AQ6" s="80">
        <v>2</v>
      </c>
      <c r="AR6">
        <f t="shared" ref="AR6:AR17" si="13">AO9/7</f>
        <v>22984.142857142859</v>
      </c>
      <c r="AS6">
        <f t="shared" ref="AS6:AS18" si="14">AJ9/7</f>
        <v>3304.1428571428573</v>
      </c>
      <c r="AT6">
        <f t="shared" ref="AT6:AT18" si="15">AK9/7</f>
        <v>6430.5714285714284</v>
      </c>
      <c r="AU6">
        <f t="shared" ref="AU6:AU18" si="16">AL9/7</f>
        <v>7632.2857142857147</v>
      </c>
      <c r="AV6">
        <f t="shared" ref="AV6:AV18" si="17">AM9/7</f>
        <v>3591.4285714285716</v>
      </c>
      <c r="AW6">
        <f t="shared" ref="AW6:AW18" si="18">AN9/7</f>
        <v>2025.7142857142858</v>
      </c>
      <c r="AX6">
        <f t="shared" ref="AX6:AX18" si="19">AV6+AW6</f>
        <v>5617.1428571428569</v>
      </c>
    </row>
    <row r="7" spans="2:50" x14ac:dyDescent="0.25">
      <c r="B7" s="19" t="s">
        <v>51</v>
      </c>
      <c r="C7" s="2">
        <v>40911</v>
      </c>
      <c r="D7" s="2">
        <v>81056</v>
      </c>
      <c r="E7" s="2">
        <v>91505</v>
      </c>
      <c r="F7" s="2">
        <v>43842</v>
      </c>
      <c r="G7" s="2">
        <v>27295</v>
      </c>
      <c r="H7" s="2">
        <v>284609</v>
      </c>
      <c r="I7" s="20" t="s">
        <v>53</v>
      </c>
      <c r="J7">
        <f t="shared" si="0"/>
        <v>37680.571428571428</v>
      </c>
      <c r="K7">
        <f t="shared" si="1"/>
        <v>5288.7142857142853</v>
      </c>
      <c r="L7">
        <f t="shared" si="2"/>
        <v>10701</v>
      </c>
      <c r="M7">
        <f t="shared" si="3"/>
        <v>12412.285714285714</v>
      </c>
      <c r="N7">
        <f t="shared" si="4"/>
        <v>5749.7142857142853</v>
      </c>
      <c r="O7">
        <f t="shared" si="5"/>
        <v>3528.8571428571427</v>
      </c>
      <c r="P7">
        <f t="shared" ref="P7:P18" si="20">N7+O7</f>
        <v>9278.5714285714275</v>
      </c>
      <c r="R7" s="19" t="s">
        <v>51</v>
      </c>
      <c r="S7" s="2">
        <v>15729</v>
      </c>
      <c r="T7" s="2">
        <v>27742</v>
      </c>
      <c r="U7" s="2">
        <v>35802</v>
      </c>
      <c r="V7" s="2">
        <v>16429</v>
      </c>
      <c r="W7" s="2">
        <v>8771</v>
      </c>
      <c r="X7" s="2">
        <v>104473</v>
      </c>
      <c r="Y7" s="2"/>
      <c r="Z7" s="20" t="s">
        <v>53</v>
      </c>
      <c r="AA7">
        <f t="shared" si="8"/>
        <v>13976.857142857143</v>
      </c>
      <c r="AB7">
        <f t="shared" si="6"/>
        <v>2075.1428571428573</v>
      </c>
      <c r="AC7">
        <f t="shared" si="9"/>
        <v>3757.7142857142858</v>
      </c>
      <c r="AD7">
        <f t="shared" si="10"/>
        <v>4787.1428571428569</v>
      </c>
      <c r="AE7">
        <f t="shared" si="11"/>
        <v>2193</v>
      </c>
      <c r="AF7">
        <f t="shared" si="7"/>
        <v>1163.8571428571429</v>
      </c>
      <c r="AG7">
        <f t="shared" si="12"/>
        <v>3356.8571428571431</v>
      </c>
      <c r="AI7" s="18" t="s">
        <v>44</v>
      </c>
      <c r="AJ7" t="s">
        <v>2</v>
      </c>
      <c r="AK7" t="s">
        <v>266</v>
      </c>
      <c r="AL7" t="s">
        <v>332</v>
      </c>
      <c r="AM7" t="s">
        <v>267</v>
      </c>
      <c r="AN7" t="s">
        <v>268</v>
      </c>
      <c r="AO7" t="s">
        <v>46</v>
      </c>
      <c r="AQ7" s="81">
        <v>3</v>
      </c>
      <c r="AR7">
        <f t="shared" si="13"/>
        <v>21743.714285714286</v>
      </c>
      <c r="AS7">
        <f>AJ10/7</f>
        <v>3159.5714285714284</v>
      </c>
      <c r="AT7">
        <f t="shared" si="15"/>
        <v>6038.4285714285716</v>
      </c>
      <c r="AU7">
        <f t="shared" si="16"/>
        <v>7322.8571428571431</v>
      </c>
      <c r="AV7">
        <f t="shared" si="17"/>
        <v>3338.2857142857142</v>
      </c>
      <c r="AW7">
        <f t="shared" si="18"/>
        <v>1884.5714285714287</v>
      </c>
      <c r="AX7">
        <f t="shared" si="19"/>
        <v>5222.8571428571431</v>
      </c>
    </row>
    <row r="8" spans="2:50" x14ac:dyDescent="0.25">
      <c r="B8" s="19" t="s">
        <v>52</v>
      </c>
      <c r="C8" s="2">
        <v>39037</v>
      </c>
      <c r="D8" s="2">
        <v>80482</v>
      </c>
      <c r="E8" s="2">
        <v>91426</v>
      </c>
      <c r="F8" s="2">
        <v>42884</v>
      </c>
      <c r="G8" s="2">
        <v>27077</v>
      </c>
      <c r="H8" s="2">
        <v>280906</v>
      </c>
      <c r="I8" s="20" t="s">
        <v>54</v>
      </c>
      <c r="J8">
        <f t="shared" si="0"/>
        <v>38508.714285714283</v>
      </c>
      <c r="K8">
        <f t="shared" si="1"/>
        <v>5501.2857142857147</v>
      </c>
      <c r="L8">
        <f t="shared" si="2"/>
        <v>11115.857142857143</v>
      </c>
      <c r="M8">
        <f t="shared" si="3"/>
        <v>12473</v>
      </c>
      <c r="N8">
        <f t="shared" si="4"/>
        <v>5919.4285714285716</v>
      </c>
      <c r="O8">
        <f t="shared" si="5"/>
        <v>3499.1428571428573</v>
      </c>
      <c r="P8">
        <f t="shared" si="20"/>
        <v>9418.5714285714294</v>
      </c>
      <c r="R8" s="19" t="s">
        <v>52</v>
      </c>
      <c r="S8" s="2">
        <v>14980</v>
      </c>
      <c r="T8" s="2">
        <v>27533</v>
      </c>
      <c r="U8" s="2">
        <v>35055</v>
      </c>
      <c r="V8" s="2">
        <v>15944</v>
      </c>
      <c r="W8" s="2">
        <v>8608</v>
      </c>
      <c r="X8" s="2">
        <v>102120</v>
      </c>
      <c r="Y8" s="2"/>
      <c r="Z8" s="20" t="s">
        <v>54</v>
      </c>
      <c r="AA8">
        <f t="shared" si="8"/>
        <v>14105.857142857143</v>
      </c>
      <c r="AB8">
        <f t="shared" si="6"/>
        <v>2102.4285714285716</v>
      </c>
      <c r="AC8">
        <f t="shared" si="9"/>
        <v>3797.2857142857142</v>
      </c>
      <c r="AD8">
        <f t="shared" si="10"/>
        <v>4830.5714285714284</v>
      </c>
      <c r="AE8">
        <f t="shared" si="11"/>
        <v>2214.5714285714284</v>
      </c>
      <c r="AF8">
        <f t="shared" si="7"/>
        <v>1161</v>
      </c>
      <c r="AG8">
        <f t="shared" si="12"/>
        <v>3375.5714285714284</v>
      </c>
      <c r="AI8" s="19" t="s">
        <v>45</v>
      </c>
      <c r="AJ8" s="2">
        <v>23642</v>
      </c>
      <c r="AK8" s="2">
        <v>44680</v>
      </c>
      <c r="AL8" s="2">
        <v>53685</v>
      </c>
      <c r="AM8" s="2">
        <v>25231</v>
      </c>
      <c r="AN8" s="2">
        <v>14328</v>
      </c>
      <c r="AO8" s="2">
        <v>161566</v>
      </c>
      <c r="AQ8" s="81" t="s">
        <v>54</v>
      </c>
      <c r="AR8">
        <f t="shared" si="13"/>
        <v>21803.714285714286</v>
      </c>
      <c r="AS8">
        <f t="shared" si="14"/>
        <v>3217.5714285714284</v>
      </c>
      <c r="AT8">
        <f t="shared" si="15"/>
        <v>6061.8571428571431</v>
      </c>
      <c r="AU8">
        <f t="shared" si="16"/>
        <v>7306.5714285714284</v>
      </c>
      <c r="AV8">
        <f t="shared" si="17"/>
        <v>3370</v>
      </c>
      <c r="AW8">
        <f t="shared" si="18"/>
        <v>1847.7142857142858</v>
      </c>
      <c r="AX8">
        <f t="shared" si="19"/>
        <v>5217.7142857142862</v>
      </c>
    </row>
    <row r="9" spans="2:50" x14ac:dyDescent="0.25">
      <c r="B9" s="19" t="s">
        <v>53</v>
      </c>
      <c r="C9" s="2">
        <v>37021</v>
      </c>
      <c r="D9" s="2">
        <v>74907</v>
      </c>
      <c r="E9" s="2">
        <v>86886</v>
      </c>
      <c r="F9" s="2">
        <v>40248</v>
      </c>
      <c r="G9" s="2">
        <v>24702</v>
      </c>
      <c r="H9" s="2">
        <v>263764</v>
      </c>
      <c r="I9" s="20" t="s">
        <v>55</v>
      </c>
      <c r="J9">
        <f t="shared" si="0"/>
        <v>41687</v>
      </c>
      <c r="K9">
        <f t="shared" si="1"/>
        <v>6074.2857142857147</v>
      </c>
      <c r="L9">
        <f t="shared" si="2"/>
        <v>11851.428571428571</v>
      </c>
      <c r="M9">
        <f t="shared" si="3"/>
        <v>13469.571428571429</v>
      </c>
      <c r="N9">
        <f t="shared" si="4"/>
        <v>6377.5714285714284</v>
      </c>
      <c r="O9">
        <f t="shared" si="5"/>
        <v>3914.1428571428573</v>
      </c>
      <c r="P9">
        <f t="shared" si="20"/>
        <v>10291.714285714286</v>
      </c>
      <c r="R9" s="19" t="s">
        <v>53</v>
      </c>
      <c r="S9" s="2">
        <v>14526</v>
      </c>
      <c r="T9" s="2">
        <v>26304</v>
      </c>
      <c r="U9" s="2">
        <v>33510</v>
      </c>
      <c r="V9" s="2">
        <v>15351</v>
      </c>
      <c r="W9" s="2">
        <v>8147</v>
      </c>
      <c r="X9" s="2">
        <v>97838</v>
      </c>
      <c r="Z9" s="20" t="s">
        <v>55</v>
      </c>
      <c r="AA9">
        <f t="shared" si="8"/>
        <v>15564.142857142857</v>
      </c>
      <c r="AB9">
        <f t="shared" si="6"/>
        <v>2433</v>
      </c>
      <c r="AC9">
        <f t="shared" si="9"/>
        <v>4061.2857142857142</v>
      </c>
      <c r="AD9">
        <f t="shared" si="10"/>
        <v>5301</v>
      </c>
      <c r="AE9">
        <f t="shared" si="11"/>
        <v>2436.8571428571427</v>
      </c>
      <c r="AF9">
        <f t="shared" si="7"/>
        <v>1332</v>
      </c>
      <c r="AG9">
        <f t="shared" si="12"/>
        <v>3768.8571428571427</v>
      </c>
      <c r="AI9" s="19" t="s">
        <v>283</v>
      </c>
      <c r="AJ9" s="2">
        <v>23129</v>
      </c>
      <c r="AK9" s="2">
        <v>45014</v>
      </c>
      <c r="AL9" s="2">
        <v>53426</v>
      </c>
      <c r="AM9" s="2">
        <v>25140</v>
      </c>
      <c r="AN9" s="2">
        <v>14180</v>
      </c>
      <c r="AO9" s="2">
        <v>160889</v>
      </c>
      <c r="AQ9" s="81" t="s">
        <v>55</v>
      </c>
      <c r="AR9">
        <f t="shared" si="13"/>
        <v>24544.714285714286</v>
      </c>
      <c r="AS9">
        <f t="shared" si="14"/>
        <v>3722.8571428571427</v>
      </c>
      <c r="AT9">
        <f t="shared" si="15"/>
        <v>6661.5714285714284</v>
      </c>
      <c r="AU9">
        <f t="shared" si="16"/>
        <v>8149.5714285714284</v>
      </c>
      <c r="AV9">
        <f t="shared" si="17"/>
        <v>3841</v>
      </c>
      <c r="AW9">
        <f t="shared" si="18"/>
        <v>2169.7142857142858</v>
      </c>
      <c r="AX9">
        <f t="shared" si="19"/>
        <v>6010.7142857142862</v>
      </c>
    </row>
    <row r="10" spans="2:50" x14ac:dyDescent="0.25">
      <c r="B10" s="19" t="s">
        <v>54</v>
      </c>
      <c r="C10" s="2">
        <v>38509</v>
      </c>
      <c r="D10" s="2">
        <v>77811</v>
      </c>
      <c r="E10" s="2">
        <v>87311</v>
      </c>
      <c r="F10" s="2">
        <v>41436</v>
      </c>
      <c r="G10" s="2">
        <v>24494</v>
      </c>
      <c r="H10" s="2">
        <v>269561</v>
      </c>
      <c r="I10" s="20" t="s">
        <v>56</v>
      </c>
      <c r="J10" t="e">
        <f t="shared" si="0"/>
        <v>#N/A</v>
      </c>
      <c r="K10" t="e">
        <f t="shared" si="1"/>
        <v>#N/A</v>
      </c>
      <c r="L10" t="e">
        <f t="shared" si="2"/>
        <v>#N/A</v>
      </c>
      <c r="M10" t="e">
        <f t="shared" si="3"/>
        <v>#N/A</v>
      </c>
      <c r="N10" t="e">
        <f t="shared" si="4"/>
        <v>#N/A</v>
      </c>
      <c r="O10" t="e">
        <f t="shared" si="5"/>
        <v>#N/A</v>
      </c>
      <c r="P10" t="e">
        <f t="shared" si="20"/>
        <v>#N/A</v>
      </c>
      <c r="R10" s="19" t="s">
        <v>54</v>
      </c>
      <c r="S10" s="2">
        <v>14717</v>
      </c>
      <c r="T10" s="2">
        <v>26581</v>
      </c>
      <c r="U10" s="2">
        <v>33814</v>
      </c>
      <c r="V10" s="2">
        <v>15502</v>
      </c>
      <c r="W10" s="2">
        <v>8127</v>
      </c>
      <c r="X10" s="2">
        <v>98741</v>
      </c>
      <c r="Z10" s="20" t="s">
        <v>56</v>
      </c>
      <c r="AA10" t="e">
        <f t="shared" si="8"/>
        <v>#N/A</v>
      </c>
      <c r="AB10" t="e">
        <f t="shared" si="6"/>
        <v>#N/A</v>
      </c>
      <c r="AC10" t="e">
        <f t="shared" si="9"/>
        <v>#N/A</v>
      </c>
      <c r="AD10" t="e">
        <f t="shared" si="10"/>
        <v>#N/A</v>
      </c>
      <c r="AE10" t="e">
        <f t="shared" si="11"/>
        <v>#N/A</v>
      </c>
      <c r="AF10" t="e">
        <f t="shared" si="7"/>
        <v>#N/A</v>
      </c>
      <c r="AG10" t="e">
        <f t="shared" si="12"/>
        <v>#N/A</v>
      </c>
      <c r="AI10" s="19" t="s">
        <v>284</v>
      </c>
      <c r="AJ10" s="2">
        <v>22117</v>
      </c>
      <c r="AK10" s="2">
        <v>42269</v>
      </c>
      <c r="AL10" s="2">
        <v>51260</v>
      </c>
      <c r="AM10" s="2">
        <v>23368</v>
      </c>
      <c r="AN10" s="2">
        <v>13192</v>
      </c>
      <c r="AO10" s="2">
        <v>152206</v>
      </c>
      <c r="AQ10" s="81" t="s">
        <v>56</v>
      </c>
      <c r="AR10">
        <f t="shared" si="13"/>
        <v>114157.14285714286</v>
      </c>
      <c r="AS10">
        <f t="shared" si="14"/>
        <v>16781.571428571428</v>
      </c>
      <c r="AT10">
        <f t="shared" si="15"/>
        <v>31575.285714285714</v>
      </c>
      <c r="AU10">
        <f t="shared" si="16"/>
        <v>38080.571428571428</v>
      </c>
      <c r="AV10">
        <f t="shared" si="17"/>
        <v>17745.142857142859</v>
      </c>
      <c r="AW10">
        <f t="shared" si="18"/>
        <v>9974.5714285714294</v>
      </c>
      <c r="AX10">
        <f t="shared" si="19"/>
        <v>27719.71428571429</v>
      </c>
    </row>
    <row r="11" spans="2:50" x14ac:dyDescent="0.25">
      <c r="B11" s="19" t="s">
        <v>55</v>
      </c>
      <c r="C11" s="2">
        <v>42520</v>
      </c>
      <c r="D11" s="2">
        <v>82960</v>
      </c>
      <c r="E11" s="2">
        <v>94287</v>
      </c>
      <c r="F11" s="2">
        <v>44643</v>
      </c>
      <c r="G11" s="2">
        <v>27399</v>
      </c>
      <c r="H11" s="2">
        <v>291809</v>
      </c>
      <c r="I11" s="20" t="s">
        <v>57</v>
      </c>
      <c r="J11" t="e">
        <f t="shared" si="0"/>
        <v>#N/A</v>
      </c>
      <c r="K11" t="e">
        <f t="shared" si="1"/>
        <v>#N/A</v>
      </c>
      <c r="L11" t="e">
        <f t="shared" si="2"/>
        <v>#N/A</v>
      </c>
      <c r="M11" t="e">
        <f t="shared" si="3"/>
        <v>#N/A</v>
      </c>
      <c r="N11" t="e">
        <f t="shared" si="4"/>
        <v>#N/A</v>
      </c>
      <c r="O11" t="e">
        <f t="shared" si="5"/>
        <v>#N/A</v>
      </c>
      <c r="P11" t="e">
        <f t="shared" si="20"/>
        <v>#N/A</v>
      </c>
      <c r="R11" s="19" t="s">
        <v>55</v>
      </c>
      <c r="S11" s="2">
        <v>17031</v>
      </c>
      <c r="T11" s="2">
        <v>28429</v>
      </c>
      <c r="U11" s="2">
        <v>37107</v>
      </c>
      <c r="V11" s="2">
        <v>17058</v>
      </c>
      <c r="W11" s="2">
        <v>9324</v>
      </c>
      <c r="X11" s="2">
        <v>108949</v>
      </c>
      <c r="Z11" s="20" t="s">
        <v>57</v>
      </c>
      <c r="AA11" t="e">
        <f t="shared" si="8"/>
        <v>#N/A</v>
      </c>
      <c r="AB11" t="e">
        <f t="shared" si="6"/>
        <v>#N/A</v>
      </c>
      <c r="AC11" t="e">
        <f t="shared" si="9"/>
        <v>#N/A</v>
      </c>
      <c r="AD11" t="e">
        <f t="shared" si="10"/>
        <v>#N/A</v>
      </c>
      <c r="AE11" t="e">
        <f t="shared" si="11"/>
        <v>#N/A</v>
      </c>
      <c r="AF11" t="e">
        <f t="shared" si="7"/>
        <v>#N/A</v>
      </c>
      <c r="AG11" t="e">
        <f t="shared" si="12"/>
        <v>#N/A</v>
      </c>
      <c r="AI11" s="19" t="s">
        <v>285</v>
      </c>
      <c r="AJ11" s="2">
        <v>22523</v>
      </c>
      <c r="AK11" s="2">
        <v>42433</v>
      </c>
      <c r="AL11" s="2">
        <v>51146</v>
      </c>
      <c r="AM11" s="2">
        <v>23590</v>
      </c>
      <c r="AN11" s="2">
        <v>12934</v>
      </c>
      <c r="AO11" s="2">
        <v>152626</v>
      </c>
      <c r="AQ11" s="81" t="s">
        <v>57</v>
      </c>
      <c r="AR11">
        <f t="shared" si="13"/>
        <v>0</v>
      </c>
      <c r="AS11">
        <f t="shared" si="14"/>
        <v>0</v>
      </c>
      <c r="AT11">
        <f t="shared" si="15"/>
        <v>0</v>
      </c>
      <c r="AU11">
        <f t="shared" si="16"/>
        <v>0</v>
      </c>
      <c r="AV11">
        <f t="shared" si="17"/>
        <v>0</v>
      </c>
      <c r="AW11">
        <f t="shared" si="18"/>
        <v>0</v>
      </c>
      <c r="AX11">
        <f t="shared" si="19"/>
        <v>0</v>
      </c>
    </row>
    <row r="12" spans="2:50" x14ac:dyDescent="0.25">
      <c r="B12" s="19" t="s">
        <v>46</v>
      </c>
      <c r="C12" s="2">
        <v>197998</v>
      </c>
      <c r="D12" s="2">
        <v>397216</v>
      </c>
      <c r="E12" s="2">
        <v>451415</v>
      </c>
      <c r="F12" s="2">
        <v>213053</v>
      </c>
      <c r="G12" s="2">
        <v>130967</v>
      </c>
      <c r="H12" s="2">
        <v>1390649</v>
      </c>
      <c r="I12" s="20" t="s">
        <v>58</v>
      </c>
      <c r="J12" t="e">
        <f t="shared" si="0"/>
        <v>#N/A</v>
      </c>
      <c r="K12" t="e">
        <f t="shared" si="1"/>
        <v>#N/A</v>
      </c>
      <c r="L12" t="e">
        <f t="shared" si="2"/>
        <v>#N/A</v>
      </c>
      <c r="M12" t="e">
        <f t="shared" si="3"/>
        <v>#N/A</v>
      </c>
      <c r="N12" t="e">
        <f t="shared" si="4"/>
        <v>#N/A</v>
      </c>
      <c r="O12" t="e">
        <f t="shared" si="5"/>
        <v>#N/A</v>
      </c>
      <c r="P12" t="e">
        <f t="shared" si="20"/>
        <v>#N/A</v>
      </c>
      <c r="R12" s="19" t="s">
        <v>46</v>
      </c>
      <c r="S12" s="2">
        <v>76983</v>
      </c>
      <c r="T12" s="2">
        <v>136589</v>
      </c>
      <c r="U12" s="2">
        <v>175288</v>
      </c>
      <c r="V12" s="2">
        <v>80284</v>
      </c>
      <c r="W12" s="2">
        <v>42977</v>
      </c>
      <c r="X12" s="2">
        <v>512121</v>
      </c>
      <c r="Z12" s="20" t="s">
        <v>58</v>
      </c>
      <c r="AA12" t="e">
        <f t="shared" si="8"/>
        <v>#N/A</v>
      </c>
      <c r="AB12" t="e">
        <f t="shared" si="6"/>
        <v>#N/A</v>
      </c>
      <c r="AC12" t="e">
        <f t="shared" si="9"/>
        <v>#N/A</v>
      </c>
      <c r="AD12" t="e">
        <f t="shared" si="10"/>
        <v>#N/A</v>
      </c>
      <c r="AE12" t="e">
        <f t="shared" si="11"/>
        <v>#N/A</v>
      </c>
      <c r="AF12" t="e">
        <f t="shared" si="7"/>
        <v>#N/A</v>
      </c>
      <c r="AG12" t="e">
        <f t="shared" si="12"/>
        <v>#N/A</v>
      </c>
      <c r="AI12" s="19" t="s">
        <v>286</v>
      </c>
      <c r="AJ12" s="2">
        <v>26060</v>
      </c>
      <c r="AK12" s="2">
        <v>46631</v>
      </c>
      <c r="AL12" s="2">
        <v>57047</v>
      </c>
      <c r="AM12" s="2">
        <v>26887</v>
      </c>
      <c r="AN12" s="2">
        <v>15188</v>
      </c>
      <c r="AO12" s="2">
        <v>171813</v>
      </c>
      <c r="AQ12" s="81" t="s">
        <v>58</v>
      </c>
      <c r="AR12">
        <f t="shared" si="13"/>
        <v>0</v>
      </c>
      <c r="AS12">
        <f t="shared" si="14"/>
        <v>0</v>
      </c>
      <c r="AT12">
        <f t="shared" si="15"/>
        <v>0</v>
      </c>
      <c r="AU12">
        <f t="shared" si="16"/>
        <v>0</v>
      </c>
      <c r="AV12">
        <f t="shared" si="17"/>
        <v>0</v>
      </c>
      <c r="AW12">
        <f t="shared" si="18"/>
        <v>0</v>
      </c>
      <c r="AX12">
        <f t="shared" si="19"/>
        <v>0</v>
      </c>
    </row>
    <row r="13" spans="2:50" x14ac:dyDescent="0.25">
      <c r="I13" s="20" t="s">
        <v>59</v>
      </c>
      <c r="J13" t="e">
        <f t="shared" si="0"/>
        <v>#N/A</v>
      </c>
      <c r="K13" t="e">
        <f t="shared" si="1"/>
        <v>#N/A</v>
      </c>
      <c r="L13" t="e">
        <f t="shared" si="2"/>
        <v>#N/A</v>
      </c>
      <c r="M13" t="e">
        <f t="shared" si="3"/>
        <v>#N/A</v>
      </c>
      <c r="N13" t="e">
        <f t="shared" si="4"/>
        <v>#N/A</v>
      </c>
      <c r="O13" t="e">
        <f t="shared" si="5"/>
        <v>#N/A</v>
      </c>
      <c r="P13" t="e">
        <f t="shared" si="20"/>
        <v>#N/A</v>
      </c>
      <c r="Z13" s="20" t="s">
        <v>59</v>
      </c>
      <c r="AA13" t="e">
        <f>VLOOKUP($Z13,$R$7:$X$1048576,7,FALSE)/7</f>
        <v>#N/A</v>
      </c>
      <c r="AB13" t="e">
        <f t="shared" si="6"/>
        <v>#N/A</v>
      </c>
      <c r="AC13" t="e">
        <f t="shared" si="9"/>
        <v>#N/A</v>
      </c>
      <c r="AD13" t="e">
        <f t="shared" si="10"/>
        <v>#N/A</v>
      </c>
      <c r="AE13" t="e">
        <f>VLOOKUP($Z13,$R$7:$X$1048576,5,FALSE)/7</f>
        <v>#N/A</v>
      </c>
      <c r="AF13" t="e">
        <f t="shared" si="7"/>
        <v>#N/A</v>
      </c>
      <c r="AG13" t="e">
        <f t="shared" si="12"/>
        <v>#N/A</v>
      </c>
      <c r="AI13" s="19" t="s">
        <v>46</v>
      </c>
      <c r="AJ13" s="2">
        <v>117471</v>
      </c>
      <c r="AK13" s="2">
        <v>221027</v>
      </c>
      <c r="AL13" s="2">
        <v>266564</v>
      </c>
      <c r="AM13" s="2">
        <v>124216</v>
      </c>
      <c r="AN13" s="2">
        <v>69822</v>
      </c>
      <c r="AO13" s="2">
        <v>799100</v>
      </c>
      <c r="AQ13" s="81" t="s">
        <v>59</v>
      </c>
      <c r="AR13">
        <f t="shared" si="13"/>
        <v>0</v>
      </c>
      <c r="AS13">
        <f t="shared" si="14"/>
        <v>0</v>
      </c>
      <c r="AT13">
        <f t="shared" si="15"/>
        <v>0</v>
      </c>
      <c r="AU13">
        <f t="shared" si="16"/>
        <v>0</v>
      </c>
      <c r="AV13">
        <f t="shared" si="17"/>
        <v>0</v>
      </c>
      <c r="AW13">
        <f t="shared" si="18"/>
        <v>0</v>
      </c>
      <c r="AX13">
        <f t="shared" si="19"/>
        <v>0</v>
      </c>
    </row>
    <row r="14" spans="2:50" x14ac:dyDescent="0.25">
      <c r="I14" s="20" t="s">
        <v>60</v>
      </c>
      <c r="J14" t="e">
        <f t="shared" si="0"/>
        <v>#N/A</v>
      </c>
      <c r="K14" t="e">
        <f t="shared" si="1"/>
        <v>#N/A</v>
      </c>
      <c r="L14" t="e">
        <f t="shared" si="2"/>
        <v>#N/A</v>
      </c>
      <c r="M14" t="e">
        <f t="shared" si="3"/>
        <v>#N/A</v>
      </c>
      <c r="N14" t="e">
        <f t="shared" si="4"/>
        <v>#N/A</v>
      </c>
      <c r="O14" t="e">
        <f t="shared" si="5"/>
        <v>#N/A</v>
      </c>
      <c r="P14" t="e">
        <f t="shared" si="20"/>
        <v>#N/A</v>
      </c>
      <c r="Z14" s="20" t="s">
        <v>60</v>
      </c>
      <c r="AA14" t="e">
        <f t="shared" si="8"/>
        <v>#N/A</v>
      </c>
      <c r="AB14" t="e">
        <f t="shared" si="6"/>
        <v>#N/A</v>
      </c>
      <c r="AC14" t="e">
        <f t="shared" si="9"/>
        <v>#N/A</v>
      </c>
      <c r="AD14" t="e">
        <f t="shared" si="10"/>
        <v>#N/A</v>
      </c>
      <c r="AE14" t="e">
        <f t="shared" si="11"/>
        <v>#N/A</v>
      </c>
      <c r="AF14" t="e">
        <f t="shared" si="7"/>
        <v>#N/A</v>
      </c>
      <c r="AG14" t="e">
        <f t="shared" si="12"/>
        <v>#N/A</v>
      </c>
      <c r="AQ14" s="81" t="s">
        <v>60</v>
      </c>
      <c r="AR14">
        <f t="shared" si="13"/>
        <v>0</v>
      </c>
      <c r="AS14">
        <f t="shared" si="14"/>
        <v>0</v>
      </c>
      <c r="AT14">
        <f t="shared" si="15"/>
        <v>0</v>
      </c>
      <c r="AU14">
        <f t="shared" si="16"/>
        <v>0</v>
      </c>
      <c r="AV14">
        <f t="shared" si="17"/>
        <v>0</v>
      </c>
      <c r="AW14">
        <f t="shared" si="18"/>
        <v>0</v>
      </c>
      <c r="AX14">
        <f t="shared" si="19"/>
        <v>0</v>
      </c>
    </row>
    <row r="15" spans="2:50" x14ac:dyDescent="0.25">
      <c r="I15" s="20" t="s">
        <v>61</v>
      </c>
      <c r="J15" t="e">
        <f t="shared" si="0"/>
        <v>#N/A</v>
      </c>
      <c r="K15" t="e">
        <f t="shared" si="1"/>
        <v>#N/A</v>
      </c>
      <c r="L15" t="e">
        <f t="shared" si="2"/>
        <v>#N/A</v>
      </c>
      <c r="M15" t="e">
        <f t="shared" si="3"/>
        <v>#N/A</v>
      </c>
      <c r="N15" t="e">
        <f t="shared" si="4"/>
        <v>#N/A</v>
      </c>
      <c r="O15" t="e">
        <f t="shared" si="5"/>
        <v>#N/A</v>
      </c>
      <c r="P15" t="e">
        <f t="shared" si="20"/>
        <v>#N/A</v>
      </c>
      <c r="Z15" s="20" t="s">
        <v>61</v>
      </c>
      <c r="AA15" t="e">
        <f t="shared" si="8"/>
        <v>#N/A</v>
      </c>
      <c r="AB15" t="e">
        <f t="shared" si="6"/>
        <v>#N/A</v>
      </c>
      <c r="AC15" t="e">
        <f t="shared" si="9"/>
        <v>#N/A</v>
      </c>
      <c r="AD15" t="e">
        <f t="shared" si="10"/>
        <v>#N/A</v>
      </c>
      <c r="AE15" t="e">
        <f t="shared" si="11"/>
        <v>#N/A</v>
      </c>
      <c r="AF15" t="e">
        <f t="shared" si="7"/>
        <v>#N/A</v>
      </c>
      <c r="AG15" t="e">
        <f t="shared" si="12"/>
        <v>#N/A</v>
      </c>
      <c r="AQ15" s="81" t="s">
        <v>61</v>
      </c>
      <c r="AR15">
        <f t="shared" si="13"/>
        <v>0</v>
      </c>
      <c r="AS15">
        <f t="shared" si="14"/>
        <v>0</v>
      </c>
      <c r="AT15">
        <f t="shared" si="15"/>
        <v>0</v>
      </c>
      <c r="AU15">
        <f t="shared" si="16"/>
        <v>0</v>
      </c>
      <c r="AV15">
        <f t="shared" si="17"/>
        <v>0</v>
      </c>
      <c r="AW15">
        <f t="shared" si="18"/>
        <v>0</v>
      </c>
      <c r="AX15">
        <f t="shared" si="19"/>
        <v>0</v>
      </c>
    </row>
    <row r="16" spans="2:50" x14ac:dyDescent="0.25">
      <c r="I16" s="20" t="s">
        <v>62</v>
      </c>
      <c r="J16" t="e">
        <f t="shared" si="0"/>
        <v>#N/A</v>
      </c>
      <c r="K16" t="e">
        <f t="shared" si="1"/>
        <v>#N/A</v>
      </c>
      <c r="L16" t="e">
        <f t="shared" si="2"/>
        <v>#N/A</v>
      </c>
      <c r="M16" t="e">
        <f t="shared" si="3"/>
        <v>#N/A</v>
      </c>
      <c r="N16" t="e">
        <f t="shared" si="4"/>
        <v>#N/A</v>
      </c>
      <c r="O16" t="e">
        <f t="shared" si="5"/>
        <v>#N/A</v>
      </c>
      <c r="P16" t="e">
        <f t="shared" si="20"/>
        <v>#N/A</v>
      </c>
      <c r="Z16" s="20" t="s">
        <v>62</v>
      </c>
      <c r="AA16" t="e">
        <f t="shared" si="8"/>
        <v>#N/A</v>
      </c>
      <c r="AB16" t="e">
        <f t="shared" si="6"/>
        <v>#N/A</v>
      </c>
      <c r="AC16" t="e">
        <f t="shared" si="9"/>
        <v>#N/A</v>
      </c>
      <c r="AD16" t="e">
        <f t="shared" si="10"/>
        <v>#N/A</v>
      </c>
      <c r="AE16" t="e">
        <f t="shared" si="11"/>
        <v>#N/A</v>
      </c>
      <c r="AF16" t="e">
        <f t="shared" si="7"/>
        <v>#N/A</v>
      </c>
      <c r="AG16" t="e">
        <f t="shared" si="12"/>
        <v>#N/A</v>
      </c>
      <c r="AQ16" s="81" t="s">
        <v>62</v>
      </c>
      <c r="AR16">
        <f t="shared" si="13"/>
        <v>0</v>
      </c>
      <c r="AS16">
        <f t="shared" si="14"/>
        <v>0</v>
      </c>
      <c r="AT16">
        <f t="shared" si="15"/>
        <v>0</v>
      </c>
      <c r="AU16">
        <f t="shared" si="16"/>
        <v>0</v>
      </c>
      <c r="AV16">
        <f t="shared" si="17"/>
        <v>0</v>
      </c>
      <c r="AW16">
        <f t="shared" si="18"/>
        <v>0</v>
      </c>
      <c r="AX16">
        <f t="shared" si="19"/>
        <v>0</v>
      </c>
    </row>
    <row r="17" spans="9:50" x14ac:dyDescent="0.25">
      <c r="I17" s="20" t="s">
        <v>63</v>
      </c>
      <c r="J17" t="e">
        <f t="shared" si="0"/>
        <v>#N/A</v>
      </c>
      <c r="K17" t="e">
        <f t="shared" si="1"/>
        <v>#N/A</v>
      </c>
      <c r="L17" t="e">
        <f t="shared" si="2"/>
        <v>#N/A</v>
      </c>
      <c r="M17" t="e">
        <f t="shared" si="3"/>
        <v>#N/A</v>
      </c>
      <c r="N17" t="e">
        <f t="shared" si="4"/>
        <v>#N/A</v>
      </c>
      <c r="O17" t="e">
        <f t="shared" si="5"/>
        <v>#N/A</v>
      </c>
      <c r="P17" t="e">
        <f t="shared" si="20"/>
        <v>#N/A</v>
      </c>
      <c r="Z17" s="20" t="s">
        <v>63</v>
      </c>
      <c r="AA17" t="e">
        <f t="shared" si="8"/>
        <v>#N/A</v>
      </c>
      <c r="AB17" t="e">
        <f t="shared" si="6"/>
        <v>#N/A</v>
      </c>
      <c r="AC17" t="e">
        <f t="shared" si="9"/>
        <v>#N/A</v>
      </c>
      <c r="AD17" t="e">
        <f t="shared" si="10"/>
        <v>#N/A</v>
      </c>
      <c r="AE17" t="e">
        <f t="shared" si="11"/>
        <v>#N/A</v>
      </c>
      <c r="AF17" t="e">
        <f>VLOOKUP($Z17,$R$7:$X$1048576,6,FALSE)/7</f>
        <v>#N/A</v>
      </c>
      <c r="AG17" t="e">
        <f t="shared" si="12"/>
        <v>#N/A</v>
      </c>
      <c r="AQ17" s="81" t="s">
        <v>63</v>
      </c>
      <c r="AR17">
        <f t="shared" si="13"/>
        <v>0</v>
      </c>
      <c r="AS17">
        <f t="shared" si="14"/>
        <v>0</v>
      </c>
      <c r="AT17">
        <f t="shared" si="15"/>
        <v>0</v>
      </c>
      <c r="AU17">
        <f t="shared" si="16"/>
        <v>0</v>
      </c>
      <c r="AV17">
        <f t="shared" si="17"/>
        <v>0</v>
      </c>
      <c r="AW17">
        <f t="shared" si="18"/>
        <v>0</v>
      </c>
      <c r="AX17">
        <f t="shared" si="19"/>
        <v>0</v>
      </c>
    </row>
    <row r="18" spans="9:50" x14ac:dyDescent="0.25">
      <c r="I18" s="20" t="s">
        <v>64</v>
      </c>
      <c r="J18" t="e">
        <f t="shared" si="0"/>
        <v>#N/A</v>
      </c>
      <c r="K18" t="e">
        <f t="shared" si="1"/>
        <v>#N/A</v>
      </c>
      <c r="L18" t="e">
        <f t="shared" si="2"/>
        <v>#N/A</v>
      </c>
      <c r="M18" t="e">
        <f t="shared" si="3"/>
        <v>#N/A</v>
      </c>
      <c r="N18" t="e">
        <f t="shared" si="4"/>
        <v>#N/A</v>
      </c>
      <c r="O18" t="e">
        <f t="shared" si="5"/>
        <v>#N/A</v>
      </c>
      <c r="P18" t="e">
        <f t="shared" si="20"/>
        <v>#N/A</v>
      </c>
      <c r="Z18" s="20" t="s">
        <v>64</v>
      </c>
      <c r="AA18" t="e">
        <f t="shared" si="8"/>
        <v>#N/A</v>
      </c>
      <c r="AB18" t="e">
        <f t="shared" si="6"/>
        <v>#N/A</v>
      </c>
      <c r="AC18" t="e">
        <f t="shared" si="9"/>
        <v>#N/A</v>
      </c>
      <c r="AD18" t="e">
        <f t="shared" si="10"/>
        <v>#N/A</v>
      </c>
      <c r="AE18" t="e">
        <f t="shared" si="11"/>
        <v>#N/A</v>
      </c>
      <c r="AF18" t="e">
        <f t="shared" si="7"/>
        <v>#N/A</v>
      </c>
      <c r="AG18" t="e">
        <f t="shared" si="12"/>
        <v>#N/A</v>
      </c>
      <c r="AQ18" s="81" t="s">
        <v>64</v>
      </c>
      <c r="AR18">
        <f>AO21/7</f>
        <v>0</v>
      </c>
      <c r="AS18">
        <f t="shared" si="14"/>
        <v>0</v>
      </c>
      <c r="AT18">
        <f t="shared" si="15"/>
        <v>0</v>
      </c>
      <c r="AU18">
        <f t="shared" si="16"/>
        <v>0</v>
      </c>
      <c r="AV18">
        <f t="shared" si="17"/>
        <v>0</v>
      </c>
      <c r="AW18">
        <f t="shared" si="18"/>
        <v>0</v>
      </c>
      <c r="AX18">
        <f t="shared" si="19"/>
        <v>0</v>
      </c>
    </row>
  </sheetData>
  <mergeCells count="3">
    <mergeCell ref="B1:N1"/>
    <mergeCell ref="R1:AE1"/>
    <mergeCell ref="AI1:AV1"/>
  </mergeCell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L147"/>
  <sheetViews>
    <sheetView topLeftCell="Q118" workbookViewId="0">
      <selection activeCell="AD143" sqref="AD143"/>
    </sheetView>
  </sheetViews>
  <sheetFormatPr defaultRowHeight="15" x14ac:dyDescent="0.25"/>
  <cols>
    <col min="2" max="2" width="13.140625" bestFit="1" customWidth="1"/>
    <col min="3" max="3" width="27.42578125" bestFit="1" customWidth="1"/>
    <col min="7" max="7" width="27.42578125" bestFit="1" customWidth="1"/>
    <col min="8" max="8" width="16.28515625" bestFit="1" customWidth="1"/>
    <col min="9" max="9" width="27.85546875" bestFit="1" customWidth="1"/>
    <col min="10" max="10" width="16" bestFit="1" customWidth="1"/>
    <col min="11" max="11" width="20.140625" bestFit="1" customWidth="1"/>
    <col min="12" max="12" width="21.42578125" bestFit="1" customWidth="1"/>
    <col min="13" max="13" width="11.28515625" bestFit="1" customWidth="1"/>
    <col min="25" max="25" width="78.140625" customWidth="1"/>
    <col min="26" max="26" width="16.28515625" customWidth="1"/>
    <col min="27" max="39" width="7.7109375" customWidth="1"/>
    <col min="41" max="41" width="13.140625" customWidth="1"/>
    <col min="42" max="42" width="27.42578125" customWidth="1"/>
    <col min="47" max="47" width="13.140625" bestFit="1" customWidth="1"/>
    <col min="48" max="48" width="32.42578125" bestFit="1" customWidth="1"/>
    <col min="52" max="52" width="32.42578125" bestFit="1" customWidth="1"/>
    <col min="53" max="53" width="16.28515625" bestFit="1" customWidth="1"/>
    <col min="54" max="54" width="27.85546875" bestFit="1" customWidth="1"/>
    <col min="55" max="55" width="16" bestFit="1" customWidth="1"/>
    <col min="56" max="56" width="20.140625" bestFit="1" customWidth="1"/>
    <col min="57" max="57" width="21.42578125" bestFit="1" customWidth="1"/>
    <col min="58" max="58" width="11.28515625" bestFit="1" customWidth="1"/>
    <col min="69" max="69" width="7.7109375" customWidth="1"/>
    <col min="70" max="70" width="78.140625" customWidth="1"/>
    <col min="71" max="71" width="16.28515625" customWidth="1"/>
    <col min="72" max="85" width="7.7109375" customWidth="1"/>
    <col min="87" max="87" width="13.140625" bestFit="1" customWidth="1"/>
    <col min="88" max="88" width="32.42578125" bestFit="1" customWidth="1"/>
  </cols>
  <sheetData>
    <row r="1" spans="2:90" s="17" customFormat="1" x14ac:dyDescent="0.25">
      <c r="B1" s="45" t="s">
        <v>308</v>
      </c>
      <c r="C1" s="53"/>
      <c r="D1" s="38"/>
      <c r="E1" s="38"/>
      <c r="F1" s="38"/>
      <c r="G1" s="131" t="s">
        <v>309</v>
      </c>
      <c r="H1" s="131"/>
      <c r="I1" s="131"/>
      <c r="J1" s="131"/>
      <c r="K1" s="131"/>
      <c r="L1" s="131"/>
      <c r="M1" s="131"/>
      <c r="N1" s="131"/>
      <c r="O1" s="131"/>
      <c r="P1" s="131"/>
      <c r="Q1" s="131"/>
      <c r="R1" s="131"/>
      <c r="S1" s="131"/>
      <c r="T1" s="131"/>
      <c r="U1" s="131"/>
      <c r="V1" s="131"/>
      <c r="W1" s="38"/>
      <c r="X1" s="38"/>
      <c r="Y1" s="130" t="s">
        <v>313</v>
      </c>
      <c r="Z1" s="130"/>
      <c r="AA1" s="130"/>
      <c r="AB1" s="130"/>
      <c r="AC1" s="130"/>
      <c r="AD1" s="130"/>
      <c r="AE1" s="130"/>
      <c r="AF1" s="130"/>
      <c r="AG1" s="130"/>
      <c r="AH1" s="130"/>
      <c r="AI1" s="130"/>
      <c r="AJ1" s="130"/>
      <c r="AK1" s="130"/>
      <c r="AL1" s="130"/>
      <c r="AM1" s="130"/>
      <c r="AN1" s="38"/>
      <c r="AO1" s="130" t="s">
        <v>314</v>
      </c>
      <c r="AP1" s="130"/>
      <c r="AQ1" s="130"/>
      <c r="AR1" s="130"/>
      <c r="AT1" s="38"/>
      <c r="AU1" s="45" t="s">
        <v>315</v>
      </c>
      <c r="AV1" s="48"/>
      <c r="AW1" s="48"/>
      <c r="AX1" s="38"/>
      <c r="AY1" s="38"/>
      <c r="AZ1" s="131" t="s">
        <v>316</v>
      </c>
      <c r="BA1" s="131"/>
      <c r="BB1" s="131"/>
      <c r="BC1" s="131"/>
      <c r="BD1" s="131"/>
      <c r="BE1" s="131"/>
      <c r="BF1" s="131"/>
      <c r="BG1" s="131"/>
      <c r="BH1" s="131"/>
      <c r="BI1" s="131"/>
      <c r="BJ1" s="131"/>
      <c r="BK1" s="131"/>
      <c r="BL1" s="131"/>
      <c r="BM1" s="131"/>
      <c r="BN1" s="131"/>
      <c r="BO1" s="131"/>
      <c r="BP1" s="38"/>
      <c r="BQ1" s="38"/>
      <c r="BR1" s="130" t="s">
        <v>317</v>
      </c>
      <c r="BS1" s="130"/>
      <c r="BT1" s="130"/>
      <c r="BU1" s="130"/>
      <c r="BV1" s="130"/>
      <c r="BW1" s="130"/>
      <c r="BX1" s="130"/>
      <c r="BY1" s="130"/>
      <c r="BZ1" s="130"/>
      <c r="CA1" s="130"/>
      <c r="CB1" s="130"/>
      <c r="CC1" s="130"/>
      <c r="CD1" s="130"/>
      <c r="CE1" s="130"/>
      <c r="CF1" s="130"/>
      <c r="CG1" s="38"/>
      <c r="CI1" s="130" t="s">
        <v>318</v>
      </c>
      <c r="CJ1" s="130"/>
      <c r="CK1" s="130"/>
      <c r="CL1" s="130"/>
    </row>
    <row r="2" spans="2:90" x14ac:dyDescent="0.25">
      <c r="BQ2" s="44"/>
      <c r="BR2" s="44"/>
      <c r="BS2" s="44"/>
      <c r="BT2" s="44"/>
      <c r="BU2" s="44"/>
      <c r="BV2" s="44"/>
      <c r="BW2" s="44"/>
      <c r="BX2" s="44"/>
      <c r="BY2" s="44"/>
      <c r="BZ2" s="44"/>
      <c r="CA2" s="44"/>
      <c r="CB2" s="44"/>
      <c r="CC2" s="44"/>
      <c r="CD2" s="44"/>
      <c r="CE2" s="44"/>
      <c r="CF2" s="44"/>
      <c r="CG2" s="44"/>
    </row>
    <row r="3" spans="2:90" x14ac:dyDescent="0.25">
      <c r="B3" s="18" t="s">
        <v>47</v>
      </c>
      <c r="C3" t="s" vm="2">
        <v>262</v>
      </c>
      <c r="G3" s="18" t="s">
        <v>47</v>
      </c>
      <c r="H3" t="s" vm="2">
        <v>262</v>
      </c>
      <c r="P3" t="s">
        <v>48</v>
      </c>
      <c r="Q3" t="s">
        <v>2</v>
      </c>
      <c r="R3" t="s">
        <v>65</v>
      </c>
      <c r="S3" t="s">
        <v>3</v>
      </c>
      <c r="T3" t="s">
        <v>270</v>
      </c>
      <c r="U3" t="s">
        <v>278</v>
      </c>
      <c r="V3" t="s">
        <v>298</v>
      </c>
      <c r="Y3" s="18" t="s">
        <v>47</v>
      </c>
      <c r="Z3" t="s" vm="2">
        <v>262</v>
      </c>
      <c r="AO3" s="18" t="s">
        <v>47</v>
      </c>
      <c r="AP3" t="s" vm="2">
        <v>262</v>
      </c>
      <c r="AU3" s="18" t="s">
        <v>47</v>
      </c>
      <c r="AV3" t="s" vm="2">
        <v>262</v>
      </c>
      <c r="AZ3" s="18" t="s">
        <v>47</v>
      </c>
      <c r="BA3" t="s" vm="2">
        <v>262</v>
      </c>
      <c r="BR3" s="18" t="s">
        <v>47</v>
      </c>
      <c r="BS3" t="s" vm="2">
        <v>262</v>
      </c>
      <c r="CI3" s="18" t="s">
        <v>47</v>
      </c>
      <c r="CJ3" t="s" vm="2">
        <v>262</v>
      </c>
    </row>
    <row r="4" spans="2:90" x14ac:dyDescent="0.25">
      <c r="O4" s="21" t="s">
        <v>51</v>
      </c>
      <c r="P4" s="25">
        <f>VLOOKUP($O4,$G$7:$M$1048576,7,FALSE)/7</f>
        <v>493.57142857142856</v>
      </c>
      <c r="Q4" s="25">
        <f>VLOOKUP($O4,$G$7:$M$1048576,2,FALSE)/7</f>
        <v>44.714285714285715</v>
      </c>
      <c r="R4" s="25">
        <f>VLOOKUP($O4,$G$7:$M$1048576,3,FALSE)/7</f>
        <v>202.85714285714286</v>
      </c>
      <c r="S4" s="25">
        <f>VLOOKUP($O4,$G$7:$M$1048576,4,FALSE)/7</f>
        <v>194.28571428571428</v>
      </c>
      <c r="T4" s="25">
        <f>VLOOKUP($O4,$G$7:$M$1048576,5,FALSE)/7</f>
        <v>30.142857142857142</v>
      </c>
      <c r="U4" s="25">
        <f>VLOOKUP($O4,$G$7:$M$1048576,6,FALSE)/7</f>
        <v>21.571428571428573</v>
      </c>
      <c r="V4" s="26">
        <f>T4+U4</f>
        <v>51.714285714285715</v>
      </c>
    </row>
    <row r="5" spans="2:90" x14ac:dyDescent="0.25">
      <c r="B5" s="18" t="s">
        <v>44</v>
      </c>
      <c r="C5" t="s">
        <v>72</v>
      </c>
      <c r="G5" s="18" t="s">
        <v>72</v>
      </c>
      <c r="H5" s="18" t="s">
        <v>49</v>
      </c>
      <c r="O5" s="20" t="s">
        <v>52</v>
      </c>
      <c r="P5" s="25">
        <f t="shared" ref="P5:P17" si="0">VLOOKUP($O5,$G$7:$M$1048576,7,FALSE)/7</f>
        <v>372.85714285714283</v>
      </c>
      <c r="Q5" s="25">
        <f t="shared" ref="Q5:Q17" si="1">VLOOKUP($O5,$G$7:$M$1048576,2,FALSE)/7</f>
        <v>46.142857142857146</v>
      </c>
      <c r="R5" s="25">
        <f t="shared" ref="R5:R17" si="2">VLOOKUP($O5,$G$7:$M$1048576,3,FALSE)/7</f>
        <v>71.142857142857139</v>
      </c>
      <c r="S5" s="25">
        <f t="shared" ref="S5:S17" si="3">VLOOKUP($O5,$G$7:$M$1048576,4,FALSE)/7</f>
        <v>191.28571428571428</v>
      </c>
      <c r="T5" s="25">
        <f t="shared" ref="T5:T17" si="4">VLOOKUP($O5,$G$7:$M$1048576,5,FALSE)/7</f>
        <v>21.857142857142858</v>
      </c>
      <c r="U5" s="25">
        <f t="shared" ref="U5:U17" si="5">VLOOKUP($O5,$G$7:$M$1048576,6,FALSE)/7</f>
        <v>42.428571428571431</v>
      </c>
      <c r="V5" s="26">
        <f t="shared" ref="V5:V17" si="6">T5+U5</f>
        <v>64.285714285714292</v>
      </c>
      <c r="Y5" s="18" t="s">
        <v>72</v>
      </c>
      <c r="Z5" s="18" t="s">
        <v>49</v>
      </c>
      <c r="AO5" s="18" t="s">
        <v>44</v>
      </c>
      <c r="AP5" t="s">
        <v>72</v>
      </c>
      <c r="AU5" s="18" t="s">
        <v>44</v>
      </c>
      <c r="AV5" t="s">
        <v>203</v>
      </c>
      <c r="AZ5" s="18" t="s">
        <v>203</v>
      </c>
      <c r="BA5" s="18" t="s">
        <v>49</v>
      </c>
      <c r="BI5" t="s">
        <v>48</v>
      </c>
      <c r="BJ5" t="s">
        <v>2</v>
      </c>
      <c r="BK5" t="s">
        <v>65</v>
      </c>
      <c r="BL5" t="s">
        <v>3</v>
      </c>
      <c r="BM5" t="s">
        <v>270</v>
      </c>
      <c r="BN5" t="s">
        <v>305</v>
      </c>
      <c r="BO5" t="s">
        <v>298</v>
      </c>
      <c r="BR5" s="18" t="s">
        <v>203</v>
      </c>
      <c r="BS5" s="18" t="s">
        <v>49</v>
      </c>
      <c r="CI5" s="18" t="s">
        <v>44</v>
      </c>
      <c r="CJ5" t="s">
        <v>203</v>
      </c>
    </row>
    <row r="6" spans="2:90" x14ac:dyDescent="0.25">
      <c r="B6" s="19" t="s">
        <v>45</v>
      </c>
      <c r="C6" s="2">
        <v>3455</v>
      </c>
      <c r="D6" s="20"/>
      <c r="E6" s="20">
        <f>C6/4</f>
        <v>863.75</v>
      </c>
      <c r="F6" s="20"/>
      <c r="G6" s="18" t="s">
        <v>44</v>
      </c>
      <c r="H6" t="s">
        <v>2</v>
      </c>
      <c r="I6" t="s">
        <v>266</v>
      </c>
      <c r="J6" t="s">
        <v>50</v>
      </c>
      <c r="K6" t="s">
        <v>267</v>
      </c>
      <c r="L6" t="s">
        <v>268</v>
      </c>
      <c r="M6" t="s">
        <v>46</v>
      </c>
      <c r="N6" s="25"/>
      <c r="O6" s="20" t="s">
        <v>53</v>
      </c>
      <c r="P6" s="25">
        <f t="shared" si="0"/>
        <v>510.85714285714283</v>
      </c>
      <c r="Q6" s="25">
        <f t="shared" si="1"/>
        <v>83.857142857142861</v>
      </c>
      <c r="R6" s="25">
        <f>VLOOKUP($O6,$G$7:$M$1048576,3,FALSE)/7</f>
        <v>143.57142857142858</v>
      </c>
      <c r="S6" s="25">
        <f t="shared" si="3"/>
        <v>238.71428571428572</v>
      </c>
      <c r="T6" s="25">
        <f t="shared" si="4"/>
        <v>21.714285714285715</v>
      </c>
      <c r="U6" s="25">
        <f t="shared" si="5"/>
        <v>23</v>
      </c>
      <c r="V6" s="26">
        <f t="shared" si="6"/>
        <v>44.714285714285715</v>
      </c>
      <c r="W6" s="25"/>
      <c r="X6" s="25"/>
      <c r="Y6" s="18" t="s">
        <v>44</v>
      </c>
      <c r="Z6" t="s">
        <v>51</v>
      </c>
      <c r="AA6" t="s">
        <v>52</v>
      </c>
      <c r="AB6" t="s">
        <v>53</v>
      </c>
      <c r="AC6" t="s">
        <v>54</v>
      </c>
      <c r="AD6" t="s">
        <v>55</v>
      </c>
      <c r="AO6" s="19" t="s">
        <v>271</v>
      </c>
      <c r="AP6" s="2">
        <v>554</v>
      </c>
      <c r="AR6">
        <f>MAX(AP6:AP1048576)</f>
        <v>628</v>
      </c>
      <c r="AT6" s="26"/>
      <c r="AU6" s="19" t="s">
        <v>45</v>
      </c>
      <c r="AV6" s="2">
        <v>947</v>
      </c>
      <c r="AW6" s="26">
        <f>AV6/4</f>
        <v>236.75</v>
      </c>
      <c r="AX6" s="26"/>
      <c r="AY6" s="25"/>
      <c r="AZ6" s="18" t="s">
        <v>44</v>
      </c>
      <c r="BA6" t="s">
        <v>2</v>
      </c>
      <c r="BB6" t="s">
        <v>266</v>
      </c>
      <c r="BC6" t="s">
        <v>50</v>
      </c>
      <c r="BD6" t="s">
        <v>267</v>
      </c>
      <c r="BE6" t="s">
        <v>268</v>
      </c>
      <c r="BF6" t="s">
        <v>46</v>
      </c>
      <c r="BG6" s="25"/>
      <c r="BH6" s="21" t="s">
        <v>51</v>
      </c>
      <c r="BI6" s="25">
        <f>VLOOKUP($BH6, $AZ$7:$BF$875, 7,FALSE)/7</f>
        <v>135.28571428571428</v>
      </c>
      <c r="BJ6" s="25">
        <f>VLOOKUP($BH6, $AZ$7:$BF$875, 2,FALSE)/7</f>
        <v>15.142857142857142</v>
      </c>
      <c r="BK6" s="25">
        <f>VLOOKUP($BH6, $AZ$7:$BF$875, 3,FALSE)/7</f>
        <v>53.142857142857146</v>
      </c>
      <c r="BL6" s="25">
        <f>VLOOKUP($BH6, $AZ$7:$BF$875, 4,FALSE)/7</f>
        <v>52.857142857142854</v>
      </c>
      <c r="BM6" s="25">
        <f>VLOOKUP($BH6, $AZ$7:$BF$875, 5,FALSE)/7</f>
        <v>10.714285714285714</v>
      </c>
      <c r="BN6" s="25">
        <f>VLOOKUP($BH6, $AZ$7:$BF$875, 6,FALSE)/7</f>
        <v>3.4285714285714284</v>
      </c>
      <c r="BO6" s="25">
        <f>BM6+BN6</f>
        <v>14.142857142857142</v>
      </c>
      <c r="BP6" s="25"/>
      <c r="BR6" s="18" t="s">
        <v>44</v>
      </c>
      <c r="BS6" t="s">
        <v>51</v>
      </c>
      <c r="BT6" t="s">
        <v>52</v>
      </c>
      <c r="BU6" t="s">
        <v>53</v>
      </c>
      <c r="BV6" t="s">
        <v>54</v>
      </c>
      <c r="BW6" t="s">
        <v>55</v>
      </c>
      <c r="CI6" s="19" t="s">
        <v>271</v>
      </c>
      <c r="CJ6" s="2">
        <v>135</v>
      </c>
      <c r="CL6">
        <f>MAX(CJ6:CJ1048576)</f>
        <v>178</v>
      </c>
    </row>
    <row r="7" spans="2:90" x14ac:dyDescent="0.25">
      <c r="B7" s="19" t="s">
        <v>283</v>
      </c>
      <c r="C7" s="2">
        <v>2610</v>
      </c>
      <c r="D7" s="20"/>
      <c r="E7" s="20">
        <f>C7/7</f>
        <v>372.85714285714283</v>
      </c>
      <c r="F7" s="20"/>
      <c r="G7" s="19" t="s">
        <v>51</v>
      </c>
      <c r="H7" s="2">
        <v>313</v>
      </c>
      <c r="I7" s="2">
        <v>1420</v>
      </c>
      <c r="J7" s="2">
        <v>1360</v>
      </c>
      <c r="K7" s="2">
        <v>211</v>
      </c>
      <c r="L7" s="2">
        <v>151</v>
      </c>
      <c r="M7" s="2">
        <v>3455</v>
      </c>
      <c r="N7" s="25"/>
      <c r="O7" s="20" t="s">
        <v>54</v>
      </c>
      <c r="P7" s="25">
        <f t="shared" si="0"/>
        <v>504.28571428571428</v>
      </c>
      <c r="Q7" s="25">
        <f t="shared" si="1"/>
        <v>81.428571428571431</v>
      </c>
      <c r="R7" s="25">
        <f t="shared" si="2"/>
        <v>126.42857142857143</v>
      </c>
      <c r="S7" s="25">
        <f t="shared" si="3"/>
        <v>223.71428571428572</v>
      </c>
      <c r="T7" s="25">
        <f t="shared" si="4"/>
        <v>3.2857142857142856</v>
      </c>
      <c r="U7" s="25">
        <f t="shared" si="5"/>
        <v>69.428571428571431</v>
      </c>
      <c r="V7" s="26">
        <f t="shared" si="6"/>
        <v>72.714285714285722</v>
      </c>
      <c r="W7" s="25"/>
      <c r="X7" s="25"/>
      <c r="Y7" s="19" t="s">
        <v>73</v>
      </c>
      <c r="Z7" s="2">
        <v>241</v>
      </c>
      <c r="AA7" s="2">
        <v>416</v>
      </c>
      <c r="AB7" s="2">
        <v>36</v>
      </c>
      <c r="AC7" s="2">
        <v>12</v>
      </c>
      <c r="AD7" s="2">
        <v>16</v>
      </c>
      <c r="AO7" s="19" t="s">
        <v>272</v>
      </c>
      <c r="AP7" s="2">
        <v>542</v>
      </c>
      <c r="AR7">
        <f>MATCH(AR6,AP6:AP1048576,0)</f>
        <v>20</v>
      </c>
      <c r="AT7" s="26"/>
      <c r="AU7" s="19" t="s">
        <v>283</v>
      </c>
      <c r="AV7" s="2">
        <v>748</v>
      </c>
      <c r="AW7" s="26">
        <f>AV7/7</f>
        <v>106.85714285714286</v>
      </c>
      <c r="AX7" s="26"/>
      <c r="AY7" s="25"/>
      <c r="AZ7" s="19" t="s">
        <v>51</v>
      </c>
      <c r="BA7" s="2">
        <v>106</v>
      </c>
      <c r="BB7" s="2">
        <v>372</v>
      </c>
      <c r="BC7" s="2">
        <v>370</v>
      </c>
      <c r="BD7" s="2">
        <v>75</v>
      </c>
      <c r="BE7" s="2">
        <v>24</v>
      </c>
      <c r="BF7" s="2">
        <v>947</v>
      </c>
      <c r="BG7" s="25"/>
      <c r="BH7" s="20" t="s">
        <v>52</v>
      </c>
      <c r="BI7" s="25">
        <f t="shared" ref="BI7:BI19" si="7">VLOOKUP($BH7, $AZ$7:$BF$875, 7,FALSE)/7</f>
        <v>106.85714285714286</v>
      </c>
      <c r="BJ7" s="25">
        <f t="shared" ref="BJ7:BJ19" si="8">VLOOKUP($BH7, $AZ$7:$BF$875, 2,FALSE)/7</f>
        <v>17.714285714285715</v>
      </c>
      <c r="BK7" s="25">
        <f t="shared" ref="BK7:BK19" si="9">VLOOKUP($BH7, $AZ$7:$BF$875, 3,FALSE)/7</f>
        <v>21.428571428571427</v>
      </c>
      <c r="BL7" s="25">
        <f t="shared" ref="BL7:BL19" si="10">VLOOKUP($BH7, $AZ$7:$BF$875, 4,FALSE)/7</f>
        <v>51.285714285714285</v>
      </c>
      <c r="BM7" s="25">
        <f t="shared" ref="BM7:BM19" si="11">VLOOKUP($BH7, $AZ$7:$BF$875, 5,FALSE)/7</f>
        <v>10.428571428571429</v>
      </c>
      <c r="BN7" s="25">
        <f t="shared" ref="BN7:BN19" si="12">VLOOKUP($BH7, $AZ$7:$BF$875, 6,FALSE)/7</f>
        <v>6</v>
      </c>
      <c r="BO7" s="25">
        <f t="shared" ref="BO7:BO19" si="13">BM7+BN7</f>
        <v>16.428571428571431</v>
      </c>
      <c r="BP7" s="25"/>
      <c r="BQ7" s="2"/>
      <c r="BR7" s="19" t="s">
        <v>73</v>
      </c>
      <c r="BS7" s="2">
        <v>30</v>
      </c>
      <c r="BT7" s="2">
        <v>69</v>
      </c>
      <c r="BU7" s="2">
        <v>10</v>
      </c>
      <c r="BV7" s="2">
        <v>0</v>
      </c>
      <c r="BW7" s="2">
        <v>2</v>
      </c>
      <c r="CG7" s="2"/>
      <c r="CI7" s="19" t="s">
        <v>272</v>
      </c>
      <c r="CJ7" s="2">
        <v>112</v>
      </c>
      <c r="CL7">
        <f>MATCH(CL6,CJ6:CJ1048576,0)</f>
        <v>19</v>
      </c>
    </row>
    <row r="8" spans="2:90" x14ac:dyDescent="0.25">
      <c r="B8" s="19" t="s">
        <v>284</v>
      </c>
      <c r="C8" s="2">
        <v>3576</v>
      </c>
      <c r="D8" s="20"/>
      <c r="E8" s="20">
        <f>C8/7</f>
        <v>510.85714285714283</v>
      </c>
      <c r="F8" s="20"/>
      <c r="G8" s="19" t="s">
        <v>52</v>
      </c>
      <c r="H8" s="2">
        <v>323</v>
      </c>
      <c r="I8" s="2">
        <v>498</v>
      </c>
      <c r="J8" s="2">
        <v>1339</v>
      </c>
      <c r="K8" s="2">
        <v>153</v>
      </c>
      <c r="L8" s="2">
        <v>297</v>
      </c>
      <c r="M8" s="2">
        <v>2610</v>
      </c>
      <c r="N8" s="25"/>
      <c r="O8" s="20" t="s">
        <v>55</v>
      </c>
      <c r="P8" s="25">
        <f t="shared" si="0"/>
        <v>397.85714285714283</v>
      </c>
      <c r="Q8" s="25">
        <f t="shared" si="1"/>
        <v>63.857142857142854</v>
      </c>
      <c r="R8" s="25">
        <f t="shared" si="2"/>
        <v>86.428571428571431</v>
      </c>
      <c r="S8" s="25">
        <f t="shared" si="3"/>
        <v>199.28571428571428</v>
      </c>
      <c r="T8" s="25">
        <f t="shared" si="4"/>
        <v>14.285714285714286</v>
      </c>
      <c r="U8" s="25">
        <f t="shared" si="5"/>
        <v>34</v>
      </c>
      <c r="V8" s="26">
        <f t="shared" si="6"/>
        <v>48.285714285714285</v>
      </c>
      <c r="W8" s="25"/>
      <c r="X8" s="25"/>
      <c r="Y8" s="19" t="s">
        <v>74</v>
      </c>
      <c r="Z8" s="2">
        <v>72</v>
      </c>
      <c r="AA8" s="2">
        <v>8</v>
      </c>
      <c r="AB8" s="2">
        <v>0</v>
      </c>
      <c r="AC8" s="2">
        <v>0</v>
      </c>
      <c r="AD8" s="2">
        <v>0</v>
      </c>
      <c r="AO8" s="19" t="s">
        <v>273</v>
      </c>
      <c r="AP8" s="2">
        <v>495</v>
      </c>
      <c r="AR8" t="str">
        <f>INDEX(AO6:AO1048576,AR7,0)</f>
        <v>22/12/18</v>
      </c>
      <c r="AT8" s="26"/>
      <c r="AU8" s="19" t="s">
        <v>284</v>
      </c>
      <c r="AV8" s="2">
        <v>952</v>
      </c>
      <c r="AW8" s="26">
        <f>AV8/7</f>
        <v>136</v>
      </c>
      <c r="AX8" s="26"/>
      <c r="AY8" s="25"/>
      <c r="AZ8" s="19" t="s">
        <v>52</v>
      </c>
      <c r="BA8" s="2">
        <v>124</v>
      </c>
      <c r="BB8" s="2">
        <v>150</v>
      </c>
      <c r="BC8" s="2">
        <v>359</v>
      </c>
      <c r="BD8" s="2">
        <v>73</v>
      </c>
      <c r="BE8" s="2">
        <v>42</v>
      </c>
      <c r="BF8" s="2">
        <v>748</v>
      </c>
      <c r="BG8" s="25"/>
      <c r="BH8" s="20" t="s">
        <v>53</v>
      </c>
      <c r="BI8" s="25">
        <f t="shared" si="7"/>
        <v>136</v>
      </c>
      <c r="BJ8" s="25">
        <f t="shared" si="8"/>
        <v>28.714285714285715</v>
      </c>
      <c r="BK8" s="25">
        <f t="shared" si="9"/>
        <v>27.285714285714285</v>
      </c>
      <c r="BL8" s="25">
        <f t="shared" si="10"/>
        <v>69.714285714285708</v>
      </c>
      <c r="BM8" s="25">
        <f t="shared" si="11"/>
        <v>6.8571428571428568</v>
      </c>
      <c r="BN8" s="25">
        <f t="shared" si="12"/>
        <v>3.4285714285714284</v>
      </c>
      <c r="BO8" s="25">
        <f t="shared" si="13"/>
        <v>10.285714285714285</v>
      </c>
      <c r="BP8" s="25"/>
      <c r="BQ8" s="2"/>
      <c r="BR8" s="19" t="s">
        <v>74</v>
      </c>
      <c r="BS8" s="2">
        <v>0</v>
      </c>
      <c r="BT8" s="2">
        <v>1</v>
      </c>
      <c r="BU8" s="2">
        <v>0</v>
      </c>
      <c r="BV8" s="2">
        <v>0</v>
      </c>
      <c r="BW8" s="2">
        <v>0</v>
      </c>
      <c r="CG8" s="2"/>
      <c r="CI8" s="19" t="s">
        <v>273</v>
      </c>
      <c r="CJ8" s="2">
        <v>124</v>
      </c>
      <c r="CL8" t="str">
        <f>INDEX(CI6:CI1048576,CL7,0)</f>
        <v>21/12/18</v>
      </c>
    </row>
    <row r="9" spans="2:90" x14ac:dyDescent="0.25">
      <c r="B9" s="19" t="s">
        <v>285</v>
      </c>
      <c r="C9" s="2">
        <v>3530</v>
      </c>
      <c r="D9" s="20"/>
      <c r="E9" s="20">
        <f t="shared" ref="E9:E20" si="14">C9/7</f>
        <v>504.28571428571428</v>
      </c>
      <c r="F9" s="20"/>
      <c r="G9" s="19" t="s">
        <v>53</v>
      </c>
      <c r="H9" s="2">
        <v>587</v>
      </c>
      <c r="I9" s="2">
        <v>1005</v>
      </c>
      <c r="J9" s="2">
        <v>1671</v>
      </c>
      <c r="K9" s="2">
        <v>152</v>
      </c>
      <c r="L9" s="2">
        <v>161</v>
      </c>
      <c r="M9" s="2">
        <v>3576</v>
      </c>
      <c r="N9" s="25"/>
      <c r="O9" s="20" t="s">
        <v>56</v>
      </c>
      <c r="P9" s="25" t="e">
        <f t="shared" si="0"/>
        <v>#N/A</v>
      </c>
      <c r="Q9" s="25" t="e">
        <f>VLOOKUP($O9,$G$7:$M$1048576,2,FALSE)/7</f>
        <v>#N/A</v>
      </c>
      <c r="R9" s="25" t="e">
        <f t="shared" si="2"/>
        <v>#N/A</v>
      </c>
      <c r="S9" s="25" t="e">
        <f t="shared" si="3"/>
        <v>#N/A</v>
      </c>
      <c r="T9" s="25" t="e">
        <f t="shared" si="4"/>
        <v>#N/A</v>
      </c>
      <c r="U9" s="25" t="e">
        <f t="shared" si="5"/>
        <v>#N/A</v>
      </c>
      <c r="V9" s="26" t="e">
        <f t="shared" si="6"/>
        <v>#N/A</v>
      </c>
      <c r="W9" s="25"/>
      <c r="X9" s="25"/>
      <c r="Y9" s="19" t="s">
        <v>75</v>
      </c>
      <c r="Z9" s="2">
        <v>0</v>
      </c>
      <c r="AA9" s="2">
        <v>0</v>
      </c>
      <c r="AB9" s="2">
        <v>0</v>
      </c>
      <c r="AC9" s="2">
        <v>0</v>
      </c>
      <c r="AD9" s="2">
        <v>0</v>
      </c>
      <c r="AO9" s="19" t="s">
        <v>274</v>
      </c>
      <c r="AP9" s="2">
        <v>462</v>
      </c>
      <c r="AT9" s="26"/>
      <c r="AU9" s="19" t="s">
        <v>285</v>
      </c>
      <c r="AV9" s="2">
        <v>789</v>
      </c>
      <c r="AW9" s="26">
        <f t="shared" ref="AW9:AW19" si="15">AV9/7</f>
        <v>112.71428571428571</v>
      </c>
      <c r="AX9" s="26"/>
      <c r="AY9" s="25"/>
      <c r="AZ9" s="19" t="s">
        <v>53</v>
      </c>
      <c r="BA9" s="2">
        <v>201</v>
      </c>
      <c r="BB9" s="2">
        <v>191</v>
      </c>
      <c r="BC9" s="2">
        <v>488</v>
      </c>
      <c r="BD9" s="2">
        <v>48</v>
      </c>
      <c r="BE9" s="2">
        <v>24</v>
      </c>
      <c r="BF9" s="2">
        <v>952</v>
      </c>
      <c r="BG9" s="25"/>
      <c r="BH9" s="20" t="s">
        <v>54</v>
      </c>
      <c r="BI9" s="25">
        <f t="shared" si="7"/>
        <v>112.71428571428571</v>
      </c>
      <c r="BJ9" s="25">
        <f t="shared" si="8"/>
        <v>24.857142857142858</v>
      </c>
      <c r="BK9" s="25">
        <f t="shared" si="9"/>
        <v>28.857142857142858</v>
      </c>
      <c r="BL9" s="25">
        <f t="shared" si="10"/>
        <v>40.714285714285715</v>
      </c>
      <c r="BM9" s="25">
        <f t="shared" si="11"/>
        <v>0.7142857142857143</v>
      </c>
      <c r="BN9" s="25">
        <f t="shared" si="12"/>
        <v>17.571428571428573</v>
      </c>
      <c r="BO9" s="25">
        <f t="shared" si="13"/>
        <v>18.285714285714288</v>
      </c>
      <c r="BP9" s="25"/>
      <c r="BQ9" s="2"/>
      <c r="BR9" s="19" t="s">
        <v>75</v>
      </c>
      <c r="BS9" s="2">
        <v>0</v>
      </c>
      <c r="BT9" s="2">
        <v>0</v>
      </c>
      <c r="BU9" s="2">
        <v>0</v>
      </c>
      <c r="BV9" s="2">
        <v>0</v>
      </c>
      <c r="BW9" s="2">
        <v>0</v>
      </c>
      <c r="CG9" s="2"/>
      <c r="CI9" s="19" t="s">
        <v>274</v>
      </c>
      <c r="CJ9" s="2">
        <v>133</v>
      </c>
    </row>
    <row r="10" spans="2:90" x14ac:dyDescent="0.25">
      <c r="B10" s="19" t="s">
        <v>286</v>
      </c>
      <c r="C10" s="2">
        <v>2785</v>
      </c>
      <c r="D10" s="20"/>
      <c r="E10" s="20">
        <f t="shared" si="14"/>
        <v>397.85714285714283</v>
      </c>
      <c r="F10" s="20"/>
      <c r="G10" s="19" t="s">
        <v>54</v>
      </c>
      <c r="H10" s="2">
        <v>570</v>
      </c>
      <c r="I10" s="2">
        <v>885</v>
      </c>
      <c r="J10" s="2">
        <v>1566</v>
      </c>
      <c r="K10" s="2">
        <v>23</v>
      </c>
      <c r="L10" s="2">
        <v>486</v>
      </c>
      <c r="M10" s="2">
        <v>3530</v>
      </c>
      <c r="N10" s="25"/>
      <c r="O10" s="20" t="s">
        <v>57</v>
      </c>
      <c r="P10" s="25" t="e">
        <f t="shared" si="0"/>
        <v>#N/A</v>
      </c>
      <c r="Q10" s="25" t="e">
        <f t="shared" si="1"/>
        <v>#N/A</v>
      </c>
      <c r="R10" s="25" t="e">
        <f t="shared" si="2"/>
        <v>#N/A</v>
      </c>
      <c r="S10" s="25" t="e">
        <f t="shared" si="3"/>
        <v>#N/A</v>
      </c>
      <c r="T10" s="25" t="e">
        <f t="shared" si="4"/>
        <v>#N/A</v>
      </c>
      <c r="U10" s="25" t="e">
        <f>VLOOKUP($O10,$G$7:$M$1048576,6,FALSE)/7</f>
        <v>#N/A</v>
      </c>
      <c r="V10" s="26" t="e">
        <f>T10+U10</f>
        <v>#N/A</v>
      </c>
      <c r="W10" s="25"/>
      <c r="X10" s="25"/>
      <c r="Y10" s="19" t="s">
        <v>76</v>
      </c>
      <c r="Z10" s="2">
        <v>0</v>
      </c>
      <c r="AA10" s="2">
        <v>0</v>
      </c>
      <c r="AB10" s="2">
        <v>99</v>
      </c>
      <c r="AC10" s="2">
        <v>6</v>
      </c>
      <c r="AD10" s="2">
        <v>30</v>
      </c>
      <c r="AO10" s="19" t="s">
        <v>275</v>
      </c>
      <c r="AP10" s="2">
        <v>443</v>
      </c>
      <c r="AT10" s="26"/>
      <c r="AU10" s="19" t="s">
        <v>286</v>
      </c>
      <c r="AV10" s="2">
        <v>472</v>
      </c>
      <c r="AW10" s="26">
        <f t="shared" si="15"/>
        <v>67.428571428571431</v>
      </c>
      <c r="AX10" s="26"/>
      <c r="AY10" s="25"/>
      <c r="AZ10" s="19" t="s">
        <v>54</v>
      </c>
      <c r="BA10" s="2">
        <v>174</v>
      </c>
      <c r="BB10" s="2">
        <v>202</v>
      </c>
      <c r="BC10" s="2">
        <v>285</v>
      </c>
      <c r="BD10" s="2">
        <v>5</v>
      </c>
      <c r="BE10" s="2">
        <v>123</v>
      </c>
      <c r="BF10" s="2">
        <v>789</v>
      </c>
      <c r="BG10" s="25"/>
      <c r="BH10" s="20" t="s">
        <v>55</v>
      </c>
      <c r="BI10" s="25">
        <f t="shared" si="7"/>
        <v>67.428571428571431</v>
      </c>
      <c r="BJ10" s="25">
        <f t="shared" si="8"/>
        <v>12</v>
      </c>
      <c r="BK10" s="25">
        <f t="shared" si="9"/>
        <v>9.8571428571428577</v>
      </c>
      <c r="BL10" s="25">
        <f t="shared" si="10"/>
        <v>35</v>
      </c>
      <c r="BM10" s="25">
        <f t="shared" si="11"/>
        <v>1.1428571428571428</v>
      </c>
      <c r="BN10" s="25">
        <f t="shared" si="12"/>
        <v>9.4285714285714288</v>
      </c>
      <c r="BO10" s="25">
        <f t="shared" si="13"/>
        <v>10.571428571428571</v>
      </c>
      <c r="BP10" s="25"/>
      <c r="BQ10" s="2"/>
      <c r="BR10" s="19" t="s">
        <v>76</v>
      </c>
      <c r="BS10" s="2">
        <v>0</v>
      </c>
      <c r="BT10" s="2">
        <v>0</v>
      </c>
      <c r="BU10" s="2">
        <v>13</v>
      </c>
      <c r="BV10" s="2">
        <v>0</v>
      </c>
      <c r="BW10" s="2">
        <v>0</v>
      </c>
      <c r="CG10" s="2"/>
      <c r="CI10" s="19" t="s">
        <v>275</v>
      </c>
      <c r="CJ10" s="2">
        <v>136</v>
      </c>
    </row>
    <row r="11" spans="2:90" x14ac:dyDescent="0.25">
      <c r="D11" s="20"/>
      <c r="E11" s="20">
        <f t="shared" si="14"/>
        <v>0</v>
      </c>
      <c r="F11" s="20"/>
      <c r="G11" s="19" t="s">
        <v>55</v>
      </c>
      <c r="H11" s="2">
        <v>447</v>
      </c>
      <c r="I11" s="2">
        <v>605</v>
      </c>
      <c r="J11" s="2">
        <v>1395</v>
      </c>
      <c r="K11" s="2">
        <v>100</v>
      </c>
      <c r="L11" s="2">
        <v>238</v>
      </c>
      <c r="M11" s="2">
        <v>2785</v>
      </c>
      <c r="N11" s="25"/>
      <c r="O11" s="20" t="s">
        <v>58</v>
      </c>
      <c r="P11" s="25" t="e">
        <f t="shared" si="0"/>
        <v>#N/A</v>
      </c>
      <c r="Q11" s="25" t="e">
        <f t="shared" si="1"/>
        <v>#N/A</v>
      </c>
      <c r="R11" s="25" t="e">
        <f t="shared" si="2"/>
        <v>#N/A</v>
      </c>
      <c r="S11" s="25" t="e">
        <f t="shared" si="3"/>
        <v>#N/A</v>
      </c>
      <c r="T11" s="25" t="e">
        <f>VLOOKUP($O11,$G$7:$M$1048576,5,FALSE)/7</f>
        <v>#N/A</v>
      </c>
      <c r="U11" s="25" t="e">
        <f t="shared" si="5"/>
        <v>#N/A</v>
      </c>
      <c r="V11" s="26" t="e">
        <f t="shared" si="6"/>
        <v>#N/A</v>
      </c>
      <c r="W11" s="25"/>
      <c r="X11" s="25"/>
      <c r="Y11" s="19" t="s">
        <v>77</v>
      </c>
      <c r="Z11" s="2">
        <v>0</v>
      </c>
      <c r="AA11" s="2">
        <v>0</v>
      </c>
      <c r="AB11" s="2">
        <v>0</v>
      </c>
      <c r="AC11" s="2">
        <v>6</v>
      </c>
      <c r="AD11" s="2">
        <v>0</v>
      </c>
      <c r="AO11" s="19" t="s">
        <v>276</v>
      </c>
      <c r="AP11" s="2">
        <v>484</v>
      </c>
      <c r="AT11" s="26"/>
      <c r="AW11" s="26">
        <f t="shared" si="15"/>
        <v>0</v>
      </c>
      <c r="AX11" s="26"/>
      <c r="AY11" s="25"/>
      <c r="AZ11" s="19" t="s">
        <v>55</v>
      </c>
      <c r="BA11" s="2">
        <v>84</v>
      </c>
      <c r="BB11" s="2">
        <v>69</v>
      </c>
      <c r="BC11" s="2">
        <v>245</v>
      </c>
      <c r="BD11" s="2">
        <v>8</v>
      </c>
      <c r="BE11" s="2">
        <v>66</v>
      </c>
      <c r="BF11" s="2">
        <v>472</v>
      </c>
      <c r="BG11" s="25"/>
      <c r="BH11" s="20" t="s">
        <v>56</v>
      </c>
      <c r="BI11" s="25" t="e">
        <f t="shared" si="7"/>
        <v>#N/A</v>
      </c>
      <c r="BJ11" s="25" t="e">
        <f t="shared" si="8"/>
        <v>#N/A</v>
      </c>
      <c r="BK11" s="25" t="e">
        <f t="shared" si="9"/>
        <v>#N/A</v>
      </c>
      <c r="BL11" s="25" t="e">
        <f t="shared" si="10"/>
        <v>#N/A</v>
      </c>
      <c r="BM11" s="25" t="e">
        <f t="shared" si="11"/>
        <v>#N/A</v>
      </c>
      <c r="BN11" s="25" t="e">
        <f t="shared" si="12"/>
        <v>#N/A</v>
      </c>
      <c r="BO11" s="25" t="e">
        <f t="shared" si="13"/>
        <v>#N/A</v>
      </c>
      <c r="BP11" s="25"/>
      <c r="BQ11" s="2"/>
      <c r="BR11" s="19" t="s">
        <v>77</v>
      </c>
      <c r="BS11" s="2">
        <v>0</v>
      </c>
      <c r="BT11" s="2">
        <v>0</v>
      </c>
      <c r="BU11" s="2">
        <v>0</v>
      </c>
      <c r="BV11" s="2">
        <v>4</v>
      </c>
      <c r="BW11" s="2">
        <v>0</v>
      </c>
      <c r="CG11" s="2"/>
      <c r="CI11" s="19" t="s">
        <v>276</v>
      </c>
      <c r="CJ11" s="2">
        <v>147</v>
      </c>
    </row>
    <row r="12" spans="2:90" x14ac:dyDescent="0.25">
      <c r="D12" s="20"/>
      <c r="E12" s="20">
        <f t="shared" si="14"/>
        <v>0</v>
      </c>
      <c r="F12" s="20"/>
      <c r="G12" s="19" t="s">
        <v>46</v>
      </c>
      <c r="H12" s="2">
        <v>2240</v>
      </c>
      <c r="I12" s="2">
        <v>4413</v>
      </c>
      <c r="J12" s="2">
        <v>7331</v>
      </c>
      <c r="K12" s="2">
        <v>639</v>
      </c>
      <c r="L12" s="2">
        <v>1333</v>
      </c>
      <c r="M12" s="2">
        <v>15956</v>
      </c>
      <c r="N12" s="25"/>
      <c r="O12" s="20" t="s">
        <v>59</v>
      </c>
      <c r="P12" s="25" t="e">
        <f t="shared" si="0"/>
        <v>#N/A</v>
      </c>
      <c r="Q12" s="25" t="e">
        <f t="shared" si="1"/>
        <v>#N/A</v>
      </c>
      <c r="R12" s="25" t="e">
        <f t="shared" si="2"/>
        <v>#N/A</v>
      </c>
      <c r="S12" s="25" t="e">
        <f>VLOOKUP($O12,$G$7:$M$1048576,4,FALSE)/7</f>
        <v>#N/A</v>
      </c>
      <c r="T12" s="25" t="e">
        <f t="shared" si="4"/>
        <v>#N/A</v>
      </c>
      <c r="U12" s="25" t="e">
        <f t="shared" si="5"/>
        <v>#N/A</v>
      </c>
      <c r="V12" s="26" t="e">
        <f t="shared" si="6"/>
        <v>#N/A</v>
      </c>
      <c r="W12" s="25"/>
      <c r="X12" s="25"/>
      <c r="Y12" s="19" t="s">
        <v>78</v>
      </c>
      <c r="Z12" s="2">
        <v>0</v>
      </c>
      <c r="AA12" s="2">
        <v>0</v>
      </c>
      <c r="AB12" s="2">
        <v>0</v>
      </c>
      <c r="AC12" s="2">
        <v>0</v>
      </c>
      <c r="AD12" s="2">
        <v>0</v>
      </c>
      <c r="AO12" s="19" t="s">
        <v>277</v>
      </c>
      <c r="AP12" s="2">
        <v>475</v>
      </c>
      <c r="AT12" s="26"/>
      <c r="AW12" s="26">
        <f t="shared" si="15"/>
        <v>0</v>
      </c>
      <c r="AX12" s="26"/>
      <c r="AY12" s="25"/>
      <c r="AZ12" s="19" t="s">
        <v>46</v>
      </c>
      <c r="BA12" s="2">
        <v>689</v>
      </c>
      <c r="BB12" s="2">
        <v>984</v>
      </c>
      <c r="BC12" s="2">
        <v>1747</v>
      </c>
      <c r="BD12" s="2">
        <v>209</v>
      </c>
      <c r="BE12" s="2">
        <v>279</v>
      </c>
      <c r="BF12" s="2">
        <v>3908</v>
      </c>
      <c r="BG12" s="25"/>
      <c r="BH12" s="20" t="s">
        <v>57</v>
      </c>
      <c r="BI12" s="25" t="e">
        <f t="shared" si="7"/>
        <v>#N/A</v>
      </c>
      <c r="BJ12" s="25" t="e">
        <f t="shared" si="8"/>
        <v>#N/A</v>
      </c>
      <c r="BK12" s="25" t="e">
        <f t="shared" si="9"/>
        <v>#N/A</v>
      </c>
      <c r="BL12" s="25" t="e">
        <f t="shared" si="10"/>
        <v>#N/A</v>
      </c>
      <c r="BM12" s="25" t="e">
        <f t="shared" si="11"/>
        <v>#N/A</v>
      </c>
      <c r="BN12" s="25" t="e">
        <f t="shared" si="12"/>
        <v>#N/A</v>
      </c>
      <c r="BO12" s="25" t="e">
        <f t="shared" si="13"/>
        <v>#N/A</v>
      </c>
      <c r="BP12" s="25"/>
      <c r="BQ12" s="2"/>
      <c r="BR12" s="19" t="s">
        <v>78</v>
      </c>
      <c r="BS12" s="2">
        <v>0</v>
      </c>
      <c r="BT12" s="2">
        <v>0</v>
      </c>
      <c r="BU12" s="2">
        <v>0</v>
      </c>
      <c r="BV12" s="2">
        <v>0</v>
      </c>
      <c r="BW12" s="2">
        <v>0</v>
      </c>
      <c r="CG12" s="2"/>
      <c r="CI12" s="19" t="s">
        <v>277</v>
      </c>
      <c r="CJ12" s="2">
        <v>160</v>
      </c>
    </row>
    <row r="13" spans="2:90" x14ac:dyDescent="0.25">
      <c r="D13" s="20"/>
      <c r="E13" s="20">
        <f t="shared" si="14"/>
        <v>0</v>
      </c>
      <c r="F13" s="20"/>
      <c r="M13" s="25"/>
      <c r="N13" s="25"/>
      <c r="O13" s="20" t="s">
        <v>60</v>
      </c>
      <c r="P13" s="25" t="e">
        <f t="shared" si="0"/>
        <v>#N/A</v>
      </c>
      <c r="Q13" s="25" t="e">
        <f t="shared" si="1"/>
        <v>#N/A</v>
      </c>
      <c r="R13" s="25" t="e">
        <f t="shared" si="2"/>
        <v>#N/A</v>
      </c>
      <c r="S13" s="25" t="e">
        <f t="shared" si="3"/>
        <v>#N/A</v>
      </c>
      <c r="T13" s="25" t="e">
        <f t="shared" si="4"/>
        <v>#N/A</v>
      </c>
      <c r="U13" s="25" t="e">
        <f t="shared" si="5"/>
        <v>#N/A</v>
      </c>
      <c r="V13" s="26" t="e">
        <f t="shared" si="6"/>
        <v>#N/A</v>
      </c>
      <c r="W13" s="25"/>
      <c r="X13" s="25"/>
      <c r="Y13" s="19" t="s">
        <v>79</v>
      </c>
      <c r="Z13" s="2">
        <v>0</v>
      </c>
      <c r="AA13" s="2">
        <v>156</v>
      </c>
      <c r="AB13" s="2">
        <v>462</v>
      </c>
      <c r="AC13" s="2">
        <v>373</v>
      </c>
      <c r="AD13" s="2">
        <v>237</v>
      </c>
      <c r="AO13" s="19" t="s">
        <v>333</v>
      </c>
      <c r="AP13" s="2">
        <v>493</v>
      </c>
      <c r="AT13" s="26"/>
      <c r="AW13" s="26">
        <f t="shared" si="15"/>
        <v>0</v>
      </c>
      <c r="AX13" s="26"/>
      <c r="AY13" s="25"/>
      <c r="BF13" s="25"/>
      <c r="BG13" s="25"/>
      <c r="BH13" s="20" t="s">
        <v>58</v>
      </c>
      <c r="BI13" s="25" t="e">
        <f t="shared" si="7"/>
        <v>#N/A</v>
      </c>
      <c r="BJ13" s="25" t="e">
        <f t="shared" si="8"/>
        <v>#N/A</v>
      </c>
      <c r="BK13" s="25" t="e">
        <f t="shared" si="9"/>
        <v>#N/A</v>
      </c>
      <c r="BL13" s="25" t="e">
        <f t="shared" si="10"/>
        <v>#N/A</v>
      </c>
      <c r="BM13" s="25" t="e">
        <f t="shared" si="11"/>
        <v>#N/A</v>
      </c>
      <c r="BN13" s="25" t="e">
        <f t="shared" si="12"/>
        <v>#N/A</v>
      </c>
      <c r="BO13" s="25" t="e">
        <f t="shared" si="13"/>
        <v>#N/A</v>
      </c>
      <c r="BP13" s="25"/>
      <c r="BQ13" s="2"/>
      <c r="BR13" s="19" t="s">
        <v>79</v>
      </c>
      <c r="BS13" s="2">
        <v>0</v>
      </c>
      <c r="BT13" s="2">
        <v>57</v>
      </c>
      <c r="BU13" s="2">
        <v>155</v>
      </c>
      <c r="BV13" s="2">
        <v>137</v>
      </c>
      <c r="BW13" s="2">
        <v>22</v>
      </c>
      <c r="CG13" s="2"/>
      <c r="CI13" s="19" t="s">
        <v>333</v>
      </c>
      <c r="CJ13" s="2">
        <v>142</v>
      </c>
    </row>
    <row r="14" spans="2:90" x14ac:dyDescent="0.25">
      <c r="D14" s="20"/>
      <c r="E14" s="20">
        <f t="shared" si="14"/>
        <v>0</v>
      </c>
      <c r="F14" s="20"/>
      <c r="M14" s="25"/>
      <c r="N14" s="25"/>
      <c r="O14" s="20" t="s">
        <v>61</v>
      </c>
      <c r="P14" s="25" t="e">
        <f t="shared" si="0"/>
        <v>#N/A</v>
      </c>
      <c r="Q14" s="25" t="e">
        <f t="shared" si="1"/>
        <v>#N/A</v>
      </c>
      <c r="R14" s="25" t="e">
        <f t="shared" si="2"/>
        <v>#N/A</v>
      </c>
      <c r="S14" s="25" t="e">
        <f t="shared" si="3"/>
        <v>#N/A</v>
      </c>
      <c r="T14" s="25" t="e">
        <f t="shared" si="4"/>
        <v>#N/A</v>
      </c>
      <c r="U14" s="25" t="e">
        <f t="shared" si="5"/>
        <v>#N/A</v>
      </c>
      <c r="V14" s="26" t="e">
        <f t="shared" si="6"/>
        <v>#N/A</v>
      </c>
      <c r="W14" s="25"/>
      <c r="X14" s="25"/>
      <c r="Y14" s="19" t="s">
        <v>80</v>
      </c>
      <c r="Z14" s="2">
        <v>0</v>
      </c>
      <c r="AA14" s="2">
        <v>0</v>
      </c>
      <c r="AB14" s="2">
        <v>84</v>
      </c>
      <c r="AC14" s="2">
        <v>112</v>
      </c>
      <c r="AD14" s="2">
        <v>0</v>
      </c>
      <c r="AO14" s="19" t="s">
        <v>334</v>
      </c>
      <c r="AP14" s="2">
        <v>421</v>
      </c>
      <c r="AT14" s="26"/>
      <c r="AW14" s="26">
        <f t="shared" si="15"/>
        <v>0</v>
      </c>
      <c r="AX14" s="26"/>
      <c r="AY14" s="25"/>
      <c r="BF14" s="25"/>
      <c r="BG14" s="25"/>
      <c r="BH14" s="20" t="s">
        <v>59</v>
      </c>
      <c r="BI14" s="25" t="e">
        <f t="shared" si="7"/>
        <v>#N/A</v>
      </c>
      <c r="BJ14" s="25" t="e">
        <f t="shared" si="8"/>
        <v>#N/A</v>
      </c>
      <c r="BK14" s="25" t="e">
        <f t="shared" si="9"/>
        <v>#N/A</v>
      </c>
      <c r="BL14" s="25" t="e">
        <f t="shared" si="10"/>
        <v>#N/A</v>
      </c>
      <c r="BM14" s="25" t="e">
        <f t="shared" si="11"/>
        <v>#N/A</v>
      </c>
      <c r="BN14" s="25" t="e">
        <f t="shared" si="12"/>
        <v>#N/A</v>
      </c>
      <c r="BO14" s="25" t="e">
        <f t="shared" si="13"/>
        <v>#N/A</v>
      </c>
      <c r="BP14" s="25"/>
      <c r="BQ14" s="2"/>
      <c r="BR14" s="19" t="s">
        <v>80</v>
      </c>
      <c r="BS14" s="2">
        <v>0</v>
      </c>
      <c r="BT14" s="2">
        <v>0</v>
      </c>
      <c r="BU14" s="2">
        <v>18</v>
      </c>
      <c r="BV14" s="2">
        <v>53</v>
      </c>
      <c r="BW14" s="2">
        <v>0</v>
      </c>
      <c r="CG14" s="2"/>
      <c r="CI14" s="19" t="s">
        <v>334</v>
      </c>
      <c r="CJ14" s="2">
        <v>124</v>
      </c>
    </row>
    <row r="15" spans="2:90" x14ac:dyDescent="0.25">
      <c r="D15" s="20"/>
      <c r="E15" s="20">
        <f t="shared" si="14"/>
        <v>0</v>
      </c>
      <c r="F15" s="20"/>
      <c r="M15" s="25"/>
      <c r="N15" s="25"/>
      <c r="O15" s="20" t="s">
        <v>62</v>
      </c>
      <c r="P15" s="25" t="e">
        <f t="shared" si="0"/>
        <v>#N/A</v>
      </c>
      <c r="Q15" s="25" t="e">
        <f t="shared" si="1"/>
        <v>#N/A</v>
      </c>
      <c r="R15" s="25" t="e">
        <f t="shared" si="2"/>
        <v>#N/A</v>
      </c>
      <c r="S15" s="25" t="e">
        <f t="shared" si="3"/>
        <v>#N/A</v>
      </c>
      <c r="T15" s="25" t="e">
        <f t="shared" si="4"/>
        <v>#N/A</v>
      </c>
      <c r="U15" s="25" t="e">
        <f t="shared" si="5"/>
        <v>#N/A</v>
      </c>
      <c r="V15" s="26" t="e">
        <f t="shared" si="6"/>
        <v>#N/A</v>
      </c>
      <c r="W15" s="25"/>
      <c r="X15" s="25"/>
      <c r="Y15" s="19" t="s">
        <v>81</v>
      </c>
      <c r="Z15" s="2">
        <v>0</v>
      </c>
      <c r="AA15" s="2">
        <v>0</v>
      </c>
      <c r="AB15" s="2">
        <v>0</v>
      </c>
      <c r="AC15" s="2">
        <v>0</v>
      </c>
      <c r="AD15" s="2">
        <v>0</v>
      </c>
      <c r="AO15" s="19" t="s">
        <v>335</v>
      </c>
      <c r="AP15" s="2">
        <v>338</v>
      </c>
      <c r="AT15" s="26"/>
      <c r="AW15" s="26">
        <f t="shared" si="15"/>
        <v>0</v>
      </c>
      <c r="AX15" s="26"/>
      <c r="AY15" s="25"/>
      <c r="BF15" s="25"/>
      <c r="BG15" s="25"/>
      <c r="BH15" s="20" t="s">
        <v>60</v>
      </c>
      <c r="BI15" s="25" t="e">
        <f t="shared" si="7"/>
        <v>#N/A</v>
      </c>
      <c r="BJ15" s="25" t="e">
        <f t="shared" si="8"/>
        <v>#N/A</v>
      </c>
      <c r="BK15" s="25" t="e">
        <f t="shared" si="9"/>
        <v>#N/A</v>
      </c>
      <c r="BL15" s="25" t="e">
        <f t="shared" si="10"/>
        <v>#N/A</v>
      </c>
      <c r="BM15" s="25" t="e">
        <f t="shared" si="11"/>
        <v>#N/A</v>
      </c>
      <c r="BN15" s="25" t="e">
        <f t="shared" si="12"/>
        <v>#N/A</v>
      </c>
      <c r="BO15" s="25" t="e">
        <f t="shared" si="13"/>
        <v>#N/A</v>
      </c>
      <c r="BP15" s="25"/>
      <c r="BQ15" s="2"/>
      <c r="BR15" s="19" t="s">
        <v>81</v>
      </c>
      <c r="BS15" s="2">
        <v>0</v>
      </c>
      <c r="BT15" s="2">
        <v>0</v>
      </c>
      <c r="BU15" s="2">
        <v>0</v>
      </c>
      <c r="BV15" s="2">
        <v>0</v>
      </c>
      <c r="BW15" s="2">
        <v>0</v>
      </c>
      <c r="CG15" s="2"/>
      <c r="CH15" s="2"/>
      <c r="CI15" s="19" t="s">
        <v>335</v>
      </c>
      <c r="CJ15" s="2">
        <v>99</v>
      </c>
    </row>
    <row r="16" spans="2:90" x14ac:dyDescent="0.25">
      <c r="D16" s="20"/>
      <c r="E16" s="20">
        <f t="shared" si="14"/>
        <v>0</v>
      </c>
      <c r="F16" s="20"/>
      <c r="M16" s="25"/>
      <c r="N16" s="25"/>
      <c r="O16" s="20" t="s">
        <v>63</v>
      </c>
      <c r="P16" s="25" t="e">
        <f t="shared" si="0"/>
        <v>#N/A</v>
      </c>
      <c r="Q16" s="25" t="e">
        <f t="shared" si="1"/>
        <v>#N/A</v>
      </c>
      <c r="R16" s="25" t="e">
        <f t="shared" si="2"/>
        <v>#N/A</v>
      </c>
      <c r="S16" s="25" t="e">
        <f t="shared" si="3"/>
        <v>#N/A</v>
      </c>
      <c r="T16" s="25" t="e">
        <f t="shared" si="4"/>
        <v>#N/A</v>
      </c>
      <c r="U16" s="25" t="e">
        <f t="shared" si="5"/>
        <v>#N/A</v>
      </c>
      <c r="V16" s="26" t="e">
        <f t="shared" si="6"/>
        <v>#N/A</v>
      </c>
      <c r="W16" s="25"/>
      <c r="X16" s="25"/>
      <c r="Y16" s="19" t="s">
        <v>82</v>
      </c>
      <c r="Z16" s="2">
        <v>0</v>
      </c>
      <c r="AA16" s="2">
        <v>0</v>
      </c>
      <c r="AB16" s="2">
        <v>0</v>
      </c>
      <c r="AC16" s="2">
        <v>0</v>
      </c>
      <c r="AD16" s="2">
        <v>0</v>
      </c>
      <c r="AO16" s="19" t="s">
        <v>336</v>
      </c>
      <c r="AP16" s="2">
        <v>366</v>
      </c>
      <c r="AT16" s="26"/>
      <c r="AW16" s="26">
        <f t="shared" si="15"/>
        <v>0</v>
      </c>
      <c r="AX16" s="26"/>
      <c r="AY16" s="25"/>
      <c r="BF16" s="25"/>
      <c r="BG16" s="25"/>
      <c r="BH16" s="20" t="s">
        <v>61</v>
      </c>
      <c r="BI16" s="25" t="e">
        <f t="shared" si="7"/>
        <v>#N/A</v>
      </c>
      <c r="BJ16" s="25" t="e">
        <f t="shared" si="8"/>
        <v>#N/A</v>
      </c>
      <c r="BK16" s="25" t="e">
        <f t="shared" si="9"/>
        <v>#N/A</v>
      </c>
      <c r="BL16" s="25" t="e">
        <f t="shared" si="10"/>
        <v>#N/A</v>
      </c>
      <c r="BM16" s="25" t="e">
        <f t="shared" si="11"/>
        <v>#N/A</v>
      </c>
      <c r="BN16" s="25" t="e">
        <f t="shared" si="12"/>
        <v>#N/A</v>
      </c>
      <c r="BO16" s="25" t="e">
        <f t="shared" si="13"/>
        <v>#N/A</v>
      </c>
      <c r="BP16" s="25"/>
      <c r="BQ16" s="2"/>
      <c r="BR16" s="19" t="s">
        <v>82</v>
      </c>
      <c r="BS16" s="2">
        <v>0</v>
      </c>
      <c r="BT16" s="2">
        <v>0</v>
      </c>
      <c r="BU16" s="2">
        <v>0</v>
      </c>
      <c r="BV16" s="2">
        <v>0</v>
      </c>
      <c r="BW16" s="2">
        <v>0</v>
      </c>
      <c r="CG16" s="2"/>
      <c r="CI16" s="19" t="s">
        <v>336</v>
      </c>
      <c r="CJ16" s="2">
        <v>105</v>
      </c>
    </row>
    <row r="17" spans="4:88" x14ac:dyDescent="0.25">
      <c r="D17" s="20"/>
      <c r="E17" s="20">
        <f t="shared" si="14"/>
        <v>0</v>
      </c>
      <c r="F17" s="20"/>
      <c r="M17" s="25"/>
      <c r="N17" s="25"/>
      <c r="O17" s="20" t="s">
        <v>64</v>
      </c>
      <c r="P17" s="25" t="e">
        <f t="shared" si="0"/>
        <v>#N/A</v>
      </c>
      <c r="Q17" s="25" t="e">
        <f t="shared" si="1"/>
        <v>#N/A</v>
      </c>
      <c r="R17" s="25" t="e">
        <f t="shared" si="2"/>
        <v>#N/A</v>
      </c>
      <c r="S17" s="25" t="e">
        <f t="shared" si="3"/>
        <v>#N/A</v>
      </c>
      <c r="T17" s="25" t="e">
        <f t="shared" si="4"/>
        <v>#N/A</v>
      </c>
      <c r="U17" s="25" t="e">
        <f t="shared" si="5"/>
        <v>#N/A</v>
      </c>
      <c r="V17" s="26" t="e">
        <f t="shared" si="6"/>
        <v>#N/A</v>
      </c>
      <c r="W17" s="25"/>
      <c r="X17" s="25"/>
      <c r="Y17" s="19" t="s">
        <v>83</v>
      </c>
      <c r="Z17" s="2">
        <v>105</v>
      </c>
      <c r="AA17" s="2">
        <v>10</v>
      </c>
      <c r="AB17" s="2">
        <v>8</v>
      </c>
      <c r="AC17" s="2">
        <v>0</v>
      </c>
      <c r="AD17" s="2">
        <v>0</v>
      </c>
      <c r="AO17" s="19" t="s">
        <v>337</v>
      </c>
      <c r="AP17" s="2">
        <v>348</v>
      </c>
      <c r="AT17" s="26"/>
      <c r="AW17" s="26">
        <f t="shared" si="15"/>
        <v>0</v>
      </c>
      <c r="AX17" s="26"/>
      <c r="AY17" s="25"/>
      <c r="BF17" s="25"/>
      <c r="BG17" s="25"/>
      <c r="BH17" s="20" t="s">
        <v>62</v>
      </c>
      <c r="BI17" s="25" t="e">
        <f t="shared" si="7"/>
        <v>#N/A</v>
      </c>
      <c r="BJ17" s="25" t="e">
        <f t="shared" si="8"/>
        <v>#N/A</v>
      </c>
      <c r="BK17" s="25" t="e">
        <f t="shared" si="9"/>
        <v>#N/A</v>
      </c>
      <c r="BL17" s="25" t="e">
        <f t="shared" si="10"/>
        <v>#N/A</v>
      </c>
      <c r="BM17" s="25" t="e">
        <f t="shared" si="11"/>
        <v>#N/A</v>
      </c>
      <c r="BN17" s="25" t="e">
        <f t="shared" si="12"/>
        <v>#N/A</v>
      </c>
      <c r="BO17" s="25" t="e">
        <f t="shared" si="13"/>
        <v>#N/A</v>
      </c>
      <c r="BP17" s="25"/>
      <c r="BQ17" s="2"/>
      <c r="BR17" s="19" t="s">
        <v>83</v>
      </c>
      <c r="BS17" s="2">
        <v>10</v>
      </c>
      <c r="BT17" s="2">
        <v>0</v>
      </c>
      <c r="BU17" s="2">
        <v>0</v>
      </c>
      <c r="BV17" s="2">
        <v>0</v>
      </c>
      <c r="BW17" s="2">
        <v>0</v>
      </c>
      <c r="CG17" s="2"/>
      <c r="CI17" s="19" t="s">
        <v>337</v>
      </c>
      <c r="CJ17" s="2">
        <v>93</v>
      </c>
    </row>
    <row r="18" spans="4:88" x14ac:dyDescent="0.25">
      <c r="D18" s="20"/>
      <c r="E18" s="20">
        <f t="shared" si="14"/>
        <v>0</v>
      </c>
      <c r="F18" s="20"/>
      <c r="M18" s="25"/>
      <c r="N18" s="25"/>
      <c r="O18" s="25"/>
      <c r="P18" s="25"/>
      <c r="Q18" s="25"/>
      <c r="R18" s="25"/>
      <c r="S18" s="25"/>
      <c r="T18" s="25"/>
      <c r="U18" s="25"/>
      <c r="V18" s="25"/>
      <c r="W18" s="25"/>
      <c r="X18" s="25"/>
      <c r="Y18" s="19" t="s">
        <v>84</v>
      </c>
      <c r="Z18" s="2">
        <v>60</v>
      </c>
      <c r="AA18" s="2">
        <v>52</v>
      </c>
      <c r="AB18" s="2">
        <v>485</v>
      </c>
      <c r="AC18" s="2">
        <v>691</v>
      </c>
      <c r="AD18" s="2">
        <v>393</v>
      </c>
      <c r="AO18" s="19" t="s">
        <v>338</v>
      </c>
      <c r="AP18" s="2">
        <v>343</v>
      </c>
      <c r="AT18" s="26"/>
      <c r="AW18" s="26">
        <f t="shared" si="15"/>
        <v>0</v>
      </c>
      <c r="AX18" s="26"/>
      <c r="AY18" s="25"/>
      <c r="BF18" s="25"/>
      <c r="BG18" s="25"/>
      <c r="BH18" s="20" t="s">
        <v>63</v>
      </c>
      <c r="BI18" s="25" t="e">
        <f t="shared" si="7"/>
        <v>#N/A</v>
      </c>
      <c r="BJ18" s="25" t="e">
        <f t="shared" si="8"/>
        <v>#N/A</v>
      </c>
      <c r="BK18" s="25" t="e">
        <f t="shared" si="9"/>
        <v>#N/A</v>
      </c>
      <c r="BL18" s="25" t="e">
        <f t="shared" si="10"/>
        <v>#N/A</v>
      </c>
      <c r="BM18" s="25" t="e">
        <f t="shared" si="11"/>
        <v>#N/A</v>
      </c>
      <c r="BN18" s="25" t="e">
        <f t="shared" si="12"/>
        <v>#N/A</v>
      </c>
      <c r="BO18" s="25" t="e">
        <f t="shared" si="13"/>
        <v>#N/A</v>
      </c>
      <c r="BP18" s="25"/>
      <c r="BQ18" s="2"/>
      <c r="BR18" s="19" t="s">
        <v>84</v>
      </c>
      <c r="BS18" s="2">
        <v>1</v>
      </c>
      <c r="BT18" s="2">
        <v>7</v>
      </c>
      <c r="BU18" s="2">
        <v>128</v>
      </c>
      <c r="BV18" s="2">
        <v>130</v>
      </c>
      <c r="BW18" s="2">
        <v>83</v>
      </c>
      <c r="CG18" s="2"/>
      <c r="CI18" s="19" t="s">
        <v>338</v>
      </c>
      <c r="CJ18" s="2">
        <v>104</v>
      </c>
    </row>
    <row r="19" spans="4:88" x14ac:dyDescent="0.25">
      <c r="D19" s="20"/>
      <c r="E19" s="20">
        <f t="shared" si="14"/>
        <v>0</v>
      </c>
      <c r="F19" s="20"/>
      <c r="M19" s="25"/>
      <c r="N19" s="25"/>
      <c r="O19" s="25"/>
      <c r="P19" s="25"/>
      <c r="Q19" s="25"/>
      <c r="R19" s="25"/>
      <c r="S19" s="25"/>
      <c r="T19" s="25"/>
      <c r="U19" s="25"/>
      <c r="V19" s="25"/>
      <c r="W19" s="25"/>
      <c r="X19" s="25"/>
      <c r="Y19" s="19" t="s">
        <v>85</v>
      </c>
      <c r="Z19" s="2">
        <v>2</v>
      </c>
      <c r="AA19" s="2">
        <v>0</v>
      </c>
      <c r="AB19" s="2">
        <v>18</v>
      </c>
      <c r="AC19" s="2">
        <v>16</v>
      </c>
      <c r="AD19" s="2">
        <v>20</v>
      </c>
      <c r="AO19" s="19" t="s">
        <v>339</v>
      </c>
      <c r="AP19" s="2">
        <v>301</v>
      </c>
      <c r="AT19" s="26"/>
      <c r="AW19" s="26">
        <f t="shared" si="15"/>
        <v>0</v>
      </c>
      <c r="AX19" s="26"/>
      <c r="AY19" s="25"/>
      <c r="BF19" s="25"/>
      <c r="BG19" s="25"/>
      <c r="BH19" s="20" t="s">
        <v>64</v>
      </c>
      <c r="BI19" s="25" t="e">
        <f t="shared" si="7"/>
        <v>#N/A</v>
      </c>
      <c r="BJ19" s="25" t="e">
        <f t="shared" si="8"/>
        <v>#N/A</v>
      </c>
      <c r="BK19" s="25" t="e">
        <f t="shared" si="9"/>
        <v>#N/A</v>
      </c>
      <c r="BL19" s="25" t="e">
        <f t="shared" si="10"/>
        <v>#N/A</v>
      </c>
      <c r="BM19" s="25" t="e">
        <f t="shared" si="11"/>
        <v>#N/A</v>
      </c>
      <c r="BN19" s="25" t="e">
        <f t="shared" si="12"/>
        <v>#N/A</v>
      </c>
      <c r="BO19" s="25" t="e">
        <f t="shared" si="13"/>
        <v>#N/A</v>
      </c>
      <c r="BP19" s="25"/>
      <c r="BQ19" s="2"/>
      <c r="BR19" s="19" t="s">
        <v>85</v>
      </c>
      <c r="BS19" s="2">
        <v>1</v>
      </c>
      <c r="BT19" s="2">
        <v>0</v>
      </c>
      <c r="BU19" s="2">
        <v>9</v>
      </c>
      <c r="BV19" s="2">
        <v>8</v>
      </c>
      <c r="BW19" s="2">
        <v>10</v>
      </c>
      <c r="CG19" s="2"/>
      <c r="CI19" s="19" t="s">
        <v>339</v>
      </c>
      <c r="CJ19" s="2">
        <v>81</v>
      </c>
    </row>
    <row r="20" spans="4:88" x14ac:dyDescent="0.25">
      <c r="D20" s="20"/>
      <c r="E20" s="20">
        <f t="shared" si="14"/>
        <v>0</v>
      </c>
      <c r="F20" s="20"/>
      <c r="Y20" s="19" t="s">
        <v>86</v>
      </c>
      <c r="Z20" s="2">
        <v>138</v>
      </c>
      <c r="AA20" s="2">
        <v>0</v>
      </c>
      <c r="AB20" s="2">
        <v>0</v>
      </c>
      <c r="AC20" s="2">
        <v>0</v>
      </c>
      <c r="AD20" s="2">
        <v>9</v>
      </c>
      <c r="AO20" s="19" t="s">
        <v>347</v>
      </c>
      <c r="AP20" s="2">
        <v>309</v>
      </c>
      <c r="AT20" s="26"/>
      <c r="AW20" s="26">
        <f>AV20/7</f>
        <v>0</v>
      </c>
      <c r="AX20" s="26"/>
      <c r="BQ20" s="2"/>
      <c r="BR20" s="19" t="s">
        <v>86</v>
      </c>
      <c r="BS20" s="2">
        <v>25</v>
      </c>
      <c r="BT20" s="2">
        <v>0</v>
      </c>
      <c r="BU20" s="2">
        <v>0</v>
      </c>
      <c r="BV20" s="2">
        <v>0</v>
      </c>
      <c r="BW20" s="2">
        <v>1</v>
      </c>
      <c r="CG20" s="2"/>
      <c r="CI20" s="19" t="s">
        <v>347</v>
      </c>
      <c r="CJ20" s="2">
        <v>86</v>
      </c>
    </row>
    <row r="21" spans="4:88" x14ac:dyDescent="0.25">
      <c r="Y21" s="19" t="s">
        <v>87</v>
      </c>
      <c r="Z21" s="2">
        <v>0</v>
      </c>
      <c r="AA21" s="2">
        <v>0</v>
      </c>
      <c r="AB21" s="2">
        <v>0</v>
      </c>
      <c r="AC21" s="2">
        <v>0</v>
      </c>
      <c r="AD21" s="2">
        <v>0</v>
      </c>
      <c r="AO21" s="19" t="s">
        <v>348</v>
      </c>
      <c r="AP21" s="2">
        <v>436</v>
      </c>
      <c r="BQ21" s="2"/>
      <c r="BR21" s="19" t="s">
        <v>87</v>
      </c>
      <c r="BS21" s="2">
        <v>0</v>
      </c>
      <c r="BT21" s="2">
        <v>0</v>
      </c>
      <c r="BU21" s="2">
        <v>0</v>
      </c>
      <c r="BV21" s="2">
        <v>0</v>
      </c>
      <c r="BW21" s="2">
        <v>0</v>
      </c>
      <c r="CG21" s="2"/>
      <c r="CI21" s="19" t="s">
        <v>348</v>
      </c>
      <c r="CJ21" s="2">
        <v>114</v>
      </c>
    </row>
    <row r="22" spans="4:88" x14ac:dyDescent="0.25">
      <c r="Y22" s="19" t="s">
        <v>88</v>
      </c>
      <c r="Z22" s="2">
        <v>0</v>
      </c>
      <c r="AA22" s="2">
        <v>0</v>
      </c>
      <c r="AB22" s="2">
        <v>0</v>
      </c>
      <c r="AC22" s="2">
        <v>0</v>
      </c>
      <c r="AD22" s="2">
        <v>1</v>
      </c>
      <c r="AO22" s="19" t="s">
        <v>349</v>
      </c>
      <c r="AP22" s="2">
        <v>419</v>
      </c>
      <c r="BQ22" s="2"/>
      <c r="BR22" s="19" t="s">
        <v>88</v>
      </c>
      <c r="BS22" s="2">
        <v>0</v>
      </c>
      <c r="BT22" s="2">
        <v>0</v>
      </c>
      <c r="BU22" s="2">
        <v>0</v>
      </c>
      <c r="BV22" s="2">
        <v>0</v>
      </c>
      <c r="BW22" s="2">
        <v>0</v>
      </c>
      <c r="CG22" s="2"/>
      <c r="CI22" s="19" t="s">
        <v>349</v>
      </c>
      <c r="CJ22" s="2">
        <v>101</v>
      </c>
    </row>
    <row r="23" spans="4:88" x14ac:dyDescent="0.25">
      <c r="Y23" s="19" t="s">
        <v>89</v>
      </c>
      <c r="Z23" s="2">
        <v>0</v>
      </c>
      <c r="AA23" s="2">
        <v>0</v>
      </c>
      <c r="AB23" s="2">
        <v>0</v>
      </c>
      <c r="AC23" s="2">
        <v>0</v>
      </c>
      <c r="AD23" s="2">
        <v>0</v>
      </c>
      <c r="AO23" s="19" t="s">
        <v>350</v>
      </c>
      <c r="AP23" s="2">
        <v>618</v>
      </c>
      <c r="BQ23" s="2"/>
      <c r="BR23" s="19" t="s">
        <v>89</v>
      </c>
      <c r="BS23" s="2">
        <v>0</v>
      </c>
      <c r="BT23" s="2">
        <v>0</v>
      </c>
      <c r="BU23" s="2">
        <v>0</v>
      </c>
      <c r="BV23" s="2">
        <v>0</v>
      </c>
      <c r="BW23" s="2">
        <v>0</v>
      </c>
      <c r="CG23" s="2"/>
      <c r="CI23" s="19" t="s">
        <v>350</v>
      </c>
      <c r="CJ23" s="2">
        <v>149</v>
      </c>
    </row>
    <row r="24" spans="4:88" x14ac:dyDescent="0.25">
      <c r="Y24" s="19" t="s">
        <v>90</v>
      </c>
      <c r="Z24" s="2">
        <v>12</v>
      </c>
      <c r="AA24" s="2">
        <v>0</v>
      </c>
      <c r="AB24" s="2">
        <v>0</v>
      </c>
      <c r="AC24" s="2">
        <v>0</v>
      </c>
      <c r="AD24" s="2">
        <v>0</v>
      </c>
      <c r="AO24" s="19" t="s">
        <v>351</v>
      </c>
      <c r="AP24" s="2">
        <v>604</v>
      </c>
      <c r="BQ24" s="2"/>
      <c r="BR24" s="19" t="s">
        <v>90</v>
      </c>
      <c r="BS24" s="2">
        <v>2</v>
      </c>
      <c r="BT24" s="2">
        <v>0</v>
      </c>
      <c r="BU24" s="2">
        <v>0</v>
      </c>
      <c r="BV24" s="2">
        <v>0</v>
      </c>
      <c r="BW24" s="2">
        <v>0</v>
      </c>
      <c r="CG24" s="2"/>
      <c r="CI24" s="19" t="s">
        <v>351</v>
      </c>
      <c r="CJ24" s="2">
        <v>178</v>
      </c>
    </row>
    <row r="25" spans="4:88" x14ac:dyDescent="0.25">
      <c r="Y25" s="19" t="s">
        <v>91</v>
      </c>
      <c r="Z25" s="2">
        <v>3</v>
      </c>
      <c r="AA25" s="2">
        <v>7</v>
      </c>
      <c r="AB25" s="2">
        <v>9</v>
      </c>
      <c r="AC25" s="2">
        <v>18</v>
      </c>
      <c r="AD25" s="2">
        <v>14</v>
      </c>
      <c r="AO25" s="19" t="s">
        <v>352</v>
      </c>
      <c r="AP25" s="2">
        <v>628</v>
      </c>
      <c r="BQ25" s="2"/>
      <c r="BR25" s="19" t="s">
        <v>91</v>
      </c>
      <c r="BS25" s="2">
        <v>1</v>
      </c>
      <c r="BT25" s="2">
        <v>0</v>
      </c>
      <c r="BU25" s="2">
        <v>0</v>
      </c>
      <c r="BV25" s="2">
        <v>0</v>
      </c>
      <c r="BW25" s="2">
        <v>6</v>
      </c>
      <c r="CG25" s="2"/>
      <c r="CI25" s="19" t="s">
        <v>352</v>
      </c>
      <c r="CJ25" s="2">
        <v>173</v>
      </c>
    </row>
    <row r="26" spans="4:88" x14ac:dyDescent="0.25">
      <c r="Y26" s="19" t="s">
        <v>92</v>
      </c>
      <c r="Z26" s="2">
        <v>0</v>
      </c>
      <c r="AA26" s="2">
        <v>0</v>
      </c>
      <c r="AB26" s="2">
        <v>12</v>
      </c>
      <c r="AC26" s="2">
        <v>12</v>
      </c>
      <c r="AD26" s="2">
        <v>6</v>
      </c>
      <c r="AO26" s="19" t="s">
        <v>353</v>
      </c>
      <c r="AP26" s="2">
        <v>562</v>
      </c>
      <c r="BQ26" s="2"/>
      <c r="BR26" s="19" t="s">
        <v>92</v>
      </c>
      <c r="BS26" s="2">
        <v>0</v>
      </c>
      <c r="BT26" s="2">
        <v>0</v>
      </c>
      <c r="BU26" s="2">
        <v>0</v>
      </c>
      <c r="BV26" s="2">
        <v>0</v>
      </c>
      <c r="BW26" s="2">
        <v>6</v>
      </c>
      <c r="CG26" s="2"/>
      <c r="CI26" s="19" t="s">
        <v>353</v>
      </c>
      <c r="CJ26" s="2">
        <v>151</v>
      </c>
    </row>
    <row r="27" spans="4:88" x14ac:dyDescent="0.25">
      <c r="Y27" s="19" t="s">
        <v>93</v>
      </c>
      <c r="Z27" s="2">
        <v>0</v>
      </c>
      <c r="AA27" s="2">
        <v>0</v>
      </c>
      <c r="AB27" s="2">
        <v>0</v>
      </c>
      <c r="AC27" s="2">
        <v>0</v>
      </c>
      <c r="AD27" s="2">
        <v>0</v>
      </c>
      <c r="AO27" s="19" t="s">
        <v>355</v>
      </c>
      <c r="AP27" s="2">
        <v>535</v>
      </c>
      <c r="BQ27" s="2"/>
      <c r="BR27" s="19" t="s">
        <v>93</v>
      </c>
      <c r="BS27" s="2">
        <v>0</v>
      </c>
      <c r="BT27" s="2">
        <v>0</v>
      </c>
      <c r="BU27" s="2">
        <v>0</v>
      </c>
      <c r="BV27" s="2">
        <v>0</v>
      </c>
      <c r="BW27" s="2">
        <v>0</v>
      </c>
      <c r="CG27" s="2"/>
      <c r="CI27" s="19" t="s">
        <v>355</v>
      </c>
      <c r="CJ27" s="2">
        <v>149</v>
      </c>
    </row>
    <row r="28" spans="4:88" x14ac:dyDescent="0.25">
      <c r="Y28" s="19" t="s">
        <v>94</v>
      </c>
      <c r="Z28" s="2">
        <v>0</v>
      </c>
      <c r="AA28" s="2">
        <v>0</v>
      </c>
      <c r="AB28" s="2">
        <v>0</v>
      </c>
      <c r="AC28" s="2">
        <v>0</v>
      </c>
      <c r="AD28" s="2">
        <v>0</v>
      </c>
      <c r="AO28" s="19" t="s">
        <v>356</v>
      </c>
      <c r="AP28" s="2">
        <v>606</v>
      </c>
      <c r="BQ28" s="2"/>
      <c r="BR28" s="19" t="s">
        <v>94</v>
      </c>
      <c r="BS28" s="2">
        <v>0</v>
      </c>
      <c r="BT28" s="2">
        <v>0</v>
      </c>
      <c r="BU28" s="2">
        <v>0</v>
      </c>
      <c r="BV28" s="2">
        <v>0</v>
      </c>
      <c r="BW28" s="2">
        <v>0</v>
      </c>
      <c r="CG28" s="2"/>
      <c r="CI28" s="19" t="s">
        <v>356</v>
      </c>
      <c r="CJ28" s="2">
        <v>154</v>
      </c>
    </row>
    <row r="29" spans="4:88" x14ac:dyDescent="0.25">
      <c r="Y29" s="19" t="s">
        <v>95</v>
      </c>
      <c r="Z29" s="2">
        <v>0</v>
      </c>
      <c r="AA29" s="2">
        <v>0</v>
      </c>
      <c r="AB29" s="2">
        <v>12</v>
      </c>
      <c r="AC29" s="2">
        <v>0</v>
      </c>
      <c r="AD29" s="2">
        <v>12</v>
      </c>
      <c r="AO29" s="19" t="s">
        <v>357</v>
      </c>
      <c r="AP29" s="2">
        <v>516</v>
      </c>
      <c r="BQ29" s="2"/>
      <c r="BR29" s="19" t="s">
        <v>95</v>
      </c>
      <c r="BS29" s="2">
        <v>0</v>
      </c>
      <c r="BT29" s="2">
        <v>0</v>
      </c>
      <c r="BU29" s="2">
        <v>0</v>
      </c>
      <c r="BV29" s="2">
        <v>0</v>
      </c>
      <c r="BW29" s="2">
        <v>0</v>
      </c>
      <c r="CG29" s="2"/>
      <c r="CI29" s="19" t="s">
        <v>357</v>
      </c>
      <c r="CJ29" s="2">
        <v>111</v>
      </c>
    </row>
    <row r="30" spans="4:88" x14ac:dyDescent="0.25">
      <c r="Y30" s="19" t="s">
        <v>96</v>
      </c>
      <c r="Z30" s="2">
        <v>0</v>
      </c>
      <c r="AA30" s="2">
        <v>0</v>
      </c>
      <c r="AB30" s="2">
        <v>0</v>
      </c>
      <c r="AC30" s="2">
        <v>0</v>
      </c>
      <c r="AD30" s="2">
        <v>0</v>
      </c>
      <c r="AO30" s="19" t="s">
        <v>358</v>
      </c>
      <c r="AP30" s="2">
        <v>456</v>
      </c>
      <c r="BQ30" s="2"/>
      <c r="BR30" s="19" t="s">
        <v>96</v>
      </c>
      <c r="BS30" s="2">
        <v>0</v>
      </c>
      <c r="BT30" s="2">
        <v>0</v>
      </c>
      <c r="BU30" s="2">
        <v>0</v>
      </c>
      <c r="BV30" s="2">
        <v>0</v>
      </c>
      <c r="BW30" s="2">
        <v>0</v>
      </c>
      <c r="CG30" s="2"/>
      <c r="CI30" s="19" t="s">
        <v>358</v>
      </c>
      <c r="CJ30" s="2">
        <v>99</v>
      </c>
    </row>
    <row r="31" spans="4:88" x14ac:dyDescent="0.25">
      <c r="Y31" s="19" t="s">
        <v>97</v>
      </c>
      <c r="Z31" s="2">
        <v>0</v>
      </c>
      <c r="AA31" s="2">
        <v>0</v>
      </c>
      <c r="AB31" s="2">
        <v>0</v>
      </c>
      <c r="AC31" s="2">
        <v>0</v>
      </c>
      <c r="AD31" s="2">
        <v>2</v>
      </c>
      <c r="AO31" s="19" t="s">
        <v>359</v>
      </c>
      <c r="AP31" s="2">
        <v>410</v>
      </c>
      <c r="BQ31" s="2"/>
      <c r="BR31" s="19" t="s">
        <v>97</v>
      </c>
      <c r="BS31" s="2">
        <v>0</v>
      </c>
      <c r="BT31" s="2">
        <v>0</v>
      </c>
      <c r="BU31" s="2">
        <v>0</v>
      </c>
      <c r="BV31" s="2">
        <v>0</v>
      </c>
      <c r="BW31" s="2">
        <v>2</v>
      </c>
      <c r="CG31" s="2"/>
      <c r="CI31" s="19" t="s">
        <v>359</v>
      </c>
      <c r="CJ31" s="2">
        <v>96</v>
      </c>
    </row>
    <row r="32" spans="4:88" x14ac:dyDescent="0.25">
      <c r="Y32" s="19" t="s">
        <v>98</v>
      </c>
      <c r="Z32" s="2">
        <v>0</v>
      </c>
      <c r="AA32" s="2">
        <v>0</v>
      </c>
      <c r="AB32" s="2">
        <v>0</v>
      </c>
      <c r="AC32" s="2">
        <v>0</v>
      </c>
      <c r="AD32" s="2">
        <v>0</v>
      </c>
      <c r="AO32" s="19" t="s">
        <v>360</v>
      </c>
      <c r="AP32" s="2">
        <v>577</v>
      </c>
      <c r="BQ32" s="2"/>
      <c r="BR32" s="19" t="s">
        <v>98</v>
      </c>
      <c r="BS32" s="2">
        <v>0</v>
      </c>
      <c r="BT32" s="2">
        <v>0</v>
      </c>
      <c r="BU32" s="2">
        <v>0</v>
      </c>
      <c r="BV32" s="2">
        <v>0</v>
      </c>
      <c r="BW32" s="2">
        <v>0</v>
      </c>
      <c r="CG32" s="2"/>
      <c r="CI32" s="19" t="s">
        <v>360</v>
      </c>
      <c r="CJ32" s="2">
        <v>106</v>
      </c>
    </row>
    <row r="33" spans="25:88" x14ac:dyDescent="0.25">
      <c r="Y33" s="19" t="s">
        <v>99</v>
      </c>
      <c r="Z33" s="2">
        <v>0</v>
      </c>
      <c r="AA33" s="2">
        <v>4</v>
      </c>
      <c r="AB33" s="2">
        <v>94</v>
      </c>
      <c r="AC33" s="2">
        <v>67</v>
      </c>
      <c r="AD33" s="2">
        <v>0</v>
      </c>
      <c r="AO33" s="19" t="s">
        <v>361</v>
      </c>
      <c r="AP33" s="2">
        <v>430</v>
      </c>
      <c r="BQ33" s="2"/>
      <c r="BR33" s="19" t="s">
        <v>99</v>
      </c>
      <c r="BS33" s="2">
        <v>0</v>
      </c>
      <c r="BT33" s="2">
        <v>2</v>
      </c>
      <c r="BU33" s="2">
        <v>32</v>
      </c>
      <c r="BV33" s="2">
        <v>43</v>
      </c>
      <c r="BW33" s="2">
        <v>0</v>
      </c>
      <c r="CG33" s="2"/>
      <c r="CI33" s="19" t="s">
        <v>361</v>
      </c>
      <c r="CJ33" s="2">
        <v>74</v>
      </c>
    </row>
    <row r="34" spans="25:88" x14ac:dyDescent="0.25">
      <c r="Y34" s="19" t="s">
        <v>100</v>
      </c>
      <c r="Z34" s="2">
        <v>0</v>
      </c>
      <c r="AA34" s="2">
        <v>0</v>
      </c>
      <c r="AB34" s="2">
        <v>0</v>
      </c>
      <c r="AC34" s="2">
        <v>0</v>
      </c>
      <c r="AD34" s="2">
        <v>0</v>
      </c>
      <c r="AO34" s="19" t="s">
        <v>363</v>
      </c>
      <c r="AP34" s="2">
        <v>388</v>
      </c>
      <c r="BQ34" s="2"/>
      <c r="BR34" s="19" t="s">
        <v>100</v>
      </c>
      <c r="BS34" s="2">
        <v>0</v>
      </c>
      <c r="BT34" s="2">
        <v>0</v>
      </c>
      <c r="BU34" s="2">
        <v>0</v>
      </c>
      <c r="BV34" s="2">
        <v>0</v>
      </c>
      <c r="BW34" s="2">
        <v>0</v>
      </c>
      <c r="CG34" s="2"/>
      <c r="CI34" s="19" t="s">
        <v>363</v>
      </c>
      <c r="CJ34" s="2">
        <v>85</v>
      </c>
    </row>
    <row r="35" spans="25:88" x14ac:dyDescent="0.25">
      <c r="Y35" s="19" t="s">
        <v>101</v>
      </c>
      <c r="Z35" s="2">
        <v>0</v>
      </c>
      <c r="AA35" s="2">
        <v>0</v>
      </c>
      <c r="AB35" s="2">
        <v>0</v>
      </c>
      <c r="AC35" s="2">
        <v>0</v>
      </c>
      <c r="AD35" s="2">
        <v>0</v>
      </c>
      <c r="AO35" s="19" t="s">
        <v>364</v>
      </c>
      <c r="AP35" s="2">
        <v>340</v>
      </c>
      <c r="BQ35" s="2"/>
      <c r="BR35" s="19" t="s">
        <v>101</v>
      </c>
      <c r="BS35" s="2">
        <v>0</v>
      </c>
      <c r="BT35" s="2">
        <v>0</v>
      </c>
      <c r="BU35" s="2">
        <v>0</v>
      </c>
      <c r="BV35" s="2">
        <v>0</v>
      </c>
      <c r="BW35" s="2">
        <v>0</v>
      </c>
      <c r="CG35" s="2"/>
      <c r="CI35" s="19" t="s">
        <v>364</v>
      </c>
      <c r="CJ35" s="2">
        <v>63</v>
      </c>
    </row>
    <row r="36" spans="25:88" x14ac:dyDescent="0.25">
      <c r="Y36" s="19" t="s">
        <v>102</v>
      </c>
      <c r="Z36" s="2">
        <v>0</v>
      </c>
      <c r="AA36" s="2">
        <v>0</v>
      </c>
      <c r="AB36" s="2">
        <v>0</v>
      </c>
      <c r="AC36" s="2">
        <v>0</v>
      </c>
      <c r="AD36" s="2">
        <v>0</v>
      </c>
      <c r="AO36" s="19" t="s">
        <v>365</v>
      </c>
      <c r="AP36" s="2">
        <v>326</v>
      </c>
      <c r="BQ36" s="2"/>
      <c r="BR36" s="19" t="s">
        <v>102</v>
      </c>
      <c r="BS36" s="2">
        <v>0</v>
      </c>
      <c r="BT36" s="2">
        <v>0</v>
      </c>
      <c r="BU36" s="2">
        <v>0</v>
      </c>
      <c r="BV36" s="2">
        <v>0</v>
      </c>
      <c r="BW36" s="2">
        <v>0</v>
      </c>
      <c r="CG36" s="2"/>
      <c r="CI36" s="19" t="s">
        <v>365</v>
      </c>
      <c r="CJ36" s="2">
        <v>45</v>
      </c>
    </row>
    <row r="37" spans="25:88" x14ac:dyDescent="0.25">
      <c r="Y37" s="19" t="s">
        <v>263</v>
      </c>
      <c r="Z37" s="2">
        <v>48</v>
      </c>
      <c r="AA37" s="2">
        <v>18</v>
      </c>
      <c r="AB37" s="2">
        <v>0</v>
      </c>
      <c r="AC37" s="2">
        <v>0</v>
      </c>
      <c r="AD37" s="2">
        <v>0</v>
      </c>
      <c r="AO37" s="19" t="s">
        <v>366</v>
      </c>
      <c r="AP37" s="2">
        <v>323</v>
      </c>
      <c r="BQ37" s="2"/>
      <c r="BR37" s="19" t="s">
        <v>263</v>
      </c>
      <c r="BS37" s="2">
        <v>8</v>
      </c>
      <c r="BT37" s="2">
        <v>5</v>
      </c>
      <c r="BU37" s="2">
        <v>0</v>
      </c>
      <c r="BV37" s="2">
        <v>0</v>
      </c>
      <c r="BW37" s="2">
        <v>0</v>
      </c>
      <c r="CG37" s="2"/>
      <c r="CI37" s="19" t="s">
        <v>366</v>
      </c>
      <c r="CJ37" s="2">
        <v>55</v>
      </c>
    </row>
    <row r="38" spans="25:88" x14ac:dyDescent="0.25">
      <c r="Y38" s="19" t="s">
        <v>103</v>
      </c>
      <c r="Z38" s="2">
        <v>0</v>
      </c>
      <c r="AA38" s="2">
        <v>5</v>
      </c>
      <c r="AB38" s="2">
        <v>6</v>
      </c>
      <c r="AC38" s="2">
        <v>0</v>
      </c>
      <c r="AD38" s="2">
        <v>0</v>
      </c>
      <c r="AO38" s="19" t="s">
        <v>367</v>
      </c>
      <c r="AP38" s="2">
        <v>344</v>
      </c>
      <c r="BQ38" s="2"/>
      <c r="BR38" s="19" t="s">
        <v>103</v>
      </c>
      <c r="BS38" s="2">
        <v>0</v>
      </c>
      <c r="BT38" s="2">
        <v>0</v>
      </c>
      <c r="BU38" s="2">
        <v>0</v>
      </c>
      <c r="BV38" s="2">
        <v>0</v>
      </c>
      <c r="BW38" s="2">
        <v>0</v>
      </c>
      <c r="CG38" s="2"/>
      <c r="CI38" s="19" t="s">
        <v>367</v>
      </c>
      <c r="CJ38" s="2">
        <v>63</v>
      </c>
    </row>
    <row r="39" spans="25:88" x14ac:dyDescent="0.25">
      <c r="Y39" s="19" t="s">
        <v>104</v>
      </c>
      <c r="Z39" s="2">
        <v>0</v>
      </c>
      <c r="AA39" s="2">
        <v>0</v>
      </c>
      <c r="AB39" s="2">
        <v>0</v>
      </c>
      <c r="AC39" s="2">
        <v>84</v>
      </c>
      <c r="AD39" s="2">
        <v>0</v>
      </c>
      <c r="AO39" s="19" t="s">
        <v>368</v>
      </c>
      <c r="AP39" s="2">
        <v>467</v>
      </c>
      <c r="BQ39" s="2"/>
      <c r="BR39" s="19" t="s">
        <v>104</v>
      </c>
      <c r="BS39" s="2">
        <v>0</v>
      </c>
      <c r="BT39" s="2">
        <v>0</v>
      </c>
      <c r="BU39" s="2">
        <v>0</v>
      </c>
      <c r="BV39" s="2">
        <v>10</v>
      </c>
      <c r="BW39" s="2">
        <v>0</v>
      </c>
      <c r="CG39" s="2"/>
      <c r="CI39" s="19" t="s">
        <v>368</v>
      </c>
      <c r="CJ39" s="2">
        <v>65</v>
      </c>
    </row>
    <row r="40" spans="25:88" x14ac:dyDescent="0.25">
      <c r="Y40" s="19" t="s">
        <v>105</v>
      </c>
      <c r="Z40" s="2">
        <v>0</v>
      </c>
      <c r="AA40" s="2">
        <v>0</v>
      </c>
      <c r="AB40" s="2">
        <v>0</v>
      </c>
      <c r="AC40" s="2">
        <v>0</v>
      </c>
      <c r="AD40" s="2">
        <v>0</v>
      </c>
      <c r="AO40" s="19" t="s">
        <v>369</v>
      </c>
      <c r="AP40" s="2">
        <v>597</v>
      </c>
      <c r="BQ40" s="2"/>
      <c r="BR40" s="19" t="s">
        <v>105</v>
      </c>
      <c r="BS40" s="2">
        <v>0</v>
      </c>
      <c r="BT40" s="2">
        <v>0</v>
      </c>
      <c r="BU40" s="2">
        <v>0</v>
      </c>
      <c r="BV40" s="2">
        <v>0</v>
      </c>
      <c r="BW40" s="2">
        <v>0</v>
      </c>
      <c r="CG40" s="2"/>
      <c r="CI40" s="19" t="s">
        <v>369</v>
      </c>
      <c r="CJ40" s="2">
        <v>96</v>
      </c>
    </row>
    <row r="41" spans="25:88" x14ac:dyDescent="0.25">
      <c r="Y41" s="19" t="s">
        <v>106</v>
      </c>
      <c r="Z41" s="2">
        <v>0</v>
      </c>
      <c r="AA41" s="2">
        <v>0</v>
      </c>
      <c r="AB41" s="2">
        <v>0</v>
      </c>
      <c r="AC41" s="2">
        <v>0</v>
      </c>
      <c r="AD41" s="2">
        <v>81</v>
      </c>
      <c r="BQ41" s="2"/>
      <c r="BR41" s="19" t="s">
        <v>106</v>
      </c>
      <c r="BS41" s="2">
        <v>0</v>
      </c>
      <c r="BT41" s="2">
        <v>0</v>
      </c>
      <c r="BU41" s="2">
        <v>0</v>
      </c>
      <c r="BV41" s="2">
        <v>0</v>
      </c>
      <c r="BW41" s="2">
        <v>27</v>
      </c>
      <c r="CG41" s="2"/>
    </row>
    <row r="42" spans="25:88" x14ac:dyDescent="0.25">
      <c r="Y42" s="19" t="s">
        <v>107</v>
      </c>
      <c r="Z42" s="2">
        <v>0</v>
      </c>
      <c r="AA42" s="2">
        <v>0</v>
      </c>
      <c r="AB42" s="2">
        <v>0</v>
      </c>
      <c r="AC42" s="2">
        <v>0</v>
      </c>
      <c r="AD42" s="2">
        <v>0</v>
      </c>
      <c r="BQ42" s="2"/>
      <c r="BR42" s="19" t="s">
        <v>107</v>
      </c>
      <c r="BS42" s="2">
        <v>0</v>
      </c>
      <c r="BT42" s="2">
        <v>0</v>
      </c>
      <c r="BU42" s="2">
        <v>0</v>
      </c>
      <c r="BV42" s="2">
        <v>0</v>
      </c>
      <c r="BW42" s="2">
        <v>0</v>
      </c>
      <c r="CG42" s="2"/>
    </row>
    <row r="43" spans="25:88" x14ac:dyDescent="0.25">
      <c r="Y43" s="19" t="s">
        <v>108</v>
      </c>
      <c r="Z43" s="2">
        <v>0</v>
      </c>
      <c r="AA43" s="2">
        <v>0</v>
      </c>
      <c r="AB43" s="2">
        <v>0</v>
      </c>
      <c r="AC43" s="2">
        <v>4</v>
      </c>
      <c r="AD43" s="2">
        <v>4</v>
      </c>
      <c r="BQ43" s="2"/>
      <c r="BR43" s="19" t="s">
        <v>108</v>
      </c>
      <c r="BS43" s="2">
        <v>0</v>
      </c>
      <c r="BT43" s="2">
        <v>0</v>
      </c>
      <c r="BU43" s="2">
        <v>0</v>
      </c>
      <c r="BV43" s="2">
        <v>1</v>
      </c>
      <c r="BW43" s="2">
        <v>1</v>
      </c>
      <c r="CG43" s="2"/>
    </row>
    <row r="44" spans="25:88" x14ac:dyDescent="0.25">
      <c r="Y44" s="19" t="s">
        <v>109</v>
      </c>
      <c r="Z44" s="2">
        <v>0</v>
      </c>
      <c r="AA44" s="2">
        <v>0</v>
      </c>
      <c r="AB44" s="2">
        <v>0</v>
      </c>
      <c r="AC44" s="2">
        <v>0</v>
      </c>
      <c r="AD44" s="2">
        <v>25</v>
      </c>
      <c r="BQ44" s="2"/>
      <c r="BR44" s="19" t="s">
        <v>109</v>
      </c>
      <c r="BS44" s="2">
        <v>0</v>
      </c>
      <c r="BT44" s="2">
        <v>0</v>
      </c>
      <c r="BU44" s="2">
        <v>0</v>
      </c>
      <c r="BV44" s="2">
        <v>0</v>
      </c>
      <c r="BW44" s="2">
        <v>1</v>
      </c>
      <c r="CG44" s="2"/>
    </row>
    <row r="45" spans="25:88" x14ac:dyDescent="0.25">
      <c r="Y45" s="19" t="s">
        <v>110</v>
      </c>
      <c r="Z45" s="2">
        <v>0</v>
      </c>
      <c r="AA45" s="2">
        <v>0</v>
      </c>
      <c r="AB45" s="2">
        <v>0</v>
      </c>
      <c r="AC45" s="2">
        <v>0</v>
      </c>
      <c r="AD45" s="2">
        <v>0</v>
      </c>
      <c r="BQ45" s="2"/>
      <c r="BR45" s="19" t="s">
        <v>110</v>
      </c>
      <c r="BS45" s="2">
        <v>0</v>
      </c>
      <c r="BT45" s="2">
        <v>0</v>
      </c>
      <c r="BU45" s="2">
        <v>0</v>
      </c>
      <c r="BV45" s="2">
        <v>0</v>
      </c>
      <c r="BW45" s="2">
        <v>0</v>
      </c>
      <c r="CG45" s="2"/>
    </row>
    <row r="46" spans="25:88" x14ac:dyDescent="0.25">
      <c r="Y46" s="19" t="s">
        <v>111</v>
      </c>
      <c r="Z46" s="2">
        <v>19</v>
      </c>
      <c r="AA46" s="2">
        <v>17</v>
      </c>
      <c r="AB46" s="2">
        <v>10</v>
      </c>
      <c r="AC46" s="2">
        <v>6</v>
      </c>
      <c r="AD46" s="2">
        <v>41</v>
      </c>
      <c r="BQ46" s="2"/>
      <c r="BR46" s="19" t="s">
        <v>111</v>
      </c>
      <c r="BS46" s="2">
        <v>1</v>
      </c>
      <c r="BT46" s="2">
        <v>2</v>
      </c>
      <c r="BU46" s="2">
        <v>0</v>
      </c>
      <c r="BV46" s="2">
        <v>1</v>
      </c>
      <c r="BW46" s="2">
        <v>1</v>
      </c>
      <c r="CG46" s="2"/>
    </row>
    <row r="47" spans="25:88" x14ac:dyDescent="0.25">
      <c r="Y47" s="19" t="s">
        <v>112</v>
      </c>
      <c r="Z47" s="2">
        <v>16</v>
      </c>
      <c r="AA47" s="2">
        <v>19</v>
      </c>
      <c r="AB47" s="2">
        <v>9</v>
      </c>
      <c r="AC47" s="2">
        <v>11</v>
      </c>
      <c r="AD47" s="2">
        <v>9</v>
      </c>
      <c r="BQ47" s="2"/>
      <c r="BR47" s="19" t="s">
        <v>112</v>
      </c>
      <c r="BS47" s="2">
        <v>13</v>
      </c>
      <c r="BT47" s="2">
        <v>12</v>
      </c>
      <c r="BU47" s="2">
        <v>8</v>
      </c>
      <c r="BV47" s="2">
        <v>4</v>
      </c>
      <c r="BW47" s="2">
        <v>1</v>
      </c>
      <c r="CG47" s="2"/>
    </row>
    <row r="48" spans="25:88" x14ac:dyDescent="0.25">
      <c r="Y48" s="19" t="s">
        <v>113</v>
      </c>
      <c r="Z48" s="2">
        <v>0</v>
      </c>
      <c r="AA48" s="2">
        <v>0</v>
      </c>
      <c r="AB48" s="2">
        <v>0</v>
      </c>
      <c r="AC48" s="2">
        <v>0</v>
      </c>
      <c r="AD48" s="2">
        <v>0</v>
      </c>
      <c r="BQ48" s="2"/>
      <c r="BR48" s="19" t="s">
        <v>113</v>
      </c>
      <c r="BS48" s="2">
        <v>0</v>
      </c>
      <c r="BT48" s="2">
        <v>0</v>
      </c>
      <c r="BU48" s="2">
        <v>0</v>
      </c>
      <c r="BV48" s="2">
        <v>0</v>
      </c>
      <c r="BW48" s="2">
        <v>0</v>
      </c>
      <c r="CG48" s="2"/>
    </row>
    <row r="49" spans="25:85" x14ac:dyDescent="0.25">
      <c r="Y49" s="19" t="s">
        <v>114</v>
      </c>
      <c r="Z49" s="2">
        <v>306</v>
      </c>
      <c r="AA49" s="2">
        <v>437</v>
      </c>
      <c r="AB49" s="2">
        <v>282</v>
      </c>
      <c r="AC49" s="2">
        <v>58</v>
      </c>
      <c r="AD49" s="2">
        <v>92</v>
      </c>
      <c r="BQ49" s="2"/>
      <c r="BR49" s="19" t="s">
        <v>114</v>
      </c>
      <c r="BS49" s="2">
        <v>61</v>
      </c>
      <c r="BT49" s="2">
        <v>74</v>
      </c>
      <c r="BU49" s="2">
        <v>51</v>
      </c>
      <c r="BV49" s="2">
        <v>21</v>
      </c>
      <c r="BW49" s="2">
        <v>7</v>
      </c>
      <c r="CG49" s="2"/>
    </row>
    <row r="50" spans="25:85" x14ac:dyDescent="0.25">
      <c r="Y50" s="19" t="s">
        <v>115</v>
      </c>
      <c r="Z50" s="2">
        <v>0</v>
      </c>
      <c r="AA50" s="2">
        <v>0</v>
      </c>
      <c r="AB50" s="2">
        <v>0</v>
      </c>
      <c r="AC50" s="2">
        <v>0</v>
      </c>
      <c r="AD50" s="2">
        <v>0</v>
      </c>
      <c r="BQ50" s="2"/>
      <c r="BR50" s="19" t="s">
        <v>115</v>
      </c>
      <c r="BS50" s="2">
        <v>0</v>
      </c>
      <c r="BT50" s="2">
        <v>0</v>
      </c>
      <c r="BU50" s="2">
        <v>0</v>
      </c>
      <c r="BV50" s="2">
        <v>0</v>
      </c>
      <c r="BW50" s="2">
        <v>0</v>
      </c>
      <c r="CG50" s="2"/>
    </row>
    <row r="51" spans="25:85" x14ac:dyDescent="0.25">
      <c r="Y51" s="19" t="s">
        <v>116</v>
      </c>
      <c r="Z51" s="2">
        <v>0</v>
      </c>
      <c r="AA51" s="2">
        <v>0</v>
      </c>
      <c r="AB51" s="2">
        <v>0</v>
      </c>
      <c r="AC51" s="2">
        <v>0</v>
      </c>
      <c r="AD51" s="2">
        <v>0</v>
      </c>
      <c r="BQ51" s="2"/>
      <c r="BR51" s="19" t="s">
        <v>116</v>
      </c>
      <c r="BS51" s="2">
        <v>0</v>
      </c>
      <c r="BT51" s="2">
        <v>0</v>
      </c>
      <c r="BU51" s="2">
        <v>0</v>
      </c>
      <c r="BV51" s="2">
        <v>0</v>
      </c>
      <c r="BW51" s="2">
        <v>0</v>
      </c>
      <c r="CG51" s="2"/>
    </row>
    <row r="52" spans="25:85" x14ac:dyDescent="0.25">
      <c r="Y52" s="19" t="s">
        <v>117</v>
      </c>
      <c r="Z52" s="2">
        <v>36</v>
      </c>
      <c r="AA52" s="2">
        <v>45</v>
      </c>
      <c r="AB52" s="2">
        <v>0</v>
      </c>
      <c r="AC52" s="2">
        <v>0</v>
      </c>
      <c r="AD52" s="2">
        <v>0</v>
      </c>
      <c r="BQ52" s="2"/>
      <c r="BR52" s="19" t="s">
        <v>117</v>
      </c>
      <c r="BS52" s="2">
        <v>18</v>
      </c>
      <c r="BT52" s="2">
        <v>45</v>
      </c>
      <c r="BU52" s="2">
        <v>0</v>
      </c>
      <c r="BV52" s="2">
        <v>0</v>
      </c>
      <c r="BW52" s="2">
        <v>0</v>
      </c>
      <c r="CG52" s="2"/>
    </row>
    <row r="53" spans="25:85" x14ac:dyDescent="0.25">
      <c r="Y53" s="19" t="s">
        <v>118</v>
      </c>
      <c r="Z53" s="2">
        <v>2</v>
      </c>
      <c r="AA53" s="2">
        <v>0</v>
      </c>
      <c r="AB53" s="2">
        <v>3</v>
      </c>
      <c r="AC53" s="2">
        <v>0</v>
      </c>
      <c r="AD53" s="2">
        <v>0</v>
      </c>
      <c r="BQ53" s="2"/>
      <c r="BR53" s="19" t="s">
        <v>118</v>
      </c>
      <c r="BS53" s="2">
        <v>0</v>
      </c>
      <c r="BT53" s="2">
        <v>0</v>
      </c>
      <c r="BU53" s="2">
        <v>0</v>
      </c>
      <c r="BV53" s="2">
        <v>0</v>
      </c>
      <c r="BW53" s="2">
        <v>0</v>
      </c>
      <c r="CG53" s="2"/>
    </row>
    <row r="54" spans="25:85" x14ac:dyDescent="0.25">
      <c r="Y54" s="19" t="s">
        <v>119</v>
      </c>
      <c r="Z54" s="2">
        <v>8</v>
      </c>
      <c r="AA54" s="2">
        <v>17</v>
      </c>
      <c r="AB54" s="2">
        <v>4</v>
      </c>
      <c r="AC54" s="2">
        <v>4</v>
      </c>
      <c r="AD54" s="2">
        <v>32</v>
      </c>
      <c r="BQ54" s="2"/>
      <c r="BR54" s="19" t="s">
        <v>119</v>
      </c>
      <c r="BS54" s="2">
        <v>2</v>
      </c>
      <c r="BT54" s="2">
        <v>4</v>
      </c>
      <c r="BU54" s="2">
        <v>2</v>
      </c>
      <c r="BV54" s="2">
        <v>0</v>
      </c>
      <c r="BW54" s="2">
        <v>2</v>
      </c>
      <c r="CG54" s="2"/>
    </row>
    <row r="55" spans="25:85" x14ac:dyDescent="0.25">
      <c r="Y55" s="19" t="s">
        <v>120</v>
      </c>
      <c r="Z55" s="2">
        <v>0</v>
      </c>
      <c r="AA55" s="2">
        <v>0</v>
      </c>
      <c r="AB55" s="2">
        <v>0</v>
      </c>
      <c r="AC55" s="2">
        <v>0</v>
      </c>
      <c r="AD55" s="2">
        <v>0</v>
      </c>
      <c r="BQ55" s="2"/>
      <c r="BR55" s="19" t="s">
        <v>120</v>
      </c>
      <c r="BS55" s="2">
        <v>0</v>
      </c>
      <c r="BT55" s="2">
        <v>0</v>
      </c>
      <c r="BU55" s="2">
        <v>0</v>
      </c>
      <c r="BV55" s="2">
        <v>0</v>
      </c>
      <c r="BW55" s="2">
        <v>0</v>
      </c>
      <c r="CG55" s="2"/>
    </row>
    <row r="56" spans="25:85" x14ac:dyDescent="0.25">
      <c r="Y56" s="19" t="s">
        <v>121</v>
      </c>
      <c r="Z56" s="2">
        <v>0</v>
      </c>
      <c r="AA56" s="2">
        <v>0</v>
      </c>
      <c r="AB56" s="2">
        <v>0</v>
      </c>
      <c r="AC56" s="2">
        <v>0</v>
      </c>
      <c r="AD56" s="2">
        <v>0</v>
      </c>
      <c r="BQ56" s="2"/>
      <c r="BR56" s="19" t="s">
        <v>121</v>
      </c>
      <c r="BS56" s="2">
        <v>0</v>
      </c>
      <c r="BT56" s="2">
        <v>0</v>
      </c>
      <c r="BU56" s="2">
        <v>0</v>
      </c>
      <c r="BV56" s="2">
        <v>0</v>
      </c>
      <c r="BW56" s="2">
        <v>0</v>
      </c>
      <c r="CG56" s="2"/>
    </row>
    <row r="57" spans="25:85" x14ac:dyDescent="0.25">
      <c r="Y57" s="19" t="s">
        <v>122</v>
      </c>
      <c r="Z57" s="2">
        <v>0</v>
      </c>
      <c r="AA57" s="2">
        <v>44</v>
      </c>
      <c r="AB57" s="2">
        <v>142</v>
      </c>
      <c r="AC57" s="2">
        <v>78</v>
      </c>
      <c r="AD57" s="2">
        <v>0</v>
      </c>
      <c r="BQ57" s="2"/>
      <c r="BR57" s="19" t="s">
        <v>122</v>
      </c>
      <c r="BS57" s="2">
        <v>0</v>
      </c>
      <c r="BT57" s="2">
        <v>4</v>
      </c>
      <c r="BU57" s="2">
        <v>40</v>
      </c>
      <c r="BV57" s="2">
        <v>24</v>
      </c>
      <c r="BW57" s="2">
        <v>0</v>
      </c>
      <c r="CG57" s="2"/>
    </row>
    <row r="58" spans="25:85" x14ac:dyDescent="0.25">
      <c r="Y58" s="19" t="s">
        <v>123</v>
      </c>
      <c r="Z58" s="2">
        <v>0</v>
      </c>
      <c r="AA58" s="2">
        <v>0</v>
      </c>
      <c r="AB58" s="2">
        <v>4</v>
      </c>
      <c r="AC58" s="2">
        <v>28</v>
      </c>
      <c r="AD58" s="2">
        <v>0</v>
      </c>
      <c r="BQ58" s="2"/>
      <c r="BR58" s="19" t="s">
        <v>123</v>
      </c>
      <c r="BS58" s="2">
        <v>0</v>
      </c>
      <c r="BT58" s="2">
        <v>0</v>
      </c>
      <c r="BU58" s="2">
        <v>0</v>
      </c>
      <c r="BV58" s="2">
        <v>1</v>
      </c>
      <c r="BW58" s="2">
        <v>0</v>
      </c>
      <c r="CG58" s="2"/>
    </row>
    <row r="59" spans="25:85" x14ac:dyDescent="0.25">
      <c r="Y59" s="19" t="s">
        <v>264</v>
      </c>
      <c r="Z59" s="2">
        <v>3</v>
      </c>
      <c r="AA59" s="2">
        <v>42</v>
      </c>
      <c r="AB59" s="2">
        <v>19</v>
      </c>
      <c r="AC59" s="2">
        <v>9</v>
      </c>
      <c r="AD59" s="2">
        <v>6</v>
      </c>
      <c r="BQ59" s="2"/>
      <c r="BR59" s="19" t="s">
        <v>264</v>
      </c>
      <c r="BS59" s="2">
        <v>1</v>
      </c>
      <c r="BT59" s="2">
        <v>23</v>
      </c>
      <c r="BU59" s="2">
        <v>12</v>
      </c>
      <c r="BV59" s="2">
        <v>5</v>
      </c>
      <c r="BW59" s="2">
        <v>3</v>
      </c>
      <c r="CG59" s="2"/>
    </row>
    <row r="60" spans="25:85" x14ac:dyDescent="0.25">
      <c r="Y60" s="19" t="s">
        <v>124</v>
      </c>
      <c r="Z60" s="2">
        <v>0</v>
      </c>
      <c r="AA60" s="2">
        <v>0</v>
      </c>
      <c r="AB60" s="2">
        <v>0</v>
      </c>
      <c r="AC60" s="2">
        <v>0</v>
      </c>
      <c r="AD60" s="2">
        <v>0</v>
      </c>
      <c r="BQ60" s="2"/>
      <c r="BR60" s="19" t="s">
        <v>124</v>
      </c>
      <c r="BS60" s="2">
        <v>0</v>
      </c>
      <c r="BT60" s="2">
        <v>0</v>
      </c>
      <c r="BU60" s="2">
        <v>0</v>
      </c>
      <c r="BV60" s="2">
        <v>0</v>
      </c>
      <c r="BW60" s="2">
        <v>0</v>
      </c>
      <c r="CG60" s="2"/>
    </row>
    <row r="61" spans="25:85" x14ac:dyDescent="0.25">
      <c r="Y61" s="19" t="s">
        <v>125</v>
      </c>
      <c r="Z61" s="2">
        <v>0</v>
      </c>
      <c r="AA61" s="2">
        <v>0</v>
      </c>
      <c r="AB61" s="2">
        <v>0</v>
      </c>
      <c r="AC61" s="2">
        <v>0</v>
      </c>
      <c r="AD61" s="2">
        <v>0</v>
      </c>
      <c r="BQ61" s="2"/>
      <c r="BR61" s="19" t="s">
        <v>125</v>
      </c>
      <c r="BS61" s="2">
        <v>0</v>
      </c>
      <c r="BT61" s="2">
        <v>0</v>
      </c>
      <c r="BU61" s="2">
        <v>0</v>
      </c>
      <c r="BV61" s="2">
        <v>0</v>
      </c>
      <c r="BW61" s="2">
        <v>0</v>
      </c>
      <c r="CG61" s="2"/>
    </row>
    <row r="62" spans="25:85" x14ac:dyDescent="0.25">
      <c r="Y62" s="19" t="s">
        <v>126</v>
      </c>
      <c r="Z62" s="2">
        <v>0</v>
      </c>
      <c r="AA62" s="2">
        <v>0</v>
      </c>
      <c r="AB62" s="2">
        <v>0</v>
      </c>
      <c r="AC62" s="2">
        <v>0</v>
      </c>
      <c r="AD62" s="2">
        <v>30</v>
      </c>
      <c r="BQ62" s="2"/>
      <c r="BR62" s="19" t="s">
        <v>126</v>
      </c>
      <c r="BS62" s="2">
        <v>0</v>
      </c>
      <c r="BT62" s="2">
        <v>0</v>
      </c>
      <c r="BU62" s="2">
        <v>0</v>
      </c>
      <c r="BV62" s="2">
        <v>0</v>
      </c>
      <c r="BW62" s="2">
        <v>0</v>
      </c>
      <c r="CG62" s="2"/>
    </row>
    <row r="63" spans="25:85" x14ac:dyDescent="0.25">
      <c r="Y63" s="19" t="s">
        <v>127</v>
      </c>
      <c r="Z63" s="2">
        <v>0</v>
      </c>
      <c r="AA63" s="2">
        <v>0</v>
      </c>
      <c r="AB63" s="2">
        <v>0</v>
      </c>
      <c r="AC63" s="2">
        <v>0</v>
      </c>
      <c r="AD63" s="2">
        <v>0</v>
      </c>
      <c r="BQ63" s="2"/>
      <c r="BR63" s="19" t="s">
        <v>127</v>
      </c>
      <c r="BS63" s="2">
        <v>0</v>
      </c>
      <c r="BT63" s="2">
        <v>0</v>
      </c>
      <c r="BU63" s="2">
        <v>0</v>
      </c>
      <c r="BV63" s="2">
        <v>0</v>
      </c>
      <c r="BW63" s="2">
        <v>0</v>
      </c>
      <c r="CG63" s="2"/>
    </row>
    <row r="64" spans="25:85" x14ac:dyDescent="0.25">
      <c r="Y64" s="19" t="s">
        <v>128</v>
      </c>
      <c r="Z64" s="2">
        <v>0</v>
      </c>
      <c r="AA64" s="2">
        <v>4</v>
      </c>
      <c r="AB64" s="2">
        <v>0</v>
      </c>
      <c r="AC64" s="2">
        <v>76</v>
      </c>
      <c r="AD64" s="2">
        <v>44</v>
      </c>
      <c r="BQ64" s="2"/>
      <c r="BR64" s="19" t="s">
        <v>128</v>
      </c>
      <c r="BS64" s="2">
        <v>0</v>
      </c>
      <c r="BT64" s="2">
        <v>0</v>
      </c>
      <c r="BU64" s="2">
        <v>0</v>
      </c>
      <c r="BV64" s="2">
        <v>10</v>
      </c>
      <c r="BW64" s="2">
        <v>10</v>
      </c>
      <c r="CG64" s="2"/>
    </row>
    <row r="65" spans="25:85" x14ac:dyDescent="0.25">
      <c r="Y65" s="19" t="s">
        <v>129</v>
      </c>
      <c r="Z65" s="2">
        <v>48</v>
      </c>
      <c r="AA65" s="2">
        <v>0</v>
      </c>
      <c r="AB65" s="2">
        <v>0</v>
      </c>
      <c r="AC65" s="2">
        <v>0</v>
      </c>
      <c r="AD65" s="2">
        <v>0</v>
      </c>
      <c r="BQ65" s="2"/>
      <c r="BR65" s="19" t="s">
        <v>129</v>
      </c>
      <c r="BS65" s="2">
        <v>24</v>
      </c>
      <c r="BT65" s="2">
        <v>0</v>
      </c>
      <c r="BU65" s="2">
        <v>0</v>
      </c>
      <c r="BV65" s="2">
        <v>0</v>
      </c>
      <c r="BW65" s="2">
        <v>0</v>
      </c>
      <c r="CG65" s="2"/>
    </row>
    <row r="66" spans="25:85" x14ac:dyDescent="0.25">
      <c r="Y66" s="19" t="s">
        <v>130</v>
      </c>
      <c r="Z66" s="2">
        <v>0</v>
      </c>
      <c r="AA66" s="2">
        <v>70</v>
      </c>
      <c r="AB66" s="2">
        <v>151</v>
      </c>
      <c r="AC66" s="2">
        <v>52</v>
      </c>
      <c r="AD66" s="2">
        <v>0</v>
      </c>
      <c r="BQ66" s="2"/>
      <c r="BR66" s="19" t="s">
        <v>130</v>
      </c>
      <c r="BS66" s="2">
        <v>0</v>
      </c>
      <c r="BT66" s="2">
        <v>11</v>
      </c>
      <c r="BU66" s="2">
        <v>46</v>
      </c>
      <c r="BV66" s="2">
        <v>5</v>
      </c>
      <c r="BW66" s="2">
        <v>0</v>
      </c>
      <c r="CG66" s="2"/>
    </row>
    <row r="67" spans="25:85" x14ac:dyDescent="0.25">
      <c r="Y67" s="19" t="s">
        <v>131</v>
      </c>
      <c r="Z67" s="2">
        <v>0</v>
      </c>
      <c r="AA67" s="2">
        <v>0</v>
      </c>
      <c r="AB67" s="2">
        <v>0</v>
      </c>
      <c r="AC67" s="2">
        <v>0</v>
      </c>
      <c r="AD67" s="2">
        <v>0</v>
      </c>
      <c r="BQ67" s="2"/>
      <c r="BR67" s="19" t="s">
        <v>131</v>
      </c>
      <c r="BS67" s="2">
        <v>0</v>
      </c>
      <c r="BT67" s="2">
        <v>0</v>
      </c>
      <c r="BU67" s="2">
        <v>0</v>
      </c>
      <c r="BV67" s="2">
        <v>0</v>
      </c>
      <c r="BW67" s="2">
        <v>0</v>
      </c>
      <c r="CG67" s="2"/>
    </row>
    <row r="68" spans="25:85" x14ac:dyDescent="0.25">
      <c r="Y68" s="19" t="s">
        <v>132</v>
      </c>
      <c r="Z68" s="2">
        <v>256</v>
      </c>
      <c r="AA68" s="2">
        <v>44</v>
      </c>
      <c r="AB68" s="2">
        <v>55</v>
      </c>
      <c r="AC68" s="2">
        <v>120</v>
      </c>
      <c r="AD68" s="2">
        <v>24</v>
      </c>
      <c r="BQ68" s="2"/>
      <c r="BR68" s="19" t="s">
        <v>132</v>
      </c>
      <c r="BS68" s="2">
        <v>83</v>
      </c>
      <c r="BT68" s="2">
        <v>11</v>
      </c>
      <c r="BU68" s="2">
        <v>3</v>
      </c>
      <c r="BV68" s="2">
        <v>16</v>
      </c>
      <c r="BW68" s="2">
        <v>7</v>
      </c>
      <c r="CG68" s="2"/>
    </row>
    <row r="69" spans="25:85" x14ac:dyDescent="0.25">
      <c r="Y69" s="19" t="s">
        <v>133</v>
      </c>
      <c r="Z69" s="2">
        <v>0</v>
      </c>
      <c r="AA69" s="2">
        <v>0</v>
      </c>
      <c r="AB69" s="2">
        <v>0</v>
      </c>
      <c r="AC69" s="2">
        <v>1</v>
      </c>
      <c r="AD69" s="2">
        <v>0</v>
      </c>
      <c r="BQ69" s="2"/>
      <c r="BR69" s="19" t="s">
        <v>133</v>
      </c>
      <c r="BS69" s="2">
        <v>0</v>
      </c>
      <c r="BT69" s="2">
        <v>0</v>
      </c>
      <c r="BU69" s="2">
        <v>0</v>
      </c>
      <c r="BV69" s="2">
        <v>1</v>
      </c>
      <c r="BW69" s="2">
        <v>0</v>
      </c>
      <c r="CG69" s="2"/>
    </row>
    <row r="70" spans="25:85" x14ac:dyDescent="0.25">
      <c r="Y70" s="19" t="s">
        <v>134</v>
      </c>
      <c r="Z70" s="2">
        <v>10</v>
      </c>
      <c r="AA70" s="2">
        <v>10</v>
      </c>
      <c r="AB70" s="2">
        <v>40</v>
      </c>
      <c r="AC70" s="2">
        <v>0</v>
      </c>
      <c r="AD70" s="2">
        <v>55</v>
      </c>
      <c r="BQ70" s="2"/>
      <c r="BR70" s="19" t="s">
        <v>134</v>
      </c>
      <c r="BS70" s="2">
        <v>2</v>
      </c>
      <c r="BT70" s="2">
        <v>2</v>
      </c>
      <c r="BU70" s="2">
        <v>10</v>
      </c>
      <c r="BV70" s="2">
        <v>0</v>
      </c>
      <c r="BW70" s="2">
        <v>6</v>
      </c>
      <c r="CG70" s="2"/>
    </row>
    <row r="71" spans="25:85" x14ac:dyDescent="0.25">
      <c r="Y71" s="19" t="s">
        <v>135</v>
      </c>
      <c r="Z71" s="2">
        <v>0</v>
      </c>
      <c r="AA71" s="2">
        <v>0</v>
      </c>
      <c r="AB71" s="2">
        <v>0</v>
      </c>
      <c r="AC71" s="2">
        <v>0</v>
      </c>
      <c r="AD71" s="2">
        <v>0</v>
      </c>
      <c r="BQ71" s="2"/>
      <c r="BR71" s="19" t="s">
        <v>135</v>
      </c>
      <c r="BS71" s="2">
        <v>0</v>
      </c>
      <c r="BT71" s="2">
        <v>0</v>
      </c>
      <c r="BU71" s="2">
        <v>0</v>
      </c>
      <c r="BV71" s="2">
        <v>0</v>
      </c>
      <c r="BW71" s="2">
        <v>0</v>
      </c>
      <c r="CG71" s="2"/>
    </row>
    <row r="72" spans="25:85" x14ac:dyDescent="0.25">
      <c r="Y72" s="19" t="s">
        <v>136</v>
      </c>
      <c r="Z72" s="2">
        <v>0</v>
      </c>
      <c r="AA72" s="2">
        <v>0</v>
      </c>
      <c r="AB72" s="2">
        <v>31</v>
      </c>
      <c r="AC72" s="2">
        <v>0</v>
      </c>
      <c r="AD72" s="2">
        <v>0</v>
      </c>
      <c r="BQ72" s="2"/>
      <c r="BR72" s="19" t="s">
        <v>136</v>
      </c>
      <c r="BS72" s="2">
        <v>0</v>
      </c>
      <c r="BT72" s="2">
        <v>0</v>
      </c>
      <c r="BU72" s="2">
        <v>7</v>
      </c>
      <c r="BV72" s="2">
        <v>0</v>
      </c>
      <c r="BW72" s="2">
        <v>0</v>
      </c>
      <c r="CG72" s="2"/>
    </row>
    <row r="73" spans="25:85" x14ac:dyDescent="0.25">
      <c r="Y73" s="19" t="s">
        <v>137</v>
      </c>
      <c r="Z73" s="2">
        <v>7</v>
      </c>
      <c r="AA73" s="2">
        <v>0</v>
      </c>
      <c r="AB73" s="2">
        <v>0</v>
      </c>
      <c r="AC73" s="2">
        <v>0</v>
      </c>
      <c r="AD73" s="2">
        <v>0</v>
      </c>
      <c r="BQ73" s="2"/>
      <c r="BR73" s="19" t="s">
        <v>137</v>
      </c>
      <c r="BS73" s="2">
        <v>1</v>
      </c>
      <c r="BT73" s="2">
        <v>0</v>
      </c>
      <c r="BU73" s="2">
        <v>0</v>
      </c>
      <c r="BV73" s="2">
        <v>0</v>
      </c>
      <c r="BW73" s="2">
        <v>0</v>
      </c>
      <c r="CG73" s="2"/>
    </row>
    <row r="74" spans="25:85" x14ac:dyDescent="0.25">
      <c r="Y74" s="19" t="s">
        <v>138</v>
      </c>
      <c r="Z74" s="2">
        <v>0</v>
      </c>
      <c r="AA74" s="2">
        <v>0</v>
      </c>
      <c r="AB74" s="2">
        <v>0</v>
      </c>
      <c r="AC74" s="2">
        <v>0</v>
      </c>
      <c r="AD74" s="2">
        <v>0</v>
      </c>
      <c r="BQ74" s="2"/>
      <c r="BR74" s="19" t="s">
        <v>138</v>
      </c>
      <c r="BS74" s="2">
        <v>0</v>
      </c>
      <c r="BT74" s="2">
        <v>0</v>
      </c>
      <c r="BU74" s="2">
        <v>0</v>
      </c>
      <c r="BV74" s="2">
        <v>0</v>
      </c>
      <c r="BW74" s="2">
        <v>0</v>
      </c>
      <c r="CG74" s="2"/>
    </row>
    <row r="75" spans="25:85" x14ac:dyDescent="0.25">
      <c r="Y75" s="19" t="s">
        <v>139</v>
      </c>
      <c r="Z75" s="2">
        <v>0</v>
      </c>
      <c r="AA75" s="2">
        <v>0</v>
      </c>
      <c r="AB75" s="2">
        <v>0</v>
      </c>
      <c r="AC75" s="2">
        <v>0</v>
      </c>
      <c r="AD75" s="2">
        <v>0</v>
      </c>
      <c r="BQ75" s="2"/>
      <c r="BR75" s="19" t="s">
        <v>139</v>
      </c>
      <c r="BS75" s="2">
        <v>0</v>
      </c>
      <c r="BT75" s="2">
        <v>0</v>
      </c>
      <c r="BU75" s="2">
        <v>0</v>
      </c>
      <c r="BV75" s="2">
        <v>0</v>
      </c>
      <c r="BW75" s="2">
        <v>0</v>
      </c>
      <c r="CG75" s="2"/>
    </row>
    <row r="76" spans="25:85" x14ac:dyDescent="0.25">
      <c r="Y76" s="19" t="s">
        <v>140</v>
      </c>
      <c r="Z76" s="2">
        <v>0</v>
      </c>
      <c r="AA76" s="2">
        <v>0</v>
      </c>
      <c r="AB76" s="2">
        <v>75</v>
      </c>
      <c r="AC76" s="2">
        <v>55</v>
      </c>
      <c r="AD76" s="2">
        <v>77</v>
      </c>
      <c r="BQ76" s="2"/>
      <c r="BR76" s="19" t="s">
        <v>140</v>
      </c>
      <c r="BS76" s="2">
        <v>0</v>
      </c>
      <c r="BT76" s="2">
        <v>0</v>
      </c>
      <c r="BU76" s="2">
        <v>21</v>
      </c>
      <c r="BV76" s="2">
        <v>15</v>
      </c>
      <c r="BW76" s="2">
        <v>5</v>
      </c>
      <c r="CG76" s="2"/>
    </row>
    <row r="77" spans="25:85" x14ac:dyDescent="0.25">
      <c r="Y77" s="19" t="s">
        <v>141</v>
      </c>
      <c r="Z77" s="2">
        <v>13</v>
      </c>
      <c r="AA77" s="2">
        <v>28</v>
      </c>
      <c r="AB77" s="2">
        <v>6</v>
      </c>
      <c r="AC77" s="2">
        <v>5</v>
      </c>
      <c r="AD77" s="2">
        <v>16</v>
      </c>
      <c r="BQ77" s="2"/>
      <c r="BR77" s="19" t="s">
        <v>141</v>
      </c>
      <c r="BS77" s="2">
        <v>13</v>
      </c>
      <c r="BT77" s="2">
        <v>28</v>
      </c>
      <c r="BU77" s="2">
        <v>6</v>
      </c>
      <c r="BV77" s="2">
        <v>5</v>
      </c>
      <c r="BW77" s="2">
        <v>16</v>
      </c>
      <c r="CG77" s="2"/>
    </row>
    <row r="78" spans="25:85" x14ac:dyDescent="0.25">
      <c r="Y78" s="19" t="s">
        <v>142</v>
      </c>
      <c r="Z78" s="2">
        <v>364</v>
      </c>
      <c r="AA78" s="2">
        <v>196</v>
      </c>
      <c r="AB78" s="2">
        <v>348</v>
      </c>
      <c r="AC78" s="2">
        <v>84</v>
      </c>
      <c r="AD78" s="2">
        <v>0</v>
      </c>
      <c r="BQ78" s="2"/>
      <c r="BR78" s="19" t="s">
        <v>142</v>
      </c>
      <c r="BS78" s="2">
        <v>71</v>
      </c>
      <c r="BT78" s="2">
        <v>55</v>
      </c>
      <c r="BU78" s="2">
        <v>93</v>
      </c>
      <c r="BV78" s="2">
        <v>30</v>
      </c>
      <c r="BW78" s="2">
        <v>0</v>
      </c>
      <c r="CG78" s="2"/>
    </row>
    <row r="79" spans="25:85" x14ac:dyDescent="0.25">
      <c r="Y79" s="19" t="s">
        <v>143</v>
      </c>
      <c r="Z79" s="2">
        <v>0</v>
      </c>
      <c r="AA79" s="2">
        <v>0</v>
      </c>
      <c r="AB79" s="2">
        <v>0</v>
      </c>
      <c r="AC79" s="2">
        <v>0</v>
      </c>
      <c r="AD79" s="2">
        <v>0</v>
      </c>
      <c r="BQ79" s="2"/>
      <c r="BR79" s="19" t="s">
        <v>143</v>
      </c>
      <c r="BS79" s="2">
        <v>0</v>
      </c>
      <c r="BT79" s="2">
        <v>0</v>
      </c>
      <c r="BU79" s="2">
        <v>0</v>
      </c>
      <c r="BV79" s="2">
        <v>0</v>
      </c>
      <c r="BW79" s="2">
        <v>0</v>
      </c>
      <c r="CG79" s="2"/>
    </row>
    <row r="80" spans="25:85" x14ac:dyDescent="0.25">
      <c r="Y80" s="19" t="s">
        <v>144</v>
      </c>
      <c r="Z80" s="2">
        <v>0</v>
      </c>
      <c r="AA80" s="2">
        <v>0</v>
      </c>
      <c r="AB80" s="2">
        <v>0</v>
      </c>
      <c r="AC80" s="2">
        <v>0</v>
      </c>
      <c r="AD80" s="2">
        <v>0</v>
      </c>
      <c r="BQ80" s="2"/>
      <c r="BR80" s="19" t="s">
        <v>144</v>
      </c>
      <c r="BS80" s="2">
        <v>0</v>
      </c>
      <c r="BT80" s="2">
        <v>0</v>
      </c>
      <c r="BU80" s="2">
        <v>0</v>
      </c>
      <c r="BV80" s="2">
        <v>0</v>
      </c>
      <c r="BW80" s="2">
        <v>0</v>
      </c>
      <c r="CG80" s="2"/>
    </row>
    <row r="81" spans="25:85" x14ac:dyDescent="0.25">
      <c r="Y81" s="19" t="s">
        <v>145</v>
      </c>
      <c r="Z81" s="2">
        <v>0</v>
      </c>
      <c r="AA81" s="2">
        <v>0</v>
      </c>
      <c r="AB81" s="2">
        <v>15</v>
      </c>
      <c r="AC81" s="2">
        <v>0</v>
      </c>
      <c r="AD81" s="2">
        <v>0</v>
      </c>
      <c r="BQ81" s="2"/>
      <c r="BR81" s="19" t="s">
        <v>145</v>
      </c>
      <c r="BS81" s="2">
        <v>0</v>
      </c>
      <c r="BT81" s="2">
        <v>0</v>
      </c>
      <c r="BU81" s="2">
        <v>4</v>
      </c>
      <c r="BV81" s="2">
        <v>0</v>
      </c>
      <c r="BW81" s="2">
        <v>0</v>
      </c>
      <c r="CG81" s="2"/>
    </row>
    <row r="82" spans="25:85" x14ac:dyDescent="0.25">
      <c r="Y82" s="19" t="s">
        <v>146</v>
      </c>
      <c r="Z82" s="2">
        <v>0</v>
      </c>
      <c r="AA82" s="2">
        <v>0</v>
      </c>
      <c r="AB82" s="2">
        <v>0</v>
      </c>
      <c r="AC82" s="2">
        <v>0</v>
      </c>
      <c r="AD82" s="2">
        <v>0</v>
      </c>
      <c r="BQ82" s="2"/>
      <c r="BR82" s="19" t="s">
        <v>146</v>
      </c>
      <c r="BS82" s="2">
        <v>0</v>
      </c>
      <c r="BT82" s="2">
        <v>0</v>
      </c>
      <c r="BU82" s="2">
        <v>0</v>
      </c>
      <c r="BV82" s="2">
        <v>0</v>
      </c>
      <c r="BW82" s="2">
        <v>0</v>
      </c>
      <c r="CG82" s="2"/>
    </row>
    <row r="83" spans="25:85" x14ac:dyDescent="0.25">
      <c r="Y83" s="19" t="s">
        <v>147</v>
      </c>
      <c r="Z83" s="2">
        <v>0</v>
      </c>
      <c r="AA83" s="2">
        <v>0</v>
      </c>
      <c r="AB83" s="2">
        <v>2</v>
      </c>
      <c r="AC83" s="2">
        <v>1</v>
      </c>
      <c r="AD83" s="2">
        <v>1</v>
      </c>
      <c r="BQ83" s="2"/>
      <c r="BR83" s="19" t="s">
        <v>147</v>
      </c>
      <c r="BS83" s="2">
        <v>0</v>
      </c>
      <c r="BT83" s="2">
        <v>0</v>
      </c>
      <c r="BU83" s="2">
        <v>0</v>
      </c>
      <c r="BV83" s="2">
        <v>0</v>
      </c>
      <c r="BW83" s="2">
        <v>0</v>
      </c>
      <c r="CG83" s="2"/>
    </row>
    <row r="84" spans="25:85" x14ac:dyDescent="0.25">
      <c r="Y84" s="19" t="s">
        <v>148</v>
      </c>
      <c r="Z84" s="2">
        <v>24</v>
      </c>
      <c r="AA84" s="2">
        <v>4</v>
      </c>
      <c r="AB84" s="2">
        <v>18</v>
      </c>
      <c r="AC84" s="2">
        <v>35</v>
      </c>
      <c r="AD84" s="2">
        <v>6</v>
      </c>
      <c r="BQ84" s="2"/>
      <c r="BR84" s="19" t="s">
        <v>148</v>
      </c>
      <c r="BS84" s="2">
        <v>4</v>
      </c>
      <c r="BT84" s="2">
        <v>3</v>
      </c>
      <c r="BU84" s="2">
        <v>3</v>
      </c>
      <c r="BV84" s="2">
        <v>6</v>
      </c>
      <c r="BW84" s="2">
        <v>2</v>
      </c>
      <c r="CG84" s="2"/>
    </row>
    <row r="85" spans="25:85" x14ac:dyDescent="0.25">
      <c r="Y85" s="19" t="s">
        <v>149</v>
      </c>
      <c r="Z85" s="2">
        <v>0</v>
      </c>
      <c r="AA85" s="2">
        <v>0</v>
      </c>
      <c r="AB85" s="2">
        <v>24</v>
      </c>
      <c r="AC85" s="2">
        <v>277</v>
      </c>
      <c r="AD85" s="2">
        <v>99</v>
      </c>
      <c r="BQ85" s="2"/>
      <c r="BR85" s="19" t="s">
        <v>149</v>
      </c>
      <c r="BS85" s="2">
        <v>0</v>
      </c>
      <c r="BT85" s="2">
        <v>0</v>
      </c>
      <c r="BU85" s="2">
        <v>4</v>
      </c>
      <c r="BV85" s="2">
        <v>83</v>
      </c>
      <c r="BW85" s="2">
        <v>32</v>
      </c>
      <c r="CG85" s="2"/>
    </row>
    <row r="86" spans="25:85" x14ac:dyDescent="0.25">
      <c r="Y86" s="19" t="s">
        <v>150</v>
      </c>
      <c r="Z86" s="2">
        <v>116</v>
      </c>
      <c r="AA86" s="2">
        <v>15</v>
      </c>
      <c r="AB86" s="2">
        <v>24</v>
      </c>
      <c r="AC86" s="2">
        <v>12</v>
      </c>
      <c r="AD86" s="2">
        <v>32</v>
      </c>
      <c r="BQ86" s="2"/>
      <c r="BR86" s="19" t="s">
        <v>150</v>
      </c>
      <c r="BS86" s="2">
        <v>38</v>
      </c>
      <c r="BT86" s="2">
        <v>12</v>
      </c>
      <c r="BU86" s="2">
        <v>7</v>
      </c>
      <c r="BV86" s="2">
        <v>3</v>
      </c>
      <c r="BW86" s="2">
        <v>8</v>
      </c>
      <c r="CG86" s="2"/>
    </row>
    <row r="87" spans="25:85" x14ac:dyDescent="0.25">
      <c r="Y87" s="19" t="s">
        <v>151</v>
      </c>
      <c r="Z87" s="2">
        <v>0</v>
      </c>
      <c r="AA87" s="2">
        <v>0</v>
      </c>
      <c r="AB87" s="2">
        <v>7</v>
      </c>
      <c r="AC87" s="2">
        <v>0</v>
      </c>
      <c r="AD87" s="2">
        <v>0</v>
      </c>
      <c r="BQ87" s="2"/>
      <c r="BR87" s="19" t="s">
        <v>151</v>
      </c>
      <c r="BS87" s="2">
        <v>0</v>
      </c>
      <c r="BT87" s="2">
        <v>0</v>
      </c>
      <c r="BU87" s="2">
        <v>7</v>
      </c>
      <c r="BV87" s="2">
        <v>0</v>
      </c>
      <c r="BW87" s="2">
        <v>0</v>
      </c>
      <c r="CG87" s="2"/>
    </row>
    <row r="88" spans="25:85" x14ac:dyDescent="0.25">
      <c r="Y88" s="19" t="s">
        <v>152</v>
      </c>
      <c r="Z88" s="2">
        <v>0</v>
      </c>
      <c r="AA88" s="2">
        <v>0</v>
      </c>
      <c r="AB88" s="2">
        <v>0</v>
      </c>
      <c r="AC88" s="2">
        <v>0</v>
      </c>
      <c r="AD88" s="2">
        <v>0</v>
      </c>
      <c r="BQ88" s="2"/>
      <c r="BR88" s="19" t="s">
        <v>152</v>
      </c>
      <c r="BS88" s="2">
        <v>0</v>
      </c>
      <c r="BT88" s="2">
        <v>0</v>
      </c>
      <c r="BU88" s="2">
        <v>0</v>
      </c>
      <c r="BV88" s="2">
        <v>0</v>
      </c>
      <c r="BW88" s="2">
        <v>0</v>
      </c>
      <c r="CG88" s="2"/>
    </row>
    <row r="89" spans="25:85" x14ac:dyDescent="0.25">
      <c r="Y89" s="19" t="s">
        <v>153</v>
      </c>
      <c r="Z89" s="2">
        <v>42</v>
      </c>
      <c r="AA89" s="2">
        <v>206</v>
      </c>
      <c r="AB89" s="2">
        <v>70</v>
      </c>
      <c r="AC89" s="2">
        <v>16</v>
      </c>
      <c r="AD89" s="2">
        <v>10</v>
      </c>
      <c r="BQ89" s="2"/>
      <c r="BR89" s="19" t="s">
        <v>153</v>
      </c>
      <c r="BS89" s="2">
        <v>3</v>
      </c>
      <c r="BT89" s="2">
        <v>5</v>
      </c>
      <c r="BU89" s="2">
        <v>9</v>
      </c>
      <c r="BV89" s="2">
        <v>3</v>
      </c>
      <c r="BW89" s="2">
        <v>6</v>
      </c>
      <c r="CG89" s="2"/>
    </row>
    <row r="90" spans="25:85" x14ac:dyDescent="0.25">
      <c r="Y90" s="19" t="s">
        <v>154</v>
      </c>
      <c r="Z90" s="2">
        <v>0</v>
      </c>
      <c r="AA90" s="2">
        <v>0</v>
      </c>
      <c r="AB90" s="2">
        <v>19</v>
      </c>
      <c r="AC90" s="2">
        <v>0</v>
      </c>
      <c r="AD90" s="2">
        <v>0</v>
      </c>
      <c r="BQ90" s="2"/>
      <c r="BR90" s="19" t="s">
        <v>154</v>
      </c>
      <c r="BS90" s="2">
        <v>0</v>
      </c>
      <c r="BT90" s="2">
        <v>0</v>
      </c>
      <c r="BU90" s="2">
        <v>19</v>
      </c>
      <c r="BV90" s="2">
        <v>0</v>
      </c>
      <c r="BW90" s="2">
        <v>0</v>
      </c>
      <c r="CG90" s="2"/>
    </row>
    <row r="91" spans="25:85" x14ac:dyDescent="0.25">
      <c r="Y91" s="19" t="s">
        <v>155</v>
      </c>
      <c r="Z91" s="2">
        <v>1</v>
      </c>
      <c r="AA91" s="2">
        <v>6</v>
      </c>
      <c r="AB91" s="2">
        <v>20</v>
      </c>
      <c r="AC91" s="2">
        <v>55</v>
      </c>
      <c r="AD91" s="2">
        <v>69</v>
      </c>
      <c r="BQ91" s="2"/>
      <c r="BR91" s="19" t="s">
        <v>155</v>
      </c>
      <c r="BS91" s="2">
        <v>0</v>
      </c>
      <c r="BT91" s="2">
        <v>0</v>
      </c>
      <c r="BU91" s="2">
        <v>0</v>
      </c>
      <c r="BV91" s="2">
        <v>0</v>
      </c>
      <c r="BW91" s="2">
        <v>0</v>
      </c>
      <c r="CG91" s="2"/>
    </row>
    <row r="92" spans="25:85" x14ac:dyDescent="0.25">
      <c r="Y92" s="19" t="s">
        <v>156</v>
      </c>
      <c r="Z92" s="2">
        <v>0</v>
      </c>
      <c r="AA92" s="2">
        <v>0</v>
      </c>
      <c r="AB92" s="2">
        <v>0</v>
      </c>
      <c r="AC92" s="2">
        <v>0</v>
      </c>
      <c r="AD92" s="2">
        <v>0</v>
      </c>
      <c r="BQ92" s="2"/>
      <c r="BR92" s="19" t="s">
        <v>156</v>
      </c>
      <c r="BS92" s="2">
        <v>0</v>
      </c>
      <c r="BT92" s="2">
        <v>0</v>
      </c>
      <c r="BU92" s="2">
        <v>0</v>
      </c>
      <c r="BV92" s="2">
        <v>0</v>
      </c>
      <c r="BW92" s="2">
        <v>0</v>
      </c>
      <c r="CG92" s="2"/>
    </row>
    <row r="93" spans="25:85" x14ac:dyDescent="0.25">
      <c r="Y93" s="19" t="s">
        <v>157</v>
      </c>
      <c r="Z93" s="2">
        <v>0</v>
      </c>
      <c r="AA93" s="2">
        <v>0</v>
      </c>
      <c r="AB93" s="2">
        <v>0</v>
      </c>
      <c r="AC93" s="2">
        <v>0</v>
      </c>
      <c r="AD93" s="2">
        <v>0</v>
      </c>
      <c r="BQ93" s="2"/>
      <c r="BR93" s="19" t="s">
        <v>157</v>
      </c>
      <c r="BS93" s="2">
        <v>0</v>
      </c>
      <c r="BT93" s="2">
        <v>0</v>
      </c>
      <c r="BU93" s="2">
        <v>0</v>
      </c>
      <c r="BV93" s="2">
        <v>0</v>
      </c>
      <c r="BW93" s="2">
        <v>0</v>
      </c>
      <c r="CG93" s="2"/>
    </row>
    <row r="94" spans="25:85" x14ac:dyDescent="0.25">
      <c r="Y94" s="19" t="s">
        <v>158</v>
      </c>
      <c r="Z94" s="2">
        <v>23</v>
      </c>
      <c r="AA94" s="2">
        <v>56</v>
      </c>
      <c r="AB94" s="2">
        <v>93</v>
      </c>
      <c r="AC94" s="2">
        <v>0</v>
      </c>
      <c r="AD94" s="2">
        <v>1</v>
      </c>
      <c r="BQ94" s="2"/>
      <c r="BR94" s="19" t="s">
        <v>158</v>
      </c>
      <c r="BS94" s="2">
        <v>23</v>
      </c>
      <c r="BT94" s="2">
        <v>56</v>
      </c>
      <c r="BU94" s="2">
        <v>93</v>
      </c>
      <c r="BV94" s="2">
        <v>0</v>
      </c>
      <c r="BW94" s="2">
        <v>1</v>
      </c>
      <c r="CG94" s="2"/>
    </row>
    <row r="95" spans="25:85" x14ac:dyDescent="0.25">
      <c r="Y95" s="19" t="s">
        <v>159</v>
      </c>
      <c r="Z95" s="2">
        <v>0</v>
      </c>
      <c r="AA95" s="2">
        <v>0</v>
      </c>
      <c r="AB95" s="2">
        <v>0</v>
      </c>
      <c r="AC95" s="2">
        <v>0</v>
      </c>
      <c r="AD95" s="2">
        <v>0</v>
      </c>
      <c r="BQ95" s="2"/>
      <c r="BR95" s="19" t="s">
        <v>159</v>
      </c>
      <c r="BS95" s="2">
        <v>0</v>
      </c>
      <c r="BT95" s="2">
        <v>0</v>
      </c>
      <c r="BU95" s="2">
        <v>0</v>
      </c>
      <c r="BV95" s="2">
        <v>0</v>
      </c>
      <c r="BW95" s="2">
        <v>0</v>
      </c>
      <c r="CG95" s="2"/>
    </row>
    <row r="96" spans="25:85" x14ac:dyDescent="0.25">
      <c r="Y96" s="19" t="s">
        <v>160</v>
      </c>
      <c r="Z96" s="2">
        <v>16</v>
      </c>
      <c r="AA96" s="2">
        <v>0</v>
      </c>
      <c r="AB96" s="2">
        <v>0</v>
      </c>
      <c r="AC96" s="2">
        <v>0</v>
      </c>
      <c r="AD96" s="2">
        <v>0</v>
      </c>
      <c r="BQ96" s="2"/>
      <c r="BR96" s="19" t="s">
        <v>160</v>
      </c>
      <c r="BS96" s="2">
        <v>0</v>
      </c>
      <c r="BT96" s="2">
        <v>0</v>
      </c>
      <c r="BU96" s="2">
        <v>0</v>
      </c>
      <c r="BV96" s="2">
        <v>0</v>
      </c>
      <c r="BW96" s="2">
        <v>0</v>
      </c>
      <c r="CG96" s="2"/>
    </row>
    <row r="97" spans="25:85" x14ac:dyDescent="0.25">
      <c r="Y97" s="19" t="s">
        <v>161</v>
      </c>
      <c r="Z97" s="2">
        <v>24</v>
      </c>
      <c r="AA97" s="2">
        <v>0</v>
      </c>
      <c r="AB97" s="2">
        <v>14</v>
      </c>
      <c r="AC97" s="2">
        <v>0</v>
      </c>
      <c r="AD97" s="2">
        <v>0</v>
      </c>
      <c r="BQ97" s="2"/>
      <c r="BR97" s="19" t="s">
        <v>161</v>
      </c>
      <c r="BS97" s="2">
        <v>8</v>
      </c>
      <c r="BT97" s="2">
        <v>0</v>
      </c>
      <c r="BU97" s="2">
        <v>0</v>
      </c>
      <c r="BV97" s="2">
        <v>0</v>
      </c>
      <c r="BW97" s="2">
        <v>0</v>
      </c>
      <c r="CG97" s="2"/>
    </row>
    <row r="98" spans="25:85" x14ac:dyDescent="0.25">
      <c r="Y98" s="19" t="s">
        <v>162</v>
      </c>
      <c r="Z98" s="2">
        <v>0</v>
      </c>
      <c r="AA98" s="2">
        <v>0</v>
      </c>
      <c r="AB98" s="2">
        <v>0</v>
      </c>
      <c r="AC98" s="2">
        <v>24</v>
      </c>
      <c r="AD98" s="2">
        <v>18</v>
      </c>
      <c r="BQ98" s="2"/>
      <c r="BR98" s="19" t="s">
        <v>162</v>
      </c>
      <c r="BS98" s="2">
        <v>0</v>
      </c>
      <c r="BT98" s="2">
        <v>0</v>
      </c>
      <c r="BU98" s="2">
        <v>0</v>
      </c>
      <c r="BV98" s="2">
        <v>4</v>
      </c>
      <c r="BW98" s="2">
        <v>8</v>
      </c>
      <c r="CG98" s="2"/>
    </row>
    <row r="99" spans="25:85" x14ac:dyDescent="0.25">
      <c r="Y99" s="19" t="s">
        <v>163</v>
      </c>
      <c r="Z99" s="2">
        <v>0</v>
      </c>
      <c r="AA99" s="2">
        <v>0</v>
      </c>
      <c r="AB99" s="2">
        <v>126</v>
      </c>
      <c r="AC99" s="2">
        <v>63</v>
      </c>
      <c r="AD99" s="2">
        <v>0</v>
      </c>
      <c r="BQ99" s="2"/>
      <c r="BR99" s="19" t="s">
        <v>163</v>
      </c>
      <c r="BS99" s="2">
        <v>0</v>
      </c>
      <c r="BT99" s="2">
        <v>0</v>
      </c>
      <c r="BU99" s="2">
        <v>4</v>
      </c>
      <c r="BV99" s="2">
        <v>7</v>
      </c>
      <c r="BW99" s="2">
        <v>0</v>
      </c>
      <c r="CG99" s="2"/>
    </row>
    <row r="100" spans="25:85" x14ac:dyDescent="0.25">
      <c r="Y100" s="19" t="s">
        <v>164</v>
      </c>
      <c r="Z100" s="2">
        <v>0</v>
      </c>
      <c r="AA100" s="2">
        <v>0</v>
      </c>
      <c r="AB100" s="2">
        <v>0</v>
      </c>
      <c r="AC100" s="2">
        <v>0</v>
      </c>
      <c r="AD100" s="2">
        <v>0</v>
      </c>
      <c r="BQ100" s="2"/>
      <c r="BR100" s="19" t="s">
        <v>164</v>
      </c>
      <c r="BS100" s="2">
        <v>0</v>
      </c>
      <c r="BT100" s="2">
        <v>0</v>
      </c>
      <c r="BU100" s="2">
        <v>0</v>
      </c>
      <c r="BV100" s="2">
        <v>0</v>
      </c>
      <c r="BW100" s="2">
        <v>0</v>
      </c>
      <c r="CG100" s="2"/>
    </row>
    <row r="101" spans="25:85" x14ac:dyDescent="0.25">
      <c r="Y101" s="19" t="s">
        <v>165</v>
      </c>
      <c r="Z101" s="2">
        <v>0</v>
      </c>
      <c r="AA101" s="2">
        <v>0</v>
      </c>
      <c r="AB101" s="2">
        <v>60</v>
      </c>
      <c r="AC101" s="2">
        <v>192</v>
      </c>
      <c r="AD101" s="2">
        <v>126</v>
      </c>
      <c r="BQ101" s="2"/>
      <c r="BR101" s="19" t="s">
        <v>165</v>
      </c>
      <c r="BS101" s="2">
        <v>0</v>
      </c>
      <c r="BT101" s="2">
        <v>0</v>
      </c>
      <c r="BU101" s="2">
        <v>8</v>
      </c>
      <c r="BV101" s="2">
        <v>42</v>
      </c>
      <c r="BW101" s="2">
        <v>14</v>
      </c>
      <c r="CG101" s="2"/>
    </row>
    <row r="102" spans="25:85" x14ac:dyDescent="0.25">
      <c r="Y102" s="19" t="s">
        <v>166</v>
      </c>
      <c r="Z102" s="2">
        <v>160</v>
      </c>
      <c r="AA102" s="2">
        <v>93</v>
      </c>
      <c r="AB102" s="2">
        <v>54</v>
      </c>
      <c r="AC102" s="2">
        <v>54</v>
      </c>
      <c r="AD102" s="2">
        <v>128</v>
      </c>
      <c r="BQ102" s="2"/>
      <c r="BR102" s="19" t="s">
        <v>166</v>
      </c>
      <c r="BS102" s="2">
        <v>59</v>
      </c>
      <c r="BT102" s="2">
        <v>28</v>
      </c>
      <c r="BU102" s="2">
        <v>23</v>
      </c>
      <c r="BV102" s="2">
        <v>14</v>
      </c>
      <c r="BW102" s="2">
        <v>49</v>
      </c>
      <c r="CG102" s="2"/>
    </row>
    <row r="103" spans="25:85" x14ac:dyDescent="0.25">
      <c r="Y103" s="19" t="s">
        <v>167</v>
      </c>
      <c r="Z103" s="2">
        <v>0</v>
      </c>
      <c r="AA103" s="2">
        <v>0</v>
      </c>
      <c r="AB103" s="2">
        <v>0</v>
      </c>
      <c r="AC103" s="2">
        <v>0</v>
      </c>
      <c r="AD103" s="2">
        <v>0</v>
      </c>
      <c r="BQ103" s="2"/>
      <c r="BR103" s="19" t="s">
        <v>167</v>
      </c>
      <c r="BS103" s="2">
        <v>0</v>
      </c>
      <c r="BT103" s="2">
        <v>0</v>
      </c>
      <c r="BU103" s="2">
        <v>0</v>
      </c>
      <c r="BV103" s="2">
        <v>0</v>
      </c>
      <c r="BW103" s="2">
        <v>0</v>
      </c>
      <c r="CG103" s="2"/>
    </row>
    <row r="104" spans="25:85" x14ac:dyDescent="0.25">
      <c r="Y104" s="19" t="s">
        <v>168</v>
      </c>
      <c r="Z104" s="2">
        <v>0</v>
      </c>
      <c r="AA104" s="2">
        <v>0</v>
      </c>
      <c r="AB104" s="2">
        <v>0</v>
      </c>
      <c r="AC104" s="2">
        <v>0</v>
      </c>
      <c r="AD104" s="2">
        <v>0</v>
      </c>
      <c r="BQ104" s="2"/>
      <c r="BR104" s="19" t="s">
        <v>168</v>
      </c>
      <c r="BS104" s="2">
        <v>0</v>
      </c>
      <c r="BT104" s="2">
        <v>0</v>
      </c>
      <c r="BU104" s="2">
        <v>0</v>
      </c>
      <c r="BV104" s="2">
        <v>0</v>
      </c>
      <c r="BW104" s="2">
        <v>0</v>
      </c>
      <c r="CG104" s="2"/>
    </row>
    <row r="105" spans="25:85" x14ac:dyDescent="0.25">
      <c r="Y105" s="19" t="s">
        <v>169</v>
      </c>
      <c r="Z105" s="2">
        <v>48</v>
      </c>
      <c r="AA105" s="2">
        <v>65</v>
      </c>
      <c r="AB105" s="2">
        <v>35</v>
      </c>
      <c r="AC105" s="2">
        <v>0</v>
      </c>
      <c r="AD105" s="2">
        <v>0</v>
      </c>
      <c r="BQ105" s="2"/>
      <c r="BR105" s="19" t="s">
        <v>169</v>
      </c>
      <c r="BS105" s="2">
        <v>48</v>
      </c>
      <c r="BT105" s="2">
        <v>65</v>
      </c>
      <c r="BU105" s="2">
        <v>35</v>
      </c>
      <c r="BV105" s="2">
        <v>0</v>
      </c>
      <c r="BW105" s="2">
        <v>0</v>
      </c>
      <c r="CG105" s="2"/>
    </row>
    <row r="106" spans="25:85" x14ac:dyDescent="0.25">
      <c r="Y106" s="19" t="s">
        <v>170</v>
      </c>
      <c r="Z106" s="2">
        <v>0</v>
      </c>
      <c r="AA106" s="2">
        <v>0</v>
      </c>
      <c r="AB106" s="2">
        <v>0</v>
      </c>
      <c r="AC106" s="2">
        <v>0</v>
      </c>
      <c r="AD106" s="2">
        <v>0</v>
      </c>
      <c r="BQ106" s="2"/>
      <c r="BR106" s="19" t="s">
        <v>170</v>
      </c>
      <c r="BS106" s="2">
        <v>0</v>
      </c>
      <c r="BT106" s="2">
        <v>0</v>
      </c>
      <c r="BU106" s="2">
        <v>0</v>
      </c>
      <c r="BV106" s="2">
        <v>0</v>
      </c>
      <c r="BW106" s="2">
        <v>0</v>
      </c>
      <c r="CG106" s="2"/>
    </row>
    <row r="107" spans="25:85" x14ac:dyDescent="0.25">
      <c r="Y107" s="19" t="s">
        <v>171</v>
      </c>
      <c r="Z107" s="2">
        <v>4</v>
      </c>
      <c r="AA107" s="2">
        <v>3</v>
      </c>
      <c r="AB107" s="2">
        <v>2</v>
      </c>
      <c r="AC107" s="2">
        <v>18</v>
      </c>
      <c r="AD107" s="2">
        <v>3</v>
      </c>
      <c r="BQ107" s="2"/>
      <c r="BR107" s="19" t="s">
        <v>171</v>
      </c>
      <c r="BS107" s="2">
        <v>4</v>
      </c>
      <c r="BT107" s="2">
        <v>1</v>
      </c>
      <c r="BU107" s="2">
        <v>2</v>
      </c>
      <c r="BV107" s="2">
        <v>3</v>
      </c>
      <c r="BW107" s="2">
        <v>2</v>
      </c>
      <c r="CG107" s="2"/>
    </row>
    <row r="108" spans="25:85" x14ac:dyDescent="0.25">
      <c r="Y108" s="19" t="s">
        <v>172</v>
      </c>
      <c r="Z108" s="2">
        <v>0</v>
      </c>
      <c r="AA108" s="2">
        <v>0</v>
      </c>
      <c r="AB108" s="2">
        <v>0</v>
      </c>
      <c r="AC108" s="2">
        <v>0</v>
      </c>
      <c r="AD108" s="2">
        <v>0</v>
      </c>
      <c r="BQ108" s="2"/>
      <c r="BR108" s="19" t="s">
        <v>172</v>
      </c>
      <c r="BS108" s="2">
        <v>0</v>
      </c>
      <c r="BT108" s="2">
        <v>0</v>
      </c>
      <c r="BU108" s="2">
        <v>0</v>
      </c>
      <c r="BV108" s="2">
        <v>0</v>
      </c>
      <c r="BW108" s="2">
        <v>0</v>
      </c>
      <c r="CG108" s="2"/>
    </row>
    <row r="109" spans="25:85" x14ac:dyDescent="0.25">
      <c r="Y109" s="19" t="s">
        <v>173</v>
      </c>
      <c r="Z109" s="2">
        <v>14</v>
      </c>
      <c r="AA109" s="2">
        <v>0</v>
      </c>
      <c r="AB109" s="2">
        <v>8</v>
      </c>
      <c r="AC109" s="2">
        <v>0</v>
      </c>
      <c r="AD109" s="2">
        <v>0</v>
      </c>
      <c r="BQ109" s="2"/>
      <c r="BR109" s="19" t="s">
        <v>173</v>
      </c>
      <c r="BS109" s="2">
        <v>4</v>
      </c>
      <c r="BT109" s="2">
        <v>0</v>
      </c>
      <c r="BU109" s="2">
        <v>2</v>
      </c>
      <c r="BV109" s="2">
        <v>0</v>
      </c>
      <c r="BW109" s="2">
        <v>0</v>
      </c>
      <c r="CG109" s="2"/>
    </row>
    <row r="110" spans="25:85" x14ac:dyDescent="0.25">
      <c r="Y110" s="19" t="s">
        <v>174</v>
      </c>
      <c r="Z110" s="2">
        <v>316</v>
      </c>
      <c r="AA110" s="2">
        <v>150</v>
      </c>
      <c r="AB110" s="2">
        <v>15</v>
      </c>
      <c r="AC110" s="2">
        <v>2</v>
      </c>
      <c r="AD110" s="2">
        <v>6</v>
      </c>
      <c r="BQ110" s="2"/>
      <c r="BR110" s="19" t="s">
        <v>174</v>
      </c>
      <c r="BS110" s="2">
        <v>116</v>
      </c>
      <c r="BT110" s="2">
        <v>79</v>
      </c>
      <c r="BU110" s="2">
        <v>3</v>
      </c>
      <c r="BV110" s="2">
        <v>0</v>
      </c>
      <c r="BW110" s="2">
        <v>3</v>
      </c>
      <c r="CG110" s="2"/>
    </row>
    <row r="111" spans="25:85" x14ac:dyDescent="0.25">
      <c r="Y111" s="19" t="s">
        <v>175</v>
      </c>
      <c r="Z111" s="2">
        <v>28</v>
      </c>
      <c r="AA111" s="2">
        <v>21</v>
      </c>
      <c r="AB111" s="2">
        <v>0</v>
      </c>
      <c r="AC111" s="2">
        <v>28</v>
      </c>
      <c r="AD111" s="2">
        <v>0</v>
      </c>
      <c r="BQ111" s="2"/>
      <c r="BR111" s="19" t="s">
        <v>175</v>
      </c>
      <c r="BS111" s="2">
        <v>16</v>
      </c>
      <c r="BT111" s="2">
        <v>9</v>
      </c>
      <c r="BU111" s="2">
        <v>0</v>
      </c>
      <c r="BV111" s="2">
        <v>0</v>
      </c>
      <c r="BW111" s="2">
        <v>0</v>
      </c>
      <c r="CG111" s="2"/>
    </row>
    <row r="112" spans="25:85" x14ac:dyDescent="0.25">
      <c r="Y112" s="19" t="s">
        <v>176</v>
      </c>
      <c r="Z112" s="2">
        <v>112</v>
      </c>
      <c r="AA112" s="2">
        <v>0</v>
      </c>
      <c r="AB112" s="2">
        <v>0</v>
      </c>
      <c r="AC112" s="2">
        <v>0</v>
      </c>
      <c r="AD112" s="2">
        <v>0</v>
      </c>
      <c r="BQ112" s="2"/>
      <c r="BR112" s="19" t="s">
        <v>176</v>
      </c>
      <c r="BS112" s="2">
        <v>30</v>
      </c>
      <c r="BT112" s="2">
        <v>0</v>
      </c>
      <c r="BU112" s="2">
        <v>0</v>
      </c>
      <c r="BV112" s="2">
        <v>0</v>
      </c>
      <c r="BW112" s="2">
        <v>0</v>
      </c>
      <c r="CG112" s="2"/>
    </row>
    <row r="113" spans="25:85" x14ac:dyDescent="0.25">
      <c r="Y113" s="19" t="s">
        <v>177</v>
      </c>
      <c r="Z113" s="2">
        <v>6</v>
      </c>
      <c r="AA113" s="2">
        <v>11</v>
      </c>
      <c r="AB113" s="2">
        <v>158</v>
      </c>
      <c r="AC113" s="2">
        <v>232</v>
      </c>
      <c r="AD113" s="2">
        <v>42</v>
      </c>
      <c r="BQ113" s="2"/>
      <c r="BR113" s="19" t="s">
        <v>177</v>
      </c>
      <c r="BS113" s="2">
        <v>2</v>
      </c>
      <c r="BT113" s="2">
        <v>0</v>
      </c>
      <c r="BU113" s="2">
        <v>20</v>
      </c>
      <c r="BV113" s="2">
        <v>9</v>
      </c>
      <c r="BW113" s="2">
        <v>7</v>
      </c>
      <c r="CG113" s="2"/>
    </row>
    <row r="114" spans="25:85" x14ac:dyDescent="0.25">
      <c r="Y114" s="19" t="s">
        <v>178</v>
      </c>
      <c r="Z114" s="2">
        <v>0</v>
      </c>
      <c r="AA114" s="2">
        <v>0</v>
      </c>
      <c r="AB114" s="2">
        <v>0</v>
      </c>
      <c r="AC114" s="2">
        <v>12</v>
      </c>
      <c r="AD114" s="2">
        <v>0</v>
      </c>
      <c r="BQ114" s="2"/>
      <c r="BR114" s="19" t="s">
        <v>178</v>
      </c>
      <c r="BS114" s="2">
        <v>0</v>
      </c>
      <c r="BT114" s="2">
        <v>0</v>
      </c>
      <c r="BU114" s="2">
        <v>0</v>
      </c>
      <c r="BV114" s="2">
        <v>7</v>
      </c>
      <c r="BW114" s="2">
        <v>0</v>
      </c>
      <c r="CG114" s="2"/>
    </row>
    <row r="115" spans="25:85" x14ac:dyDescent="0.25">
      <c r="Y115" s="19" t="s">
        <v>179</v>
      </c>
      <c r="Z115" s="2">
        <v>0</v>
      </c>
      <c r="AA115" s="2">
        <v>0</v>
      </c>
      <c r="AB115" s="2">
        <v>39</v>
      </c>
      <c r="AC115" s="2">
        <v>0</v>
      </c>
      <c r="AD115" s="2">
        <v>0</v>
      </c>
      <c r="BQ115" s="2"/>
      <c r="BR115" s="19" t="s">
        <v>179</v>
      </c>
      <c r="BS115" s="2">
        <v>0</v>
      </c>
      <c r="BT115" s="2">
        <v>0</v>
      </c>
      <c r="BU115" s="2">
        <v>9</v>
      </c>
      <c r="BV115" s="2">
        <v>0</v>
      </c>
      <c r="BW115" s="2">
        <v>0</v>
      </c>
      <c r="CG115" s="2"/>
    </row>
    <row r="116" spans="25:85" x14ac:dyDescent="0.25">
      <c r="Y116" s="19" t="s">
        <v>180</v>
      </c>
      <c r="Z116" s="2">
        <v>0</v>
      </c>
      <c r="AA116" s="2">
        <v>0</v>
      </c>
      <c r="AB116" s="2">
        <v>12</v>
      </c>
      <c r="AC116" s="2">
        <v>6</v>
      </c>
      <c r="AD116" s="2">
        <v>0</v>
      </c>
      <c r="BQ116" s="2"/>
      <c r="BR116" s="19" t="s">
        <v>180</v>
      </c>
      <c r="BS116" s="2">
        <v>0</v>
      </c>
      <c r="BT116" s="2">
        <v>0</v>
      </c>
      <c r="BU116" s="2">
        <v>2</v>
      </c>
      <c r="BV116" s="2">
        <v>0</v>
      </c>
      <c r="BW116" s="2">
        <v>0</v>
      </c>
      <c r="CG116" s="2"/>
    </row>
    <row r="117" spans="25:85" x14ac:dyDescent="0.25">
      <c r="Y117" s="19" t="s">
        <v>181</v>
      </c>
      <c r="Z117" s="2">
        <v>0</v>
      </c>
      <c r="AA117" s="2">
        <v>0</v>
      </c>
      <c r="AB117" s="2">
        <v>6</v>
      </c>
      <c r="AC117" s="2">
        <v>20</v>
      </c>
      <c r="AD117" s="2">
        <v>34</v>
      </c>
      <c r="BQ117" s="2"/>
      <c r="BR117" s="19" t="s">
        <v>181</v>
      </c>
      <c r="BS117" s="2">
        <v>0</v>
      </c>
      <c r="BT117" s="2">
        <v>0</v>
      </c>
      <c r="BU117" s="2">
        <v>1</v>
      </c>
      <c r="BV117" s="2">
        <v>5</v>
      </c>
      <c r="BW117" s="2">
        <v>3</v>
      </c>
      <c r="CG117" s="2"/>
    </row>
    <row r="118" spans="25:85" x14ac:dyDescent="0.25">
      <c r="Y118" s="19" t="s">
        <v>182</v>
      </c>
      <c r="Z118" s="2">
        <v>0</v>
      </c>
      <c r="AA118" s="2">
        <v>0</v>
      </c>
      <c r="AB118" s="2">
        <v>0</v>
      </c>
      <c r="AC118" s="2">
        <v>0</v>
      </c>
      <c r="AD118" s="2">
        <v>0</v>
      </c>
      <c r="BQ118" s="2"/>
      <c r="BR118" s="19" t="s">
        <v>182</v>
      </c>
      <c r="BS118" s="2">
        <v>0</v>
      </c>
      <c r="BT118" s="2">
        <v>0</v>
      </c>
      <c r="BU118" s="2">
        <v>0</v>
      </c>
      <c r="BV118" s="2">
        <v>0</v>
      </c>
      <c r="BW118" s="2">
        <v>0</v>
      </c>
      <c r="CG118" s="2"/>
    </row>
    <row r="119" spans="25:85" x14ac:dyDescent="0.25">
      <c r="Y119" s="19" t="s">
        <v>183</v>
      </c>
      <c r="Z119" s="2">
        <v>0</v>
      </c>
      <c r="AA119" s="2">
        <v>66</v>
      </c>
      <c r="AB119" s="2">
        <v>0</v>
      </c>
      <c r="AC119" s="2">
        <v>0</v>
      </c>
      <c r="AD119" s="2">
        <v>18</v>
      </c>
      <c r="BQ119" s="2"/>
      <c r="BR119" s="19" t="s">
        <v>183</v>
      </c>
      <c r="BS119" s="2">
        <v>0</v>
      </c>
      <c r="BT119" s="2">
        <v>6</v>
      </c>
      <c r="BU119" s="2">
        <v>0</v>
      </c>
      <c r="BV119" s="2">
        <v>0</v>
      </c>
      <c r="BW119" s="2">
        <v>6</v>
      </c>
      <c r="CG119" s="2"/>
    </row>
    <row r="120" spans="25:85" x14ac:dyDescent="0.25">
      <c r="Y120" s="19" t="s">
        <v>184</v>
      </c>
      <c r="Z120" s="2">
        <v>425</v>
      </c>
      <c r="AA120" s="2">
        <v>35</v>
      </c>
      <c r="AB120" s="2">
        <v>24</v>
      </c>
      <c r="AC120" s="2">
        <v>0</v>
      </c>
      <c r="AD120" s="2">
        <v>0</v>
      </c>
      <c r="BQ120" s="2"/>
      <c r="BR120" s="19" t="s">
        <v>184</v>
      </c>
      <c r="BS120" s="2">
        <v>112</v>
      </c>
      <c r="BT120" s="2">
        <v>8</v>
      </c>
      <c r="BU120" s="2">
        <v>3</v>
      </c>
      <c r="BV120" s="2">
        <v>0</v>
      </c>
      <c r="BW120" s="2">
        <v>0</v>
      </c>
      <c r="CG120" s="2"/>
    </row>
    <row r="121" spans="25:85" x14ac:dyDescent="0.25">
      <c r="Y121" s="19" t="s">
        <v>185</v>
      </c>
      <c r="Z121" s="2">
        <v>80</v>
      </c>
      <c r="AA121" s="2">
        <v>60</v>
      </c>
      <c r="AB121" s="2">
        <v>0</v>
      </c>
      <c r="AC121" s="2">
        <v>0</v>
      </c>
      <c r="AD121" s="2">
        <v>0</v>
      </c>
      <c r="BQ121" s="2"/>
      <c r="BR121" s="19" t="s">
        <v>185</v>
      </c>
      <c r="BS121" s="2">
        <v>13</v>
      </c>
      <c r="BT121" s="2">
        <v>32</v>
      </c>
      <c r="BU121" s="2">
        <v>0</v>
      </c>
      <c r="BV121" s="2">
        <v>0</v>
      </c>
      <c r="BW121" s="2">
        <v>0</v>
      </c>
      <c r="CG121" s="2"/>
    </row>
    <row r="122" spans="25:85" x14ac:dyDescent="0.25">
      <c r="Y122" s="19" t="s">
        <v>186</v>
      </c>
      <c r="Z122" s="2">
        <v>0</v>
      </c>
      <c r="AA122" s="2">
        <v>60</v>
      </c>
      <c r="AB122" s="2">
        <v>20</v>
      </c>
      <c r="AC122" s="2">
        <v>12</v>
      </c>
      <c r="AD122" s="2">
        <v>0</v>
      </c>
      <c r="BQ122" s="2"/>
      <c r="BR122" s="19" t="s">
        <v>186</v>
      </c>
      <c r="BS122" s="2">
        <v>0</v>
      </c>
      <c r="BT122" s="2">
        <v>0</v>
      </c>
      <c r="BU122" s="2">
        <v>1</v>
      </c>
      <c r="BV122" s="2">
        <v>3</v>
      </c>
      <c r="BW122" s="2">
        <v>0</v>
      </c>
      <c r="CG122" s="2"/>
    </row>
    <row r="123" spans="25:85" x14ac:dyDescent="0.25">
      <c r="Y123" s="19" t="s">
        <v>279</v>
      </c>
      <c r="Z123" s="2">
        <v>0</v>
      </c>
      <c r="AA123" s="2">
        <v>0</v>
      </c>
      <c r="AB123" s="2">
        <v>60</v>
      </c>
      <c r="AC123" s="2">
        <v>22</v>
      </c>
      <c r="AD123" s="2">
        <v>70</v>
      </c>
      <c r="BQ123" s="2"/>
      <c r="BR123" s="19" t="s">
        <v>279</v>
      </c>
      <c r="BS123" s="2">
        <v>0</v>
      </c>
      <c r="BT123" s="2">
        <v>0</v>
      </c>
      <c r="BU123" s="2">
        <v>5</v>
      </c>
      <c r="BV123" s="2">
        <v>3</v>
      </c>
      <c r="BW123" s="2">
        <v>14</v>
      </c>
      <c r="CG123" s="2"/>
    </row>
    <row r="124" spans="25:85" x14ac:dyDescent="0.25">
      <c r="Y124" s="19" t="s">
        <v>187</v>
      </c>
      <c r="Z124" s="2">
        <v>8</v>
      </c>
      <c r="AA124" s="2">
        <v>6</v>
      </c>
      <c r="AB124" s="2">
        <v>0</v>
      </c>
      <c r="AC124" s="2">
        <v>0</v>
      </c>
      <c r="AD124" s="2">
        <v>6</v>
      </c>
      <c r="BQ124" s="2"/>
      <c r="BR124" s="19" t="s">
        <v>187</v>
      </c>
      <c r="BS124" s="2">
        <v>0</v>
      </c>
      <c r="BT124" s="2">
        <v>3</v>
      </c>
      <c r="BU124" s="2">
        <v>0</v>
      </c>
      <c r="BV124" s="2">
        <v>0</v>
      </c>
      <c r="BW124" s="2">
        <v>0</v>
      </c>
      <c r="CG124" s="2"/>
    </row>
    <row r="125" spans="25:85" x14ac:dyDescent="0.25">
      <c r="Y125" s="19" t="s">
        <v>188</v>
      </c>
      <c r="Z125" s="2">
        <v>0</v>
      </c>
      <c r="AA125" s="2">
        <v>0</v>
      </c>
      <c r="AB125" s="2">
        <v>0</v>
      </c>
      <c r="AC125" s="2">
        <v>6</v>
      </c>
      <c r="AD125" s="2">
        <v>30</v>
      </c>
      <c r="BQ125" s="2"/>
      <c r="BR125" s="19" t="s">
        <v>188</v>
      </c>
      <c r="BS125" s="2">
        <v>0</v>
      </c>
      <c r="BT125" s="2">
        <v>0</v>
      </c>
      <c r="BU125" s="2">
        <v>0</v>
      </c>
      <c r="BV125" s="2">
        <v>0</v>
      </c>
      <c r="BW125" s="2">
        <v>0</v>
      </c>
      <c r="CG125" s="2"/>
    </row>
    <row r="126" spans="25:85" x14ac:dyDescent="0.25">
      <c r="Y126" s="19" t="s">
        <v>189</v>
      </c>
      <c r="Z126" s="2">
        <v>0</v>
      </c>
      <c r="AA126" s="2">
        <v>0</v>
      </c>
      <c r="AB126" s="2">
        <v>12</v>
      </c>
      <c r="AC126" s="2">
        <v>6</v>
      </c>
      <c r="AD126" s="2">
        <v>0</v>
      </c>
      <c r="BQ126" s="2"/>
      <c r="BR126" s="19" t="s">
        <v>189</v>
      </c>
      <c r="BS126" s="2">
        <v>0</v>
      </c>
      <c r="BT126" s="2">
        <v>0</v>
      </c>
      <c r="BU126" s="2">
        <v>3</v>
      </c>
      <c r="BV126" s="2">
        <v>6</v>
      </c>
      <c r="BW126" s="2">
        <v>0</v>
      </c>
      <c r="CG126" s="2"/>
    </row>
    <row r="127" spans="25:85" x14ac:dyDescent="0.25">
      <c r="Y127" s="19" t="s">
        <v>265</v>
      </c>
      <c r="Z127" s="2">
        <v>0</v>
      </c>
      <c r="AA127" s="2">
        <v>0</v>
      </c>
      <c r="AB127" s="2">
        <v>0</v>
      </c>
      <c r="AC127" s="2">
        <v>0</v>
      </c>
      <c r="AD127" s="2">
        <v>0</v>
      </c>
      <c r="BQ127" s="2"/>
      <c r="BR127" s="19" t="s">
        <v>265</v>
      </c>
      <c r="BS127" s="2">
        <v>0</v>
      </c>
      <c r="BT127" s="2">
        <v>0</v>
      </c>
      <c r="BU127" s="2">
        <v>0</v>
      </c>
      <c r="BV127" s="2">
        <v>0</v>
      </c>
      <c r="BW127" s="2">
        <v>0</v>
      </c>
      <c r="CG127" s="2"/>
    </row>
    <row r="128" spans="25:85" x14ac:dyDescent="0.25">
      <c r="Y128" s="19" t="s">
        <v>190</v>
      </c>
      <c r="Z128" s="2">
        <v>0</v>
      </c>
      <c r="AA128" s="2">
        <v>12</v>
      </c>
      <c r="AB128" s="2">
        <v>0</v>
      </c>
      <c r="AC128" s="2">
        <v>0</v>
      </c>
      <c r="AD128" s="2">
        <v>0</v>
      </c>
      <c r="BQ128" s="2"/>
      <c r="BR128" s="19" t="s">
        <v>190</v>
      </c>
      <c r="BS128" s="2">
        <v>0</v>
      </c>
      <c r="BT128" s="2">
        <v>0</v>
      </c>
      <c r="BU128" s="2">
        <v>0</v>
      </c>
      <c r="BV128" s="2">
        <v>0</v>
      </c>
      <c r="BW128" s="2">
        <v>0</v>
      </c>
      <c r="CG128" s="2"/>
    </row>
    <row r="129" spans="25:85" x14ac:dyDescent="0.25">
      <c r="Y129" s="19" t="s">
        <v>191</v>
      </c>
      <c r="Z129" s="2">
        <v>35</v>
      </c>
      <c r="AA129" s="2">
        <v>18</v>
      </c>
      <c r="AB129" s="2">
        <v>0</v>
      </c>
      <c r="AC129" s="2">
        <v>6</v>
      </c>
      <c r="AD129" s="2">
        <v>3</v>
      </c>
      <c r="BQ129" s="2"/>
      <c r="BR129" s="19" t="s">
        <v>191</v>
      </c>
      <c r="BS129" s="2">
        <v>28</v>
      </c>
      <c r="BT129" s="2">
        <v>16</v>
      </c>
      <c r="BU129" s="2">
        <v>0</v>
      </c>
      <c r="BV129" s="2">
        <v>6</v>
      </c>
      <c r="BW129" s="2">
        <v>3</v>
      </c>
      <c r="CG129" s="2"/>
    </row>
    <row r="130" spans="25:85" x14ac:dyDescent="0.25">
      <c r="Y130" s="19" t="s">
        <v>192</v>
      </c>
      <c r="Z130" s="2">
        <v>0</v>
      </c>
      <c r="AA130" s="2">
        <v>0</v>
      </c>
      <c r="AB130" s="2">
        <v>0</v>
      </c>
      <c r="AC130" s="2">
        <v>0</v>
      </c>
      <c r="AD130" s="2">
        <v>0</v>
      </c>
      <c r="BQ130" s="2"/>
      <c r="BR130" s="19" t="s">
        <v>192</v>
      </c>
      <c r="BS130" s="2">
        <v>0</v>
      </c>
      <c r="BT130" s="2">
        <v>0</v>
      </c>
      <c r="BU130" s="2">
        <v>0</v>
      </c>
      <c r="BV130" s="2">
        <v>0</v>
      </c>
      <c r="BW130" s="2">
        <v>0</v>
      </c>
      <c r="CG130" s="2"/>
    </row>
    <row r="131" spans="25:85" x14ac:dyDescent="0.25">
      <c r="Y131" s="19" t="s">
        <v>193</v>
      </c>
      <c r="Z131" s="2">
        <v>0</v>
      </c>
      <c r="AA131" s="2">
        <v>34</v>
      </c>
      <c r="AB131" s="2">
        <v>0</v>
      </c>
      <c r="AC131" s="2">
        <v>0</v>
      </c>
      <c r="AD131" s="2">
        <v>164</v>
      </c>
      <c r="BQ131" s="2"/>
      <c r="BR131" s="19" t="s">
        <v>193</v>
      </c>
      <c r="BS131" s="2">
        <v>0</v>
      </c>
      <c r="BT131" s="2">
        <v>12</v>
      </c>
      <c r="BU131" s="2">
        <v>0</v>
      </c>
      <c r="BV131" s="2">
        <v>0</v>
      </c>
      <c r="BW131" s="2">
        <v>18</v>
      </c>
      <c r="CG131" s="2"/>
    </row>
    <row r="132" spans="25:85" x14ac:dyDescent="0.25">
      <c r="Y132" s="19" t="s">
        <v>194</v>
      </c>
      <c r="Z132" s="2">
        <v>6</v>
      </c>
      <c r="AA132" s="2">
        <v>0</v>
      </c>
      <c r="AB132" s="2">
        <v>0</v>
      </c>
      <c r="AC132" s="2">
        <v>10</v>
      </c>
      <c r="AD132" s="2">
        <v>1</v>
      </c>
      <c r="BQ132" s="2"/>
      <c r="BR132" s="19" t="s">
        <v>194</v>
      </c>
      <c r="BS132" s="2">
        <v>1</v>
      </c>
      <c r="BT132" s="2">
        <v>0</v>
      </c>
      <c r="BU132" s="2">
        <v>0</v>
      </c>
      <c r="BV132" s="2">
        <v>4</v>
      </c>
      <c r="BW132" s="2">
        <v>0</v>
      </c>
      <c r="CG132" s="2"/>
    </row>
    <row r="133" spans="25:85" x14ac:dyDescent="0.25">
      <c r="Y133" s="19" t="s">
        <v>195</v>
      </c>
      <c r="Z133" s="2">
        <v>0</v>
      </c>
      <c r="AA133" s="2">
        <v>18</v>
      </c>
      <c r="AB133" s="2">
        <v>0</v>
      </c>
      <c r="AC133" s="2">
        <v>30</v>
      </c>
      <c r="AD133" s="2">
        <v>0</v>
      </c>
      <c r="BQ133" s="2"/>
      <c r="BR133" s="19" t="s">
        <v>195</v>
      </c>
      <c r="BS133" s="2">
        <v>0</v>
      </c>
      <c r="BT133" s="2">
        <v>1</v>
      </c>
      <c r="BU133" s="2">
        <v>0</v>
      </c>
      <c r="BV133" s="2">
        <v>18</v>
      </c>
      <c r="BW133" s="2">
        <v>0</v>
      </c>
      <c r="CG133" s="2"/>
    </row>
    <row r="134" spans="25:85" x14ac:dyDescent="0.25">
      <c r="Y134" s="19" t="s">
        <v>196</v>
      </c>
      <c r="Z134" s="2">
        <v>0</v>
      </c>
      <c r="AA134" s="2">
        <v>0</v>
      </c>
      <c r="AB134" s="2">
        <v>0</v>
      </c>
      <c r="AC134" s="2">
        <v>0</v>
      </c>
      <c r="AD134" s="2">
        <v>0</v>
      </c>
      <c r="BQ134" s="2"/>
      <c r="BR134" s="19" t="s">
        <v>196</v>
      </c>
      <c r="BS134" s="2">
        <v>0</v>
      </c>
      <c r="BT134" s="2">
        <v>0</v>
      </c>
      <c r="BU134" s="2">
        <v>0</v>
      </c>
      <c r="BV134" s="2">
        <v>0</v>
      </c>
      <c r="BW134" s="2">
        <v>0</v>
      </c>
      <c r="CG134" s="2"/>
    </row>
    <row r="135" spans="25:85" x14ac:dyDescent="0.25">
      <c r="Y135" s="19" t="s">
        <v>197</v>
      </c>
      <c r="Z135" s="2">
        <v>0</v>
      </c>
      <c r="AA135" s="2">
        <v>0</v>
      </c>
      <c r="AB135" s="2">
        <v>0</v>
      </c>
      <c r="AC135" s="2">
        <v>0</v>
      </c>
      <c r="AD135" s="2">
        <v>87</v>
      </c>
      <c r="BQ135" s="2"/>
      <c r="BR135" s="19" t="s">
        <v>197</v>
      </c>
      <c r="BS135" s="2">
        <v>0</v>
      </c>
      <c r="BT135" s="2">
        <v>0</v>
      </c>
      <c r="BU135" s="2">
        <v>0</v>
      </c>
      <c r="BV135" s="2">
        <v>0</v>
      </c>
      <c r="BW135" s="2">
        <v>2</v>
      </c>
      <c r="CG135" s="2"/>
    </row>
    <row r="136" spans="25:85" x14ac:dyDescent="0.25">
      <c r="Y136" s="19" t="s">
        <v>198</v>
      </c>
      <c r="Z136" s="2">
        <v>67</v>
      </c>
      <c r="AA136" s="2">
        <v>16</v>
      </c>
      <c r="AB136" s="2">
        <v>125</v>
      </c>
      <c r="AC136" s="2">
        <v>333</v>
      </c>
      <c r="AD136" s="2">
        <v>293</v>
      </c>
      <c r="BQ136" s="2"/>
      <c r="BR136" s="19" t="s">
        <v>198</v>
      </c>
      <c r="BS136" s="2">
        <v>8</v>
      </c>
      <c r="BT136" s="2">
        <v>0</v>
      </c>
      <c r="BU136" s="2">
        <v>19</v>
      </c>
      <c r="BV136" s="2">
        <v>36</v>
      </c>
      <c r="BW136" s="2">
        <v>21</v>
      </c>
      <c r="CG136" s="2"/>
    </row>
    <row r="137" spans="25:85" x14ac:dyDescent="0.25">
      <c r="Y137" s="19" t="s">
        <v>199</v>
      </c>
      <c r="Z137" s="2">
        <v>131</v>
      </c>
      <c r="AA137" s="2">
        <v>0</v>
      </c>
      <c r="AB137" s="2">
        <v>0</v>
      </c>
      <c r="AC137" s="2">
        <v>0</v>
      </c>
      <c r="AD137" s="2">
        <v>28</v>
      </c>
      <c r="BQ137" s="2"/>
      <c r="BR137" s="19" t="s">
        <v>199</v>
      </c>
      <c r="BS137" s="2">
        <v>62</v>
      </c>
      <c r="BT137" s="2">
        <v>0</v>
      </c>
      <c r="BU137" s="2">
        <v>0</v>
      </c>
      <c r="BV137" s="2">
        <v>0</v>
      </c>
      <c r="BW137" s="2">
        <v>0</v>
      </c>
      <c r="CG137" s="2"/>
    </row>
    <row r="138" spans="25:85" x14ac:dyDescent="0.25">
      <c r="Y138" s="19" t="s">
        <v>200</v>
      </c>
      <c r="Z138" s="2">
        <v>0</v>
      </c>
      <c r="AA138" s="2">
        <v>0</v>
      </c>
      <c r="AB138" s="2">
        <v>0</v>
      </c>
      <c r="AC138" s="2">
        <v>0</v>
      </c>
      <c r="AD138" s="2">
        <v>0</v>
      </c>
      <c r="BQ138" s="2"/>
      <c r="BR138" s="19" t="s">
        <v>200</v>
      </c>
      <c r="BS138" s="2">
        <v>0</v>
      </c>
      <c r="BT138" s="2">
        <v>0</v>
      </c>
      <c r="BU138" s="2">
        <v>0</v>
      </c>
      <c r="BV138" s="2">
        <v>0</v>
      </c>
      <c r="BW138" s="2">
        <v>0</v>
      </c>
      <c r="CG138" s="2"/>
    </row>
    <row r="139" spans="25:85" x14ac:dyDescent="0.25">
      <c r="Y139" s="19" t="s">
        <v>201</v>
      </c>
      <c r="Z139" s="2">
        <v>0</v>
      </c>
      <c r="AA139" s="2">
        <v>0</v>
      </c>
      <c r="AB139" s="2">
        <v>0</v>
      </c>
      <c r="AC139" s="2">
        <v>32</v>
      </c>
      <c r="AD139" s="2">
        <v>22</v>
      </c>
      <c r="BQ139" s="2"/>
      <c r="BR139" s="19" t="s">
        <v>201</v>
      </c>
      <c r="BS139" s="2">
        <v>0</v>
      </c>
      <c r="BT139" s="2">
        <v>0</v>
      </c>
      <c r="BU139" s="2">
        <v>0</v>
      </c>
      <c r="BV139" s="2">
        <v>1</v>
      </c>
      <c r="BW139" s="2">
        <v>22</v>
      </c>
      <c r="CG139" s="2"/>
    </row>
    <row r="140" spans="25:85" x14ac:dyDescent="0.25">
      <c r="Y140" s="19" t="s">
        <v>202</v>
      </c>
      <c r="Z140" s="2">
        <v>0</v>
      </c>
      <c r="AA140" s="2">
        <v>6</v>
      </c>
      <c r="AB140" s="2">
        <v>10</v>
      </c>
      <c r="AC140" s="2">
        <v>38</v>
      </c>
      <c r="AD140" s="2">
        <v>212</v>
      </c>
      <c r="BQ140" s="2"/>
      <c r="BR140" s="19" t="s">
        <v>202</v>
      </c>
      <c r="BS140" s="2">
        <v>0</v>
      </c>
      <c r="BT140" s="2">
        <v>0</v>
      </c>
      <c r="BU140" s="2">
        <v>2</v>
      </c>
      <c r="BV140" s="2">
        <v>2</v>
      </c>
      <c r="BW140" s="2">
        <v>32</v>
      </c>
      <c r="CG140" s="2"/>
    </row>
    <row r="141" spans="25:85" x14ac:dyDescent="0.25">
      <c r="BQ141" s="2"/>
      <c r="CG141" s="2"/>
    </row>
    <row r="142" spans="25:85" x14ac:dyDescent="0.25">
      <c r="Y142" s="27" t="s">
        <v>51</v>
      </c>
      <c r="Z142" s="27" t="s">
        <v>52</v>
      </c>
      <c r="AA142" s="27" t="s">
        <v>53</v>
      </c>
      <c r="AB142" s="27" t="s">
        <v>54</v>
      </c>
      <c r="AC142" s="27" t="s">
        <v>55</v>
      </c>
      <c r="AD142" s="27" t="s">
        <v>56</v>
      </c>
      <c r="AE142" s="27" t="s">
        <v>57</v>
      </c>
      <c r="AF142" s="27" t="s">
        <v>58</v>
      </c>
      <c r="AG142" s="27" t="s">
        <v>59</v>
      </c>
      <c r="AH142" s="27" t="s">
        <v>60</v>
      </c>
      <c r="AI142" s="27" t="s">
        <v>61</v>
      </c>
      <c r="AJ142" s="27" t="s">
        <v>62</v>
      </c>
      <c r="AK142" s="27" t="s">
        <v>63</v>
      </c>
      <c r="AL142" s="27" t="s">
        <v>64</v>
      </c>
      <c r="BQ142" s="2"/>
      <c r="CG142" s="2"/>
    </row>
    <row r="143" spans="25:85" x14ac:dyDescent="0.25">
      <c r="Y143" s="43">
        <f>IF((COUNTIF(Z7:Z140,"&gt;0"))=0,"",(COUNTIF(Z7:Z140,"&gt;0")))</f>
        <v>44</v>
      </c>
      <c r="Z143" s="43">
        <f>IF((COUNTIF(AA7:AA140,"&gt;0"))=0,"",(COUNTIF(AA7:AA140,"&gt;0")))</f>
        <v>44</v>
      </c>
      <c r="AA143" s="43">
        <f>IF((COUNTIF(AB7:AB140,"&gt;0"))=0,"",(COUNTIF(AB7:AB140,"&gt;0")))</f>
        <v>55</v>
      </c>
      <c r="AB143" s="43">
        <f>IF((COUNTIF(AC7:AC140,"&gt;0"))=0,"",(COUNTIF(AC7:AC140,"&gt;0")))</f>
        <v>53</v>
      </c>
      <c r="AC143" s="43">
        <f t="shared" ref="AC143:AK143" si="16">IF((COUNTIF(AD7:AD140,"&gt;0"))=0,"",(COUNTIF(AD7:AD140,"&gt;0")))</f>
        <v>51</v>
      </c>
      <c r="AD143" s="43" t="str">
        <f t="shared" si="16"/>
        <v/>
      </c>
      <c r="AE143" s="43" t="str">
        <f t="shared" si="16"/>
        <v/>
      </c>
      <c r="AF143" s="43" t="str">
        <f t="shared" si="16"/>
        <v/>
      </c>
      <c r="AG143" s="43" t="str">
        <f t="shared" si="16"/>
        <v/>
      </c>
      <c r="AH143" s="43" t="str">
        <f t="shared" si="16"/>
        <v/>
      </c>
      <c r="AI143" s="43" t="str">
        <f t="shared" si="16"/>
        <v/>
      </c>
      <c r="AJ143" s="43" t="str">
        <f t="shared" si="16"/>
        <v/>
      </c>
      <c r="AK143" s="43" t="str">
        <f t="shared" si="16"/>
        <v/>
      </c>
      <c r="AL143" s="43" t="str">
        <f>IF((COUNTIF(AM7:AM140,"&gt;0"))=0,"",(COUNTIF(AM7:AM140,"&gt;0")))</f>
        <v/>
      </c>
      <c r="BQ143" s="2"/>
      <c r="BR143" s="27" t="s">
        <v>51</v>
      </c>
      <c r="BS143" s="27" t="s">
        <v>52</v>
      </c>
      <c r="BT143" s="27" t="s">
        <v>53</v>
      </c>
      <c r="BU143" s="27" t="s">
        <v>54</v>
      </c>
      <c r="BV143" s="27" t="s">
        <v>55</v>
      </c>
      <c r="BW143" s="27" t="s">
        <v>56</v>
      </c>
      <c r="BX143" s="27" t="s">
        <v>57</v>
      </c>
      <c r="BY143" s="27" t="s">
        <v>58</v>
      </c>
      <c r="BZ143" s="27" t="s">
        <v>59</v>
      </c>
      <c r="CA143" s="27" t="s">
        <v>60</v>
      </c>
      <c r="CB143" s="27" t="s">
        <v>61</v>
      </c>
      <c r="CC143" s="27" t="s">
        <v>62</v>
      </c>
      <c r="CD143" s="27" t="s">
        <v>63</v>
      </c>
      <c r="CE143" s="27" t="s">
        <v>64</v>
      </c>
      <c r="CG143" s="2"/>
    </row>
    <row r="144" spans="25:85" x14ac:dyDescent="0.25">
      <c r="BQ144" s="2"/>
      <c r="BR144" s="43">
        <f>IF((COUNTIF(BS7:BS140,"&gt;0"))=0,"",(COUNTIF(BS7:BS140,"&gt;0")))</f>
        <v>39</v>
      </c>
      <c r="BS144" s="43">
        <f>IF((COUNTIF(BT7:BT140,"&gt;0"))=0,"",(COUNTIF(BT7:BT140,"&gt;0")))</f>
        <v>34</v>
      </c>
      <c r="BT144" s="43">
        <f>IF((COUNTIF(BU7:BU140,"&gt;0"))=0,"",(COUNTIF(BU7:BU140,"&gt;0")))</f>
        <v>44</v>
      </c>
      <c r="BU144" s="43">
        <f>IF((COUNTIF(BV7:BV140,"&gt;0"))=0,"",(COUNTIF(BV7:BV140,"&gt;0")))</f>
        <v>42</v>
      </c>
      <c r="BV144" s="43">
        <f t="shared" ref="BV144:CD144" si="17">IF((COUNTIF(BW7:BW142,"&gt;0"))=0,"",(COUNTIF(BW7:BW142,"&gt;0")))</f>
        <v>41</v>
      </c>
      <c r="BW144" s="43" t="str">
        <f t="shared" si="17"/>
        <v/>
      </c>
      <c r="BX144" s="43" t="str">
        <f t="shared" si="17"/>
        <v/>
      </c>
      <c r="BY144" s="43" t="str">
        <f t="shared" si="17"/>
        <v/>
      </c>
      <c r="BZ144" s="43" t="str">
        <f t="shared" si="17"/>
        <v/>
      </c>
      <c r="CA144" s="43" t="str">
        <f t="shared" si="17"/>
        <v/>
      </c>
      <c r="CB144" s="43" t="str">
        <f t="shared" si="17"/>
        <v/>
      </c>
      <c r="CC144" s="43" t="str">
        <f t="shared" si="17"/>
        <v/>
      </c>
      <c r="CD144" s="43" t="str">
        <f t="shared" si="17"/>
        <v/>
      </c>
      <c r="CE144" s="43" t="str">
        <f>IF((COUNTIF(CF7:CF143,"&gt;0"))=0,"",(COUNTIF(CF7:CF143,"&gt;0")))</f>
        <v/>
      </c>
      <c r="CG144" s="2"/>
    </row>
    <row r="146" spans="69:85" x14ac:dyDescent="0.25">
      <c r="BQ146" s="27"/>
      <c r="CG146" s="27"/>
    </row>
    <row r="147" spans="69:85" x14ac:dyDescent="0.25">
      <c r="BQ147" s="43"/>
      <c r="CG147" s="43"/>
    </row>
  </sheetData>
  <mergeCells count="6">
    <mergeCell ref="CI1:CL1"/>
    <mergeCell ref="G1:V1"/>
    <mergeCell ref="Y1:AM1"/>
    <mergeCell ref="AO1:AR1"/>
    <mergeCell ref="AZ1:BO1"/>
    <mergeCell ref="BR1:CF1"/>
  </mergeCells>
  <pageMargins left="0.7" right="0.7" top="0.75" bottom="0.75" header="0.3" footer="0.3"/>
  <pageSetup paperSize="9"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20"/>
  <sheetViews>
    <sheetView topLeftCell="AJ1" zoomScaleNormal="100" workbookViewId="0">
      <selection activeCell="AM25" sqref="AM25"/>
    </sheetView>
  </sheetViews>
  <sheetFormatPr defaultRowHeight="15" x14ac:dyDescent="0.25"/>
  <cols>
    <col min="1" max="1" width="4.7109375" customWidth="1"/>
    <col min="2" max="2" width="9.140625" style="43"/>
    <col min="3" max="3" width="13.140625" style="43" bestFit="1" customWidth="1"/>
    <col min="4" max="4" width="10.140625" style="43" bestFit="1" customWidth="1"/>
    <col min="5" max="5" width="6" style="43" customWidth="1"/>
    <col min="6" max="6" width="9.140625" style="43"/>
    <col min="9" max="9" width="13.140625" bestFit="1" customWidth="1"/>
    <col min="10" max="10" width="16.28515625" bestFit="1" customWidth="1"/>
    <col min="11" max="11" width="6" customWidth="1"/>
    <col min="12" max="12" width="27.85546875" bestFit="1" customWidth="1"/>
    <col min="13" max="13" width="6" customWidth="1"/>
    <col min="14" max="14" width="16" bestFit="1" customWidth="1"/>
    <col min="15" max="15" width="6" customWidth="1"/>
    <col min="16" max="16" width="20.140625" bestFit="1" customWidth="1"/>
    <col min="17" max="17" width="6" customWidth="1"/>
    <col min="18" max="18" width="21.42578125" bestFit="1" customWidth="1"/>
    <col min="19" max="19" width="5" customWidth="1"/>
    <col min="20" max="20" width="10.28515625" bestFit="1" customWidth="1"/>
    <col min="21" max="31" width="9" customWidth="1"/>
    <col min="32" max="32" width="13.140625" bestFit="1" customWidth="1"/>
    <col min="33" max="33" width="10.140625" bestFit="1" customWidth="1"/>
    <col min="34" max="34" width="6" customWidth="1"/>
    <col min="38" max="38" width="13.140625" bestFit="1" customWidth="1"/>
    <col min="39" max="39" width="16.28515625" bestFit="1" customWidth="1"/>
    <col min="40" max="40" width="6" customWidth="1"/>
    <col min="41" max="41" width="27.85546875" bestFit="1" customWidth="1"/>
    <col min="42" max="42" width="6" customWidth="1"/>
    <col min="43" max="43" width="16" bestFit="1" customWidth="1"/>
    <col min="44" max="44" width="6" customWidth="1"/>
    <col min="45" max="45" width="20.140625" bestFit="1" customWidth="1"/>
    <col min="46" max="46" width="6" customWidth="1"/>
    <col min="47" max="47" width="21.42578125" bestFit="1" customWidth="1"/>
    <col min="48" max="48" width="5" customWidth="1"/>
    <col min="49" max="49" width="10.28515625" bestFit="1" customWidth="1"/>
    <col min="50" max="50" width="9" customWidth="1"/>
  </cols>
  <sheetData>
    <row r="1" spans="2:59" s="17" customFormat="1" x14ac:dyDescent="0.25">
      <c r="B1" s="38"/>
      <c r="C1" s="45" t="s">
        <v>319</v>
      </c>
      <c r="D1" s="45"/>
      <c r="E1" s="53"/>
      <c r="F1" s="53"/>
      <c r="H1" s="38"/>
      <c r="I1" s="45" t="s">
        <v>320</v>
      </c>
      <c r="J1" s="53"/>
      <c r="K1" s="53"/>
      <c r="L1" s="53"/>
      <c r="M1" s="53"/>
      <c r="N1" s="53"/>
      <c r="O1" s="53"/>
      <c r="P1" s="53"/>
      <c r="Q1" s="53"/>
      <c r="R1" s="53"/>
      <c r="S1" s="53"/>
      <c r="T1" s="53"/>
      <c r="U1" s="53"/>
      <c r="V1" s="53"/>
      <c r="W1" s="53"/>
      <c r="X1" s="53"/>
      <c r="Y1" s="53"/>
      <c r="Z1" s="53"/>
      <c r="AA1" s="53"/>
      <c r="AB1" s="53"/>
      <c r="AC1" s="53"/>
      <c r="AD1" s="53"/>
      <c r="AE1" s="38"/>
      <c r="AF1" s="45" t="s">
        <v>301</v>
      </c>
      <c r="AG1" s="42"/>
      <c r="AH1" s="42"/>
      <c r="AI1" s="42"/>
      <c r="AJ1" s="42"/>
      <c r="AL1" s="58" t="s">
        <v>306</v>
      </c>
      <c r="AM1" s="58"/>
      <c r="AN1" s="58"/>
      <c r="AO1" s="58"/>
      <c r="AP1" s="58"/>
      <c r="AQ1" s="58"/>
      <c r="AR1" s="58"/>
      <c r="AS1" s="58"/>
      <c r="AT1" s="58"/>
      <c r="AU1" s="58"/>
      <c r="AV1" s="58"/>
      <c r="AW1" s="58"/>
      <c r="AX1" s="58"/>
      <c r="AY1" s="58"/>
      <c r="AZ1" s="58"/>
      <c r="BA1" s="58"/>
      <c r="BB1" s="58"/>
      <c r="BC1" s="58"/>
      <c r="BD1" s="58"/>
      <c r="BE1" s="58"/>
      <c r="BF1" s="58"/>
      <c r="BG1" s="58"/>
    </row>
    <row r="3" spans="2:59" x14ac:dyDescent="0.35">
      <c r="C3" s="18" t="s">
        <v>47</v>
      </c>
      <c r="D3" t="s" vm="2">
        <v>262</v>
      </c>
      <c r="E3"/>
      <c r="I3" s="18" t="s">
        <v>47</v>
      </c>
      <c r="J3" t="s" vm="2">
        <v>262</v>
      </c>
      <c r="X3" t="s">
        <v>48</v>
      </c>
      <c r="Y3" t="s">
        <v>2</v>
      </c>
      <c r="Z3" t="s">
        <v>65</v>
      </c>
      <c r="AA3" t="s">
        <v>3</v>
      </c>
      <c r="AB3" t="s">
        <v>304</v>
      </c>
      <c r="AC3" t="s">
        <v>278</v>
      </c>
      <c r="AD3" t="s">
        <v>298</v>
      </c>
      <c r="AF3" s="18" t="s">
        <v>47</v>
      </c>
      <c r="AG3" t="s" vm="2">
        <v>262</v>
      </c>
      <c r="AL3" s="18" t="s">
        <v>47</v>
      </c>
      <c r="AM3" t="s" vm="2">
        <v>262</v>
      </c>
    </row>
    <row r="4" spans="2:59" x14ac:dyDescent="0.35">
      <c r="C4"/>
      <c r="D4"/>
      <c r="E4"/>
      <c r="W4" t="s">
        <v>51</v>
      </c>
      <c r="X4" s="28">
        <f>VLOOKUP($W4,$I$8:$U$1048576,13,FALSE)/VLOOKUP($W4,$I$8:$U$1048576,12,FALSE)</f>
        <v>0.8214008988067566</v>
      </c>
      <c r="Y4" s="28">
        <f>VLOOKUP($W4,$I$8:$U$1048576,3,FALSE)/VLOOKUP($W4,$I$8:$U$1048576,2,FALSE)</f>
        <v>0.89990783410138253</v>
      </c>
      <c r="Z4" s="28">
        <f>VLOOKUP($W4,$I$8:$U$1048576,5,FALSE)/VLOOKUP($W4,$I$8:$U$1048576,4,FALSE)</f>
        <v>0.77935222672064774</v>
      </c>
      <c r="AA4" s="28">
        <f>VLOOKUP($W4,$I$8:$U$1048576,7,FALSE)/VLOOKUP($W4,$I$8:$U$1048576,6,FALSE)</f>
        <v>0.80757763975155283</v>
      </c>
      <c r="AB4" s="28">
        <f>VLOOKUP($W4,$I$8:$U$1048576,9,FALSE)/VLOOKUP($W4,$I$8:$U$1048576,8,FALSE)</f>
        <v>0.83380018674136325</v>
      </c>
      <c r="AC4" s="28">
        <f>VLOOKUP($W4,$I$8:$U$1048576,11,FALSE)/VLOOKUP($W4,$I$8:$U$1048576,10,FALSE)</f>
        <v>0.79257246376811596</v>
      </c>
      <c r="AD4" s="47">
        <f>(AB4+AC4)/2</f>
        <v>0.81318632525473955</v>
      </c>
    </row>
    <row r="5" spans="2:59" x14ac:dyDescent="0.35">
      <c r="C5" s="18" t="s">
        <v>44</v>
      </c>
      <c r="D5" t="s">
        <v>211</v>
      </c>
      <c r="E5" t="s">
        <v>213</v>
      </c>
      <c r="J5" s="18" t="s">
        <v>49</v>
      </c>
      <c r="W5" t="s">
        <v>52</v>
      </c>
      <c r="X5" s="28">
        <f t="shared" ref="X5:X17" si="0">VLOOKUP($W5,$I$8:$U$1048576,13,FALSE)/VLOOKUP($W5,$I$8:$U$1048576,12,FALSE)</f>
        <v>0.81303841676367872</v>
      </c>
      <c r="Y5" s="28">
        <f t="shared" ref="Y5:Y17" si="1">VLOOKUP($W5,$I$8:$U$1048576,3,FALSE)/VLOOKUP($W5,$I$8:$U$1048576,2,FALSE)</f>
        <v>0.87301879837817908</v>
      </c>
      <c r="Z5" s="28">
        <f t="shared" ref="Z5:Z17" si="2">VLOOKUP($W5,$I$8:$U$1048576,5,FALSE)/VLOOKUP($W5,$I$8:$U$1048576,4,FALSE)</f>
        <v>0.79121993625036224</v>
      </c>
      <c r="AA5" s="28">
        <f t="shared" ref="AA5:AA17" si="3">VLOOKUP($W5,$I$8:$U$1048576,7,FALSE)/VLOOKUP($W5,$I$8:$U$1048576,6,FALSE)</f>
        <v>0.78733988309911707</v>
      </c>
      <c r="AB5" s="28">
        <f t="shared" ref="AB5:AB17" si="4">VLOOKUP($W5,$I$8:$U$1048576,9,FALSE)/VLOOKUP($W5,$I$8:$U$1048576,8,FALSE)</f>
        <v>0.83089380255372158</v>
      </c>
      <c r="AC5" s="28">
        <f t="shared" ref="AC5:AC17" si="5">VLOOKUP($W5,$I$8:$U$1048576,11,FALSE)/VLOOKUP($W5,$I$8:$U$1048576,10,FALSE)</f>
        <v>0.80136986301369861</v>
      </c>
      <c r="AD5" s="47">
        <f t="shared" ref="AD5:AD17" si="6">(AB5+AC5)/2</f>
        <v>0.81613183278371015</v>
      </c>
      <c r="AF5" s="18" t="s">
        <v>44</v>
      </c>
      <c r="AG5" t="s">
        <v>211</v>
      </c>
      <c r="AH5" t="s">
        <v>213</v>
      </c>
      <c r="AM5" s="18" t="s">
        <v>49</v>
      </c>
      <c r="BA5" t="s">
        <v>48</v>
      </c>
      <c r="BB5" t="s">
        <v>2</v>
      </c>
      <c r="BC5" t="s">
        <v>65</v>
      </c>
      <c r="BD5" t="s">
        <v>3</v>
      </c>
      <c r="BE5" t="s">
        <v>270</v>
      </c>
      <c r="BF5" t="s">
        <v>311</v>
      </c>
      <c r="BG5" t="s">
        <v>298</v>
      </c>
    </row>
    <row r="6" spans="2:59" x14ac:dyDescent="0.35">
      <c r="B6" s="28"/>
      <c r="C6" s="19" t="s">
        <v>45</v>
      </c>
      <c r="D6" s="2">
        <v>25812</v>
      </c>
      <c r="E6" s="2">
        <v>21202</v>
      </c>
      <c r="F6" s="28">
        <f>E6/D6</f>
        <v>0.8214008988067566</v>
      </c>
      <c r="H6" s="28"/>
      <c r="J6" t="s">
        <v>2</v>
      </c>
      <c r="L6" t="s">
        <v>266</v>
      </c>
      <c r="N6" t="s">
        <v>50</v>
      </c>
      <c r="P6" t="s">
        <v>267</v>
      </c>
      <c r="R6" t="s">
        <v>268</v>
      </c>
      <c r="T6" t="s">
        <v>210</v>
      </c>
      <c r="U6" t="s">
        <v>212</v>
      </c>
      <c r="W6" t="s">
        <v>53</v>
      </c>
      <c r="X6" s="28">
        <f t="shared" si="0"/>
        <v>0.80945519685346001</v>
      </c>
      <c r="Y6" s="28">
        <f t="shared" si="1"/>
        <v>0.87479131886477457</v>
      </c>
      <c r="Z6" s="28">
        <f t="shared" si="2"/>
        <v>0.79644097222222221</v>
      </c>
      <c r="AA6" s="28">
        <f t="shared" si="3"/>
        <v>0.77931636726546905</v>
      </c>
      <c r="AB6" s="28">
        <f t="shared" si="4"/>
        <v>0.82728133880644139</v>
      </c>
      <c r="AC6" s="28">
        <f t="shared" si="5"/>
        <v>0.77428180574555405</v>
      </c>
      <c r="AD6" s="47">
        <f t="shared" si="6"/>
        <v>0.80078157227599767</v>
      </c>
      <c r="AF6" s="19" t="s">
        <v>45</v>
      </c>
      <c r="AG6" s="2">
        <v>25812</v>
      </c>
      <c r="AH6" s="2">
        <v>21202</v>
      </c>
      <c r="AI6" s="20">
        <f>(AG6-AH6)/4</f>
        <v>1152.5</v>
      </c>
      <c r="AJ6" s="20"/>
      <c r="AM6" t="s">
        <v>2</v>
      </c>
      <c r="AO6" t="s">
        <v>266</v>
      </c>
      <c r="AQ6" t="s">
        <v>50</v>
      </c>
      <c r="AS6" t="s">
        <v>267</v>
      </c>
      <c r="AU6" t="s">
        <v>268</v>
      </c>
      <c r="AW6" t="s">
        <v>210</v>
      </c>
      <c r="AX6" t="s">
        <v>212</v>
      </c>
      <c r="AZ6" s="43" t="s">
        <v>51</v>
      </c>
      <c r="BA6" s="25">
        <f>(VLOOKUP($AZ6,$AL$8:$AX$1048576,12,FALSE)-VLOOKUP($AZ6,$AL$8:$AX$1048576,13,FALSE))/7</f>
        <v>658.57142857142856</v>
      </c>
      <c r="BB6" s="25">
        <f>(VLOOKUP($AZ6,$AL$8:$AX$1048576,2,FALSE)-VLOOKUP($AZ6,$AL$8:$AX$1048576,3,FALSE))/7</f>
        <v>77.571428571428569</v>
      </c>
      <c r="BC6" s="25">
        <f>(VLOOKUP($AZ6,$AL$8:$AX$1048576,4,FALSE)-VLOOKUP($AZ6,$AL$8:$AX$1048576,5,FALSE))/7</f>
        <v>218</v>
      </c>
      <c r="BD6" s="25">
        <f>(VLOOKUP($AZ6,$AL$8:$AX$1048576,6,FALSE)-VLOOKUP($AZ6,$AL$8:$AX$1048576,7,FALSE))/7</f>
        <v>221.28571428571428</v>
      </c>
      <c r="BE6" s="25">
        <f>(VLOOKUP($AZ6,$AL$8:$AX$1048576,8,FALSE)-VLOOKUP($AZ6,$AL$8:$AX$1048576,9,FALSE))/7</f>
        <v>76.285714285714292</v>
      </c>
      <c r="BF6" s="25">
        <f>(VLOOKUP($AZ6,$AL$8:$AX$1048576,10,FALSE)-VLOOKUP($AZ6,$AL$8:$AX$1048576,11,FALSE))/7</f>
        <v>65.428571428571431</v>
      </c>
      <c r="BG6" s="26">
        <f>BE6+BF6</f>
        <v>141.71428571428572</v>
      </c>
    </row>
    <row r="7" spans="2:59" x14ac:dyDescent="0.35">
      <c r="B7" s="28"/>
      <c r="C7" s="19" t="s">
        <v>283</v>
      </c>
      <c r="D7" s="2">
        <v>25770</v>
      </c>
      <c r="E7" s="2">
        <v>20952</v>
      </c>
      <c r="F7" s="28">
        <f t="shared" ref="F7:F20" si="7">E7/D7</f>
        <v>0.81303841676367872</v>
      </c>
      <c r="H7" s="28"/>
      <c r="I7" s="18" t="s">
        <v>44</v>
      </c>
      <c r="J7" t="s">
        <v>211</v>
      </c>
      <c r="K7" t="s">
        <v>213</v>
      </c>
      <c r="L7" t="s">
        <v>211</v>
      </c>
      <c r="M7" t="s">
        <v>213</v>
      </c>
      <c r="N7" t="s">
        <v>211</v>
      </c>
      <c r="O7" t="s">
        <v>213</v>
      </c>
      <c r="P7" t="s">
        <v>211</v>
      </c>
      <c r="Q7" t="s">
        <v>213</v>
      </c>
      <c r="R7" t="s">
        <v>211</v>
      </c>
      <c r="S7" t="s">
        <v>213</v>
      </c>
      <c r="W7" t="s">
        <v>54</v>
      </c>
      <c r="X7" s="28">
        <f t="shared" si="0"/>
        <v>0.76777882205513781</v>
      </c>
      <c r="Y7" s="28">
        <f t="shared" si="1"/>
        <v>0.83286752375628847</v>
      </c>
      <c r="Z7" s="28">
        <f t="shared" si="2"/>
        <v>0.76077114064553819</v>
      </c>
      <c r="AA7" s="28">
        <f t="shared" si="3"/>
        <v>0.74475000000000002</v>
      </c>
      <c r="AB7" s="28">
        <f t="shared" si="4"/>
        <v>0.78014635698377344</v>
      </c>
      <c r="AC7" s="28">
        <f t="shared" si="5"/>
        <v>0.69619091326296467</v>
      </c>
      <c r="AD7" s="47">
        <f t="shared" si="6"/>
        <v>0.73816863512336905</v>
      </c>
      <c r="AF7" s="19" t="s">
        <v>283</v>
      </c>
      <c r="AG7" s="2">
        <v>25770</v>
      </c>
      <c r="AH7" s="2">
        <v>20952</v>
      </c>
      <c r="AI7" s="20">
        <f>(AG7-AH7)/7</f>
        <v>688.28571428571433</v>
      </c>
      <c r="AJ7" s="20"/>
      <c r="AL7" s="18" t="s">
        <v>44</v>
      </c>
      <c r="AM7" t="s">
        <v>211</v>
      </c>
      <c r="AN7" t="s">
        <v>213</v>
      </c>
      <c r="AO7" t="s">
        <v>211</v>
      </c>
      <c r="AP7" t="s">
        <v>213</v>
      </c>
      <c r="AQ7" t="s">
        <v>211</v>
      </c>
      <c r="AR7" t="s">
        <v>213</v>
      </c>
      <c r="AS7" t="s">
        <v>211</v>
      </c>
      <c r="AT7" t="s">
        <v>213</v>
      </c>
      <c r="AU7" t="s">
        <v>211</v>
      </c>
      <c r="AV7" t="s">
        <v>213</v>
      </c>
      <c r="AZ7" s="43" t="s">
        <v>52</v>
      </c>
      <c r="BA7" s="25">
        <f t="shared" ref="BA7:BA19" si="8">(VLOOKUP($AZ7,$AL$8:$AX$1048576,12,FALSE)-VLOOKUP($AZ7,$AL$8:$AX$1048576,13,FALSE))/7</f>
        <v>688.28571428571433</v>
      </c>
      <c r="BB7" s="25">
        <f t="shared" ref="BB7:BB19" si="9">(VLOOKUP($AZ7,$AL$8:$AX$1048576,2,FALSE)-VLOOKUP($AZ7,$AL$8:$AX$1048576,3,FALSE))/7</f>
        <v>98.428571428571431</v>
      </c>
      <c r="BC7" s="25">
        <f t="shared" ref="BC7:BC19" si="10">(VLOOKUP($AZ7,$AL$8:$AX$1048576,4,FALSE)-VLOOKUP($AZ7,$AL$8:$AX$1048576,5,FALSE))/7</f>
        <v>205.85714285714286</v>
      </c>
      <c r="BD7" s="25">
        <f t="shared" ref="BD7:BD19" si="11">(VLOOKUP($AZ7,$AL$8:$AX$1048576,6,FALSE)-VLOOKUP($AZ7,$AL$8:$AX$1048576,7,FALSE))/7</f>
        <v>244.28571428571428</v>
      </c>
      <c r="BE7" s="25">
        <f t="shared" ref="BE7:BE19" si="12">(VLOOKUP($AZ7,$AL$8:$AX$1048576,8,FALSE)-VLOOKUP($AZ7,$AL$8:$AX$1048576,9,FALSE))/7</f>
        <v>77.571428571428569</v>
      </c>
      <c r="BF7" s="25">
        <f t="shared" ref="BF7:BF19" si="13">(VLOOKUP($AZ7,$AL$8:$AX$1048576,10,FALSE)-VLOOKUP($AZ7,$AL$8:$AX$1048576,11,FALSE))/7</f>
        <v>62.142857142857146</v>
      </c>
      <c r="BG7" s="26">
        <f t="shared" ref="BG7:BG19" si="14">BE7+BF7</f>
        <v>139.71428571428572</v>
      </c>
    </row>
    <row r="8" spans="2:59" x14ac:dyDescent="0.35">
      <c r="B8" s="28"/>
      <c r="C8" s="19" t="s">
        <v>284</v>
      </c>
      <c r="D8" s="2">
        <v>25679</v>
      </c>
      <c r="E8" s="2">
        <v>20786</v>
      </c>
      <c r="F8" s="28">
        <f t="shared" si="7"/>
        <v>0.80945519685346001</v>
      </c>
      <c r="H8" s="28"/>
      <c r="I8" s="19" t="s">
        <v>51</v>
      </c>
      <c r="J8" s="2">
        <v>5425</v>
      </c>
      <c r="K8" s="2">
        <v>4882</v>
      </c>
      <c r="L8" s="2">
        <v>6916</v>
      </c>
      <c r="M8" s="2">
        <v>5390</v>
      </c>
      <c r="N8" s="2">
        <v>8050</v>
      </c>
      <c r="O8" s="2">
        <v>6501</v>
      </c>
      <c r="P8" s="2">
        <v>3213</v>
      </c>
      <c r="Q8" s="2">
        <v>2679</v>
      </c>
      <c r="R8" s="2">
        <v>2208</v>
      </c>
      <c r="S8" s="2">
        <v>1750</v>
      </c>
      <c r="T8" s="2">
        <v>25812</v>
      </c>
      <c r="U8" s="2">
        <v>21202</v>
      </c>
      <c r="V8" s="2"/>
      <c r="W8" s="20" t="s">
        <v>55</v>
      </c>
      <c r="X8" s="28">
        <f t="shared" si="0"/>
        <v>0.832857422256992</v>
      </c>
      <c r="Y8" s="28">
        <f t="shared" si="1"/>
        <v>0.88049962714392249</v>
      </c>
      <c r="Z8" s="28">
        <f t="shared" si="2"/>
        <v>0.82305669199298659</v>
      </c>
      <c r="AA8" s="28">
        <f t="shared" si="3"/>
        <v>0.81941674975074774</v>
      </c>
      <c r="AB8" s="28">
        <f t="shared" si="4"/>
        <v>0.84551548037025215</v>
      </c>
      <c r="AC8" s="28">
        <f t="shared" si="5"/>
        <v>0.7781818181818182</v>
      </c>
      <c r="AD8" s="47">
        <f t="shared" si="6"/>
        <v>0.81184864927603517</v>
      </c>
      <c r="AE8" s="2"/>
      <c r="AF8" s="19" t="s">
        <v>284</v>
      </c>
      <c r="AG8" s="2">
        <v>25679</v>
      </c>
      <c r="AH8" s="2">
        <v>20786</v>
      </c>
      <c r="AI8" s="20">
        <f t="shared" ref="AI8:AI19" si="15">(AG8-AH8)/7</f>
        <v>699</v>
      </c>
      <c r="AJ8" s="20"/>
      <c r="AL8" s="19" t="s">
        <v>51</v>
      </c>
      <c r="AM8" s="2">
        <v>5425</v>
      </c>
      <c r="AN8" s="2">
        <v>4882</v>
      </c>
      <c r="AO8" s="2">
        <v>6916</v>
      </c>
      <c r="AP8" s="2">
        <v>5390</v>
      </c>
      <c r="AQ8" s="2">
        <v>8050</v>
      </c>
      <c r="AR8" s="2">
        <v>6501</v>
      </c>
      <c r="AS8" s="2">
        <v>3213</v>
      </c>
      <c r="AT8" s="2">
        <v>2679</v>
      </c>
      <c r="AU8" s="2">
        <v>2208</v>
      </c>
      <c r="AV8" s="2">
        <v>1750</v>
      </c>
      <c r="AW8" s="2">
        <v>25812</v>
      </c>
      <c r="AX8" s="2">
        <v>21202</v>
      </c>
      <c r="AZ8" s="43" t="s">
        <v>53</v>
      </c>
      <c r="BA8" s="25">
        <f t="shared" si="8"/>
        <v>699</v>
      </c>
      <c r="BB8" s="25">
        <f t="shared" si="9"/>
        <v>96.428571428571431</v>
      </c>
      <c r="BC8" s="25">
        <f t="shared" si="10"/>
        <v>201</v>
      </c>
      <c r="BD8" s="25">
        <f t="shared" si="11"/>
        <v>252.71428571428572</v>
      </c>
      <c r="BE8" s="25">
        <f t="shared" si="12"/>
        <v>78.142857142857139</v>
      </c>
      <c r="BF8" s="25">
        <f t="shared" si="13"/>
        <v>70.714285714285708</v>
      </c>
      <c r="BG8" s="26">
        <f t="shared" si="14"/>
        <v>148.85714285714283</v>
      </c>
    </row>
    <row r="9" spans="2:59" x14ac:dyDescent="0.35">
      <c r="B9" s="28"/>
      <c r="C9" s="19" t="s">
        <v>285</v>
      </c>
      <c r="D9" s="2">
        <v>25536</v>
      </c>
      <c r="E9" s="2">
        <v>19606</v>
      </c>
      <c r="F9" s="28">
        <f>E9/D9</f>
        <v>0.76777882205513781</v>
      </c>
      <c r="H9" s="28"/>
      <c r="I9" s="19" t="s">
        <v>52</v>
      </c>
      <c r="J9" s="2">
        <v>5426</v>
      </c>
      <c r="K9" s="2">
        <v>4737</v>
      </c>
      <c r="L9" s="2">
        <v>6902</v>
      </c>
      <c r="M9" s="2">
        <v>5461</v>
      </c>
      <c r="N9" s="2">
        <v>8041</v>
      </c>
      <c r="O9" s="2">
        <v>6331</v>
      </c>
      <c r="P9" s="2">
        <v>3211</v>
      </c>
      <c r="Q9" s="2">
        <v>2668</v>
      </c>
      <c r="R9" s="2">
        <v>2190</v>
      </c>
      <c r="S9" s="2">
        <v>1755</v>
      </c>
      <c r="T9" s="2">
        <v>25770</v>
      </c>
      <c r="U9" s="2">
        <v>20952</v>
      </c>
      <c r="V9" s="2"/>
      <c r="W9" s="20" t="s">
        <v>56</v>
      </c>
      <c r="X9" s="28" t="e">
        <f t="shared" si="0"/>
        <v>#N/A</v>
      </c>
      <c r="Y9" s="28" t="e">
        <f t="shared" si="1"/>
        <v>#N/A</v>
      </c>
      <c r="Z9" s="28" t="e">
        <f t="shared" si="2"/>
        <v>#N/A</v>
      </c>
      <c r="AA9" s="28" t="e">
        <f t="shared" si="3"/>
        <v>#N/A</v>
      </c>
      <c r="AB9" s="28" t="e">
        <f t="shared" si="4"/>
        <v>#N/A</v>
      </c>
      <c r="AC9" s="28" t="e">
        <f t="shared" si="5"/>
        <v>#N/A</v>
      </c>
      <c r="AD9" s="47" t="e">
        <f t="shared" si="6"/>
        <v>#N/A</v>
      </c>
      <c r="AE9" s="2"/>
      <c r="AF9" s="19" t="s">
        <v>285</v>
      </c>
      <c r="AG9" s="2">
        <v>25536</v>
      </c>
      <c r="AH9" s="2">
        <v>19606</v>
      </c>
      <c r="AI9" s="20">
        <f t="shared" si="15"/>
        <v>847.14285714285711</v>
      </c>
      <c r="AJ9" s="20"/>
      <c r="AL9" s="19" t="s">
        <v>52</v>
      </c>
      <c r="AM9" s="2">
        <v>5426</v>
      </c>
      <c r="AN9" s="2">
        <v>4737</v>
      </c>
      <c r="AO9" s="2">
        <v>6902</v>
      </c>
      <c r="AP9" s="2">
        <v>5461</v>
      </c>
      <c r="AQ9" s="2">
        <v>8041</v>
      </c>
      <c r="AR9" s="2">
        <v>6331</v>
      </c>
      <c r="AS9" s="2">
        <v>3211</v>
      </c>
      <c r="AT9" s="2">
        <v>2668</v>
      </c>
      <c r="AU9" s="2">
        <v>2190</v>
      </c>
      <c r="AV9" s="2">
        <v>1755</v>
      </c>
      <c r="AW9" s="2">
        <v>25770</v>
      </c>
      <c r="AX9" s="2">
        <v>20952</v>
      </c>
      <c r="AZ9" s="43" t="s">
        <v>54</v>
      </c>
      <c r="BA9" s="25">
        <f t="shared" si="8"/>
        <v>847.14285714285711</v>
      </c>
      <c r="BB9" s="25">
        <f t="shared" si="9"/>
        <v>128.14285714285714</v>
      </c>
      <c r="BC9" s="25">
        <f t="shared" si="10"/>
        <v>234</v>
      </c>
      <c r="BD9" s="25">
        <f t="shared" si="11"/>
        <v>291.71428571428572</v>
      </c>
      <c r="BE9" s="25">
        <f t="shared" si="12"/>
        <v>98.714285714285708</v>
      </c>
      <c r="BF9" s="25">
        <f t="shared" si="13"/>
        <v>94.571428571428569</v>
      </c>
      <c r="BG9" s="26">
        <f t="shared" si="14"/>
        <v>193.28571428571428</v>
      </c>
    </row>
    <row r="10" spans="2:59" x14ac:dyDescent="0.35">
      <c r="B10" s="28"/>
      <c r="C10" s="19" t="s">
        <v>286</v>
      </c>
      <c r="D10" s="2">
        <v>25565</v>
      </c>
      <c r="E10" s="2">
        <v>21292</v>
      </c>
      <c r="F10" s="28">
        <f t="shared" si="7"/>
        <v>0.832857422256992</v>
      </c>
      <c r="H10" s="28"/>
      <c r="I10" s="19" t="s">
        <v>53</v>
      </c>
      <c r="J10" s="2">
        <v>5391</v>
      </c>
      <c r="K10" s="2">
        <v>4716</v>
      </c>
      <c r="L10" s="2">
        <v>6912</v>
      </c>
      <c r="M10" s="2">
        <v>5505</v>
      </c>
      <c r="N10" s="2">
        <v>8016</v>
      </c>
      <c r="O10" s="2">
        <v>6247</v>
      </c>
      <c r="P10" s="2">
        <v>3167</v>
      </c>
      <c r="Q10" s="2">
        <v>2620</v>
      </c>
      <c r="R10" s="2">
        <v>2193</v>
      </c>
      <c r="S10" s="2">
        <v>1698</v>
      </c>
      <c r="T10" s="2">
        <v>25679</v>
      </c>
      <c r="U10" s="2">
        <v>20786</v>
      </c>
      <c r="V10" s="28"/>
      <c r="W10" s="20" t="s">
        <v>57</v>
      </c>
      <c r="X10" s="28" t="e">
        <f t="shared" si="0"/>
        <v>#N/A</v>
      </c>
      <c r="Y10" s="28" t="e">
        <f t="shared" si="1"/>
        <v>#N/A</v>
      </c>
      <c r="Z10" s="28" t="e">
        <f t="shared" si="2"/>
        <v>#N/A</v>
      </c>
      <c r="AA10" s="28" t="e">
        <f t="shared" si="3"/>
        <v>#N/A</v>
      </c>
      <c r="AB10" s="28" t="e">
        <f t="shared" si="4"/>
        <v>#N/A</v>
      </c>
      <c r="AC10" s="28" t="e">
        <f t="shared" si="5"/>
        <v>#N/A</v>
      </c>
      <c r="AD10" s="47" t="e">
        <f t="shared" si="6"/>
        <v>#N/A</v>
      </c>
      <c r="AE10" s="28"/>
      <c r="AF10" s="19" t="s">
        <v>286</v>
      </c>
      <c r="AG10" s="2">
        <v>25565</v>
      </c>
      <c r="AH10" s="2">
        <v>21292</v>
      </c>
      <c r="AI10" s="20">
        <f t="shared" si="15"/>
        <v>610.42857142857144</v>
      </c>
      <c r="AL10" s="19" t="s">
        <v>53</v>
      </c>
      <c r="AM10" s="2">
        <v>5391</v>
      </c>
      <c r="AN10" s="2">
        <v>4716</v>
      </c>
      <c r="AO10" s="2">
        <v>6912</v>
      </c>
      <c r="AP10" s="2">
        <v>5505</v>
      </c>
      <c r="AQ10" s="2">
        <v>8016</v>
      </c>
      <c r="AR10" s="2">
        <v>6247</v>
      </c>
      <c r="AS10" s="2">
        <v>3167</v>
      </c>
      <c r="AT10" s="2">
        <v>2620</v>
      </c>
      <c r="AU10" s="2">
        <v>2193</v>
      </c>
      <c r="AV10" s="2">
        <v>1698</v>
      </c>
      <c r="AW10" s="2">
        <v>25679</v>
      </c>
      <c r="AX10" s="2">
        <v>20786</v>
      </c>
      <c r="AZ10" s="20" t="s">
        <v>55</v>
      </c>
      <c r="BA10" s="25">
        <f t="shared" si="8"/>
        <v>610.42857142857144</v>
      </c>
      <c r="BB10" s="25">
        <f t="shared" si="9"/>
        <v>91.571428571428569</v>
      </c>
      <c r="BC10" s="25">
        <f t="shared" si="10"/>
        <v>173</v>
      </c>
      <c r="BD10" s="25">
        <f t="shared" si="11"/>
        <v>207</v>
      </c>
      <c r="BE10" s="25">
        <f t="shared" si="12"/>
        <v>69.142857142857139</v>
      </c>
      <c r="BF10" s="25">
        <f t="shared" si="13"/>
        <v>69.714285714285708</v>
      </c>
      <c r="BG10" s="26">
        <f t="shared" si="14"/>
        <v>138.85714285714283</v>
      </c>
    </row>
    <row r="11" spans="2:59" x14ac:dyDescent="0.35">
      <c r="B11" s="28"/>
      <c r="C11"/>
      <c r="D11"/>
      <c r="E11"/>
      <c r="F11" s="28" t="e">
        <f t="shared" si="7"/>
        <v>#DIV/0!</v>
      </c>
      <c r="H11" s="28"/>
      <c r="I11" s="19" t="s">
        <v>54</v>
      </c>
      <c r="J11" s="2">
        <v>5367</v>
      </c>
      <c r="K11" s="2">
        <v>4470</v>
      </c>
      <c r="L11" s="2">
        <v>6847</v>
      </c>
      <c r="M11" s="2">
        <v>5209</v>
      </c>
      <c r="N11" s="2">
        <v>8000</v>
      </c>
      <c r="O11" s="2">
        <v>5958</v>
      </c>
      <c r="P11" s="2">
        <v>3143</v>
      </c>
      <c r="Q11" s="2">
        <v>2452</v>
      </c>
      <c r="R11" s="2">
        <v>2179</v>
      </c>
      <c r="S11" s="2">
        <v>1517</v>
      </c>
      <c r="T11" s="2">
        <v>25536</v>
      </c>
      <c r="U11" s="2">
        <v>19606</v>
      </c>
      <c r="V11" s="28"/>
      <c r="W11" s="20" t="s">
        <v>58</v>
      </c>
      <c r="X11" s="28" t="e">
        <f t="shared" si="0"/>
        <v>#N/A</v>
      </c>
      <c r="Y11" s="28" t="e">
        <f t="shared" si="1"/>
        <v>#N/A</v>
      </c>
      <c r="Z11" s="28" t="e">
        <f t="shared" si="2"/>
        <v>#N/A</v>
      </c>
      <c r="AA11" s="28" t="e">
        <f t="shared" si="3"/>
        <v>#N/A</v>
      </c>
      <c r="AB11" s="28" t="e">
        <f t="shared" si="4"/>
        <v>#N/A</v>
      </c>
      <c r="AC11" s="28" t="e">
        <f t="shared" si="5"/>
        <v>#N/A</v>
      </c>
      <c r="AD11" s="47" t="e">
        <f t="shared" si="6"/>
        <v>#N/A</v>
      </c>
      <c r="AE11" s="28"/>
      <c r="AI11" s="20">
        <f t="shared" si="15"/>
        <v>0</v>
      </c>
      <c r="AJ11" s="20"/>
      <c r="AL11" s="19" t="s">
        <v>54</v>
      </c>
      <c r="AM11" s="2">
        <v>5367</v>
      </c>
      <c r="AN11" s="2">
        <v>4470</v>
      </c>
      <c r="AO11" s="2">
        <v>6847</v>
      </c>
      <c r="AP11" s="2">
        <v>5209</v>
      </c>
      <c r="AQ11" s="2">
        <v>8000</v>
      </c>
      <c r="AR11" s="2">
        <v>5958</v>
      </c>
      <c r="AS11" s="2">
        <v>3143</v>
      </c>
      <c r="AT11" s="2">
        <v>2452</v>
      </c>
      <c r="AU11" s="2">
        <v>2179</v>
      </c>
      <c r="AV11" s="2">
        <v>1517</v>
      </c>
      <c r="AW11" s="2">
        <v>25536</v>
      </c>
      <c r="AX11" s="2">
        <v>19606</v>
      </c>
      <c r="AZ11" s="20" t="s">
        <v>56</v>
      </c>
      <c r="BA11" s="25" t="e">
        <f t="shared" si="8"/>
        <v>#N/A</v>
      </c>
      <c r="BB11" s="25" t="e">
        <f t="shared" si="9"/>
        <v>#N/A</v>
      </c>
      <c r="BC11" s="25" t="e">
        <f t="shared" si="10"/>
        <v>#N/A</v>
      </c>
      <c r="BD11" s="25" t="e">
        <f t="shared" si="11"/>
        <v>#N/A</v>
      </c>
      <c r="BE11" s="25" t="e">
        <f t="shared" si="12"/>
        <v>#N/A</v>
      </c>
      <c r="BF11" s="25" t="e">
        <f t="shared" si="13"/>
        <v>#N/A</v>
      </c>
      <c r="BG11" s="26" t="e">
        <f t="shared" si="14"/>
        <v>#N/A</v>
      </c>
    </row>
    <row r="12" spans="2:59" x14ac:dyDescent="0.35">
      <c r="B12" s="28"/>
      <c r="C12"/>
      <c r="D12"/>
      <c r="E12"/>
      <c r="F12" s="28" t="e">
        <f t="shared" si="7"/>
        <v>#DIV/0!</v>
      </c>
      <c r="H12" s="28"/>
      <c r="I12" s="19" t="s">
        <v>55</v>
      </c>
      <c r="J12" s="2">
        <v>5364</v>
      </c>
      <c r="K12" s="2">
        <v>4723</v>
      </c>
      <c r="L12" s="2">
        <v>6844</v>
      </c>
      <c r="M12" s="2">
        <v>5633</v>
      </c>
      <c r="N12" s="2">
        <v>8024</v>
      </c>
      <c r="O12" s="2">
        <v>6575</v>
      </c>
      <c r="P12" s="2">
        <v>3133</v>
      </c>
      <c r="Q12" s="2">
        <v>2649</v>
      </c>
      <c r="R12" s="2">
        <v>2200</v>
      </c>
      <c r="S12" s="2">
        <v>1712</v>
      </c>
      <c r="T12" s="2">
        <v>25565</v>
      </c>
      <c r="U12" s="2">
        <v>21292</v>
      </c>
      <c r="V12" s="28"/>
      <c r="W12" s="20" t="s">
        <v>59</v>
      </c>
      <c r="X12" s="28" t="e">
        <f t="shared" si="0"/>
        <v>#N/A</v>
      </c>
      <c r="Y12" s="28" t="e">
        <f t="shared" si="1"/>
        <v>#N/A</v>
      </c>
      <c r="Z12" s="28" t="e">
        <f t="shared" si="2"/>
        <v>#N/A</v>
      </c>
      <c r="AA12" s="28" t="e">
        <f t="shared" si="3"/>
        <v>#N/A</v>
      </c>
      <c r="AB12" s="28" t="e">
        <f t="shared" si="4"/>
        <v>#N/A</v>
      </c>
      <c r="AC12" s="28" t="e">
        <f t="shared" si="5"/>
        <v>#N/A</v>
      </c>
      <c r="AD12" s="47" t="e">
        <f t="shared" si="6"/>
        <v>#N/A</v>
      </c>
      <c r="AE12" s="28"/>
      <c r="AI12" s="20">
        <f t="shared" si="15"/>
        <v>0</v>
      </c>
      <c r="AJ12" s="20"/>
      <c r="AL12" s="19" t="s">
        <v>55</v>
      </c>
      <c r="AM12" s="2">
        <v>5364</v>
      </c>
      <c r="AN12" s="2">
        <v>4723</v>
      </c>
      <c r="AO12" s="2">
        <v>6844</v>
      </c>
      <c r="AP12" s="2">
        <v>5633</v>
      </c>
      <c r="AQ12" s="2">
        <v>8024</v>
      </c>
      <c r="AR12" s="2">
        <v>6575</v>
      </c>
      <c r="AS12" s="2">
        <v>3133</v>
      </c>
      <c r="AT12" s="2">
        <v>2649</v>
      </c>
      <c r="AU12" s="2">
        <v>2200</v>
      </c>
      <c r="AV12" s="2">
        <v>1712</v>
      </c>
      <c r="AW12" s="2">
        <v>25565</v>
      </c>
      <c r="AX12" s="2">
        <v>21292</v>
      </c>
      <c r="AZ12" s="20" t="s">
        <v>57</v>
      </c>
      <c r="BA12" s="25" t="e">
        <f t="shared" si="8"/>
        <v>#N/A</v>
      </c>
      <c r="BB12" s="25" t="e">
        <f t="shared" si="9"/>
        <v>#N/A</v>
      </c>
      <c r="BC12" s="25" t="e">
        <f t="shared" si="10"/>
        <v>#N/A</v>
      </c>
      <c r="BD12" s="25" t="e">
        <f t="shared" si="11"/>
        <v>#N/A</v>
      </c>
      <c r="BE12" s="25" t="e">
        <f t="shared" si="12"/>
        <v>#N/A</v>
      </c>
      <c r="BF12" s="25" t="e">
        <f t="shared" si="13"/>
        <v>#N/A</v>
      </c>
      <c r="BG12" s="26" t="e">
        <f t="shared" si="14"/>
        <v>#N/A</v>
      </c>
    </row>
    <row r="13" spans="2:59" x14ac:dyDescent="0.35">
      <c r="B13" s="28"/>
      <c r="C13"/>
      <c r="D13"/>
      <c r="E13"/>
      <c r="F13" s="28" t="e">
        <f t="shared" si="7"/>
        <v>#DIV/0!</v>
      </c>
      <c r="H13" s="28"/>
      <c r="I13" s="19" t="s">
        <v>46</v>
      </c>
      <c r="J13" s="2">
        <v>26973</v>
      </c>
      <c r="K13" s="2">
        <v>23528</v>
      </c>
      <c r="L13" s="2">
        <v>34421</v>
      </c>
      <c r="M13" s="2">
        <v>27198</v>
      </c>
      <c r="N13" s="2">
        <v>40131</v>
      </c>
      <c r="O13" s="2">
        <v>31612</v>
      </c>
      <c r="P13" s="2">
        <v>15867</v>
      </c>
      <c r="Q13" s="2">
        <v>13068</v>
      </c>
      <c r="R13" s="2">
        <v>10970</v>
      </c>
      <c r="S13" s="2">
        <v>8432</v>
      </c>
      <c r="T13" s="2">
        <v>128362</v>
      </c>
      <c r="U13" s="2">
        <v>103838</v>
      </c>
      <c r="V13" s="28"/>
      <c r="W13" s="20" t="s">
        <v>60</v>
      </c>
      <c r="X13" s="28" t="e">
        <f t="shared" si="0"/>
        <v>#N/A</v>
      </c>
      <c r="Y13" s="28" t="e">
        <f t="shared" si="1"/>
        <v>#N/A</v>
      </c>
      <c r="Z13" s="28" t="e">
        <f t="shared" si="2"/>
        <v>#N/A</v>
      </c>
      <c r="AA13" s="28" t="e">
        <f t="shared" si="3"/>
        <v>#N/A</v>
      </c>
      <c r="AB13" s="28" t="e">
        <f t="shared" si="4"/>
        <v>#N/A</v>
      </c>
      <c r="AC13" s="28" t="e">
        <f t="shared" si="5"/>
        <v>#N/A</v>
      </c>
      <c r="AD13" s="47" t="e">
        <f t="shared" si="6"/>
        <v>#N/A</v>
      </c>
      <c r="AE13" s="28"/>
      <c r="AI13" s="20">
        <f t="shared" si="15"/>
        <v>0</v>
      </c>
      <c r="AJ13" s="20"/>
      <c r="AL13" s="19" t="s">
        <v>46</v>
      </c>
      <c r="AM13" s="2">
        <v>26973</v>
      </c>
      <c r="AN13" s="2">
        <v>23528</v>
      </c>
      <c r="AO13" s="2">
        <v>34421</v>
      </c>
      <c r="AP13" s="2">
        <v>27198</v>
      </c>
      <c r="AQ13" s="2">
        <v>40131</v>
      </c>
      <c r="AR13" s="2">
        <v>31612</v>
      </c>
      <c r="AS13" s="2">
        <v>15867</v>
      </c>
      <c r="AT13" s="2">
        <v>13068</v>
      </c>
      <c r="AU13" s="2">
        <v>10970</v>
      </c>
      <c r="AV13" s="2">
        <v>8432</v>
      </c>
      <c r="AW13" s="2">
        <v>128362</v>
      </c>
      <c r="AX13" s="2">
        <v>103838</v>
      </c>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2:59" x14ac:dyDescent="0.35">
      <c r="B14" s="28"/>
      <c r="C14"/>
      <c r="D14"/>
      <c r="E14"/>
      <c r="F14" s="28" t="e">
        <f t="shared" si="7"/>
        <v>#DIV/0!</v>
      </c>
      <c r="H14" s="28"/>
      <c r="T14" s="28"/>
      <c r="U14" s="28"/>
      <c r="V14" s="28"/>
      <c r="W14" s="20" t="s">
        <v>61</v>
      </c>
      <c r="X14" s="28" t="e">
        <f t="shared" si="0"/>
        <v>#N/A</v>
      </c>
      <c r="Y14" s="28" t="e">
        <f t="shared" si="1"/>
        <v>#N/A</v>
      </c>
      <c r="Z14" s="28" t="e">
        <f t="shared" si="2"/>
        <v>#N/A</v>
      </c>
      <c r="AA14" s="28" t="e">
        <f t="shared" si="3"/>
        <v>#N/A</v>
      </c>
      <c r="AB14" s="28" t="e">
        <f t="shared" si="4"/>
        <v>#N/A</v>
      </c>
      <c r="AC14" s="28" t="e">
        <f t="shared" si="5"/>
        <v>#N/A</v>
      </c>
      <c r="AD14" s="47" t="e">
        <f t="shared" si="6"/>
        <v>#N/A</v>
      </c>
      <c r="AE14" s="28"/>
      <c r="AI14" s="20">
        <f t="shared" si="15"/>
        <v>0</v>
      </c>
      <c r="AJ14" s="20"/>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2:59" x14ac:dyDescent="0.35">
      <c r="B15" s="28"/>
      <c r="C15"/>
      <c r="D15"/>
      <c r="E15"/>
      <c r="F15" s="28" t="e">
        <f t="shared" si="7"/>
        <v>#DIV/0!</v>
      </c>
      <c r="H15" s="28"/>
      <c r="T15" s="28"/>
      <c r="U15" s="28"/>
      <c r="V15" s="28"/>
      <c r="W15" s="20" t="s">
        <v>62</v>
      </c>
      <c r="X15" s="28" t="e">
        <f t="shared" si="0"/>
        <v>#N/A</v>
      </c>
      <c r="Y15" s="28" t="e">
        <f t="shared" si="1"/>
        <v>#N/A</v>
      </c>
      <c r="Z15" s="28" t="e">
        <f t="shared" si="2"/>
        <v>#N/A</v>
      </c>
      <c r="AA15" s="28" t="e">
        <f t="shared" si="3"/>
        <v>#N/A</v>
      </c>
      <c r="AB15" s="28" t="e">
        <f t="shared" si="4"/>
        <v>#N/A</v>
      </c>
      <c r="AC15" s="28" t="e">
        <f t="shared" si="5"/>
        <v>#N/A</v>
      </c>
      <c r="AD15" s="47" t="e">
        <f t="shared" si="6"/>
        <v>#N/A</v>
      </c>
      <c r="AE15" s="28"/>
      <c r="AI15" s="20">
        <f t="shared" si="15"/>
        <v>0</v>
      </c>
      <c r="AJ15" s="20"/>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2:59" x14ac:dyDescent="0.35">
      <c r="B16" s="28"/>
      <c r="C16"/>
      <c r="D16"/>
      <c r="E16"/>
      <c r="F16" s="28" t="e">
        <f t="shared" si="7"/>
        <v>#DIV/0!</v>
      </c>
      <c r="H16" s="28"/>
      <c r="T16" s="28"/>
      <c r="U16" s="28"/>
      <c r="V16" s="28"/>
      <c r="W16" s="20" t="s">
        <v>63</v>
      </c>
      <c r="X16" s="28" t="e">
        <f t="shared" si="0"/>
        <v>#N/A</v>
      </c>
      <c r="Y16" s="28" t="e">
        <f t="shared" si="1"/>
        <v>#N/A</v>
      </c>
      <c r="Z16" s="28" t="e">
        <f t="shared" si="2"/>
        <v>#N/A</v>
      </c>
      <c r="AA16" s="28" t="e">
        <f t="shared" si="3"/>
        <v>#N/A</v>
      </c>
      <c r="AB16" s="28" t="e">
        <f t="shared" si="4"/>
        <v>#N/A</v>
      </c>
      <c r="AC16" s="28" t="e">
        <f t="shared" si="5"/>
        <v>#N/A</v>
      </c>
      <c r="AD16" s="47" t="e">
        <f t="shared" si="6"/>
        <v>#N/A</v>
      </c>
      <c r="AE16" s="28"/>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2:59" x14ac:dyDescent="0.35">
      <c r="B17" s="28"/>
      <c r="C17"/>
      <c r="D17"/>
      <c r="E17"/>
      <c r="F17" s="28" t="e">
        <f t="shared" si="7"/>
        <v>#DIV/0!</v>
      </c>
      <c r="H17" s="28"/>
      <c r="T17" s="28"/>
      <c r="U17" s="28"/>
      <c r="V17" s="28"/>
      <c r="W17" s="20" t="s">
        <v>64</v>
      </c>
      <c r="X17" s="28" t="e">
        <f t="shared" si="0"/>
        <v>#N/A</v>
      </c>
      <c r="Y17" s="28" t="e">
        <f t="shared" si="1"/>
        <v>#N/A</v>
      </c>
      <c r="Z17" s="28" t="e">
        <f t="shared" si="2"/>
        <v>#N/A</v>
      </c>
      <c r="AA17" s="28" t="e">
        <f t="shared" si="3"/>
        <v>#N/A</v>
      </c>
      <c r="AB17" s="28" t="e">
        <f t="shared" si="4"/>
        <v>#N/A</v>
      </c>
      <c r="AC17" s="28" t="e">
        <f t="shared" si="5"/>
        <v>#N/A</v>
      </c>
      <c r="AD17" s="47" t="e">
        <f t="shared" si="6"/>
        <v>#N/A</v>
      </c>
      <c r="AE17" s="28"/>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2:59" x14ac:dyDescent="0.35">
      <c r="B18" s="28"/>
      <c r="C18"/>
      <c r="D18"/>
      <c r="E18"/>
      <c r="F18" s="28" t="e">
        <f t="shared" si="7"/>
        <v>#DIV/0!</v>
      </c>
      <c r="H18" s="28"/>
      <c r="T18" s="28"/>
      <c r="U18" s="28"/>
      <c r="V18" s="28"/>
      <c r="W18" s="28"/>
      <c r="X18" s="28"/>
      <c r="Y18" s="28"/>
      <c r="Z18" s="28"/>
      <c r="AA18" s="28"/>
      <c r="AB18" s="28"/>
      <c r="AC18" s="28"/>
      <c r="AD18" s="28"/>
      <c r="AE18" s="28"/>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2:59" x14ac:dyDescent="0.35">
      <c r="B19" s="28"/>
      <c r="C19"/>
      <c r="D19"/>
      <c r="E19"/>
      <c r="F19" s="28" t="e">
        <f t="shared" si="7"/>
        <v>#DIV/0!</v>
      </c>
      <c r="H19" s="28"/>
      <c r="T19" s="28"/>
      <c r="U19" s="28"/>
      <c r="V19" s="28"/>
      <c r="W19" s="28"/>
      <c r="X19" s="28"/>
      <c r="Y19" s="28"/>
      <c r="Z19" s="28"/>
      <c r="AA19" s="28"/>
      <c r="AB19" s="28"/>
      <c r="AC19" s="28"/>
      <c r="AD19" s="28"/>
      <c r="AE19" s="28"/>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2:59" x14ac:dyDescent="0.25">
      <c r="B20" s="28"/>
      <c r="C20"/>
      <c r="D20"/>
      <c r="E20"/>
      <c r="F20" s="28" t="e">
        <f t="shared" si="7"/>
        <v>#DIV/0!</v>
      </c>
      <c r="AI20" s="20">
        <f>(AG20-AH20)/7</f>
        <v>0</v>
      </c>
      <c r="AJ20" s="20"/>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Z22"/>
  <sheetViews>
    <sheetView topLeftCell="CM1" workbookViewId="0">
      <selection activeCell="BG3" sqref="BG3"/>
    </sheetView>
  </sheetViews>
  <sheetFormatPr defaultRowHeight="15" x14ac:dyDescent="0.25"/>
  <cols>
    <col min="1" max="1" width="4.7109375" customWidth="1"/>
    <col min="2" max="2" width="13.140625" bestFit="1" customWidth="1"/>
    <col min="3" max="3" width="24.5703125" customWidth="1"/>
    <col min="4" max="4" width="23.28515625" customWidth="1"/>
    <col min="5" max="5" width="9.140625" style="10"/>
    <col min="6" max="6" width="9.140625" style="50"/>
    <col min="7" max="7" width="13.140625" style="50" bestFit="1" customWidth="1"/>
    <col min="8" max="8" width="24.5703125" style="50" bestFit="1" customWidth="1"/>
    <col min="9" max="9" width="23.28515625" style="50" bestFit="1" customWidth="1"/>
    <col min="10" max="11" width="9.140625" style="50"/>
    <col min="12" max="12" width="13.140625" customWidth="1"/>
    <col min="13" max="13" width="24.5703125" customWidth="1"/>
    <col min="14" max="14" width="23.28515625" customWidth="1"/>
    <col min="15" max="15" width="24.5703125" customWidth="1"/>
    <col min="16" max="16" width="23.28515625" customWidth="1"/>
    <col min="17" max="17" width="24.5703125" customWidth="1"/>
    <col min="18" max="18" width="23.28515625" customWidth="1"/>
    <col min="19" max="19" width="24.5703125" customWidth="1"/>
    <col min="20" max="20" width="23.28515625" customWidth="1"/>
    <col min="21" max="21" width="29.7109375" customWidth="1"/>
    <col min="22" max="22" width="28.28515625" customWidth="1"/>
    <col min="23" max="23" width="28.28515625" bestFit="1" customWidth="1"/>
    <col min="30" max="30" width="13.140625" bestFit="1" customWidth="1"/>
    <col min="31" max="31" width="24.5703125" bestFit="1" customWidth="1"/>
    <col min="32" max="32" width="23.28515625" bestFit="1" customWidth="1"/>
    <col min="33" max="33" width="27.85546875" bestFit="1" customWidth="1"/>
    <col min="34" max="34" width="23.28515625" bestFit="1" customWidth="1"/>
    <col min="35" max="35" width="24.5703125" bestFit="1" customWidth="1"/>
    <col min="36" max="36" width="23.28515625" bestFit="1" customWidth="1"/>
    <col min="37" max="37" width="24.5703125" bestFit="1" customWidth="1"/>
    <col min="38" max="38" width="23.28515625" bestFit="1" customWidth="1"/>
    <col min="39" max="39" width="24.5703125" bestFit="1" customWidth="1"/>
    <col min="40" max="40" width="23.28515625" bestFit="1" customWidth="1"/>
    <col min="41" max="41" width="29.7109375" bestFit="1" customWidth="1"/>
    <col min="42" max="42" width="28.28515625" bestFit="1" customWidth="1"/>
    <col min="53" max="53" width="13.140625" bestFit="1" customWidth="1"/>
    <col min="54" max="54" width="24.5703125" customWidth="1"/>
    <col min="55" max="55" width="23.28515625" bestFit="1" customWidth="1"/>
    <col min="59" max="59" width="13.140625" bestFit="1" customWidth="1"/>
    <col min="60" max="60" width="24.5703125" bestFit="1" customWidth="1"/>
    <col min="61" max="61" width="23.28515625" bestFit="1" customWidth="1"/>
    <col min="65" max="65" width="13.140625" customWidth="1"/>
    <col min="66" max="66" width="24.5703125" bestFit="1" customWidth="1"/>
    <col min="67" max="67" width="23.28515625" customWidth="1"/>
    <col min="68" max="68" width="24.5703125" customWidth="1"/>
    <col min="69" max="69" width="23.28515625" customWidth="1"/>
    <col min="70" max="70" width="24.5703125" customWidth="1"/>
    <col min="71" max="71" width="23.28515625" customWidth="1"/>
    <col min="72" max="72" width="24.5703125" bestFit="1" customWidth="1"/>
    <col min="73" max="73" width="23.28515625" customWidth="1"/>
    <col min="74" max="74" width="29.7109375" customWidth="1"/>
    <col min="75" max="75" width="28.28515625" customWidth="1"/>
    <col min="76" max="76" width="28.28515625" bestFit="1" customWidth="1"/>
    <col min="83" max="83" width="13.140625" bestFit="1" customWidth="1"/>
    <col min="84" max="84" width="24.5703125" bestFit="1" customWidth="1"/>
    <col min="85" max="85" width="23.28515625" bestFit="1" customWidth="1"/>
    <col min="86" max="86" width="27.85546875" bestFit="1" customWidth="1"/>
    <col min="87" max="87" width="23.28515625" bestFit="1" customWidth="1"/>
    <col min="88" max="88" width="24.5703125" bestFit="1" customWidth="1"/>
    <col min="89" max="89" width="23.28515625" bestFit="1" customWidth="1"/>
    <col min="90" max="90" width="24.5703125" bestFit="1" customWidth="1"/>
    <col min="91" max="91" width="23.28515625" bestFit="1" customWidth="1"/>
    <col min="92" max="92" width="24.5703125" bestFit="1" customWidth="1"/>
    <col min="93" max="93" width="23.28515625" bestFit="1" customWidth="1"/>
    <col min="94" max="94" width="29.7109375" bestFit="1" customWidth="1"/>
    <col min="95" max="95" width="28.28515625" bestFit="1" customWidth="1"/>
  </cols>
  <sheetData>
    <row r="1" spans="2:104" s="17" customFormat="1" x14ac:dyDescent="0.25">
      <c r="B1" s="130" t="s">
        <v>310</v>
      </c>
      <c r="C1" s="130"/>
      <c r="D1" s="130"/>
      <c r="E1" s="130"/>
      <c r="F1" s="38"/>
      <c r="G1" s="45" t="s">
        <v>319</v>
      </c>
      <c r="H1" s="53"/>
      <c r="I1" s="53"/>
      <c r="J1" s="53"/>
      <c r="K1" s="38"/>
      <c r="L1" s="133" t="s">
        <v>214</v>
      </c>
      <c r="M1" s="133"/>
      <c r="N1" s="133"/>
      <c r="O1" s="133"/>
      <c r="P1" s="133"/>
      <c r="Q1" s="133"/>
      <c r="R1" s="133"/>
      <c r="S1" s="133"/>
      <c r="T1" s="133"/>
      <c r="U1" s="133"/>
      <c r="V1" s="133"/>
      <c r="W1" s="133"/>
      <c r="X1" s="133"/>
      <c r="Y1" s="133"/>
      <c r="Z1" s="133"/>
      <c r="AA1" s="133"/>
      <c r="AB1" s="133"/>
      <c r="AC1" s="38"/>
      <c r="AD1" s="131" t="s">
        <v>320</v>
      </c>
      <c r="AE1" s="131"/>
      <c r="AF1" s="131"/>
      <c r="AG1" s="131"/>
      <c r="AH1" s="131"/>
      <c r="AI1" s="131"/>
      <c r="AJ1" s="131"/>
      <c r="AK1" s="131"/>
      <c r="AL1" s="131"/>
      <c r="AM1" s="131"/>
      <c r="AN1" s="131"/>
      <c r="AO1" s="131"/>
      <c r="AP1" s="131"/>
      <c r="AQ1" s="131"/>
      <c r="AR1" s="131"/>
      <c r="AS1" s="131"/>
      <c r="AT1" s="131"/>
      <c r="AU1" s="131"/>
      <c r="AV1" s="131"/>
      <c r="AW1" s="131"/>
      <c r="AX1" s="131"/>
      <c r="AY1" s="131"/>
      <c r="AZ1" s="38"/>
      <c r="BA1" s="130" t="s">
        <v>300</v>
      </c>
      <c r="BB1" s="130"/>
      <c r="BC1" s="130"/>
      <c r="BD1" s="130"/>
      <c r="BG1" s="130" t="s">
        <v>301</v>
      </c>
      <c r="BH1" s="130"/>
      <c r="BI1" s="130"/>
      <c r="BJ1" s="130"/>
      <c r="BM1" s="133" t="s">
        <v>215</v>
      </c>
      <c r="BN1" s="133"/>
      <c r="BO1" s="133"/>
      <c r="BP1" s="133"/>
      <c r="BQ1" s="133"/>
      <c r="BR1" s="133"/>
      <c r="BS1" s="133"/>
      <c r="BT1" s="133"/>
      <c r="BU1" s="133"/>
      <c r="BV1" s="133"/>
      <c r="BW1" s="133"/>
      <c r="BX1" s="133"/>
      <c r="BY1" s="133"/>
      <c r="BZ1" s="133"/>
      <c r="CA1" s="133"/>
      <c r="CB1" s="133"/>
      <c r="CC1" s="133"/>
      <c r="CE1" s="130" t="s">
        <v>306</v>
      </c>
      <c r="CF1" s="130"/>
      <c r="CG1" s="130"/>
      <c r="CH1" s="130"/>
      <c r="CI1" s="130"/>
      <c r="CJ1" s="130"/>
      <c r="CK1" s="130"/>
      <c r="CL1" s="130"/>
      <c r="CM1" s="130"/>
      <c r="CN1" s="130"/>
      <c r="CO1" s="130"/>
      <c r="CP1" s="130"/>
      <c r="CQ1" s="130"/>
      <c r="CR1" s="130"/>
      <c r="CS1" s="130"/>
      <c r="CT1" s="130"/>
      <c r="CU1" s="130"/>
    </row>
    <row r="3" spans="2:104" x14ac:dyDescent="0.25">
      <c r="B3" s="18" t="s">
        <v>47</v>
      </c>
      <c r="C3" t="s" vm="1">
        <v>41</v>
      </c>
      <c r="G3" s="18" t="s">
        <v>47</v>
      </c>
      <c r="H3" t="s" vm="2">
        <v>262</v>
      </c>
      <c r="I3"/>
      <c r="L3" s="18" t="s">
        <v>47</v>
      </c>
      <c r="M3" t="s" vm="1">
        <v>41</v>
      </c>
      <c r="AD3" s="18" t="s">
        <v>47</v>
      </c>
      <c r="AE3" t="s" vm="2">
        <v>262</v>
      </c>
      <c r="BA3" s="18" t="s">
        <v>47</v>
      </c>
      <c r="BB3" t="s" vm="1">
        <v>41</v>
      </c>
      <c r="BG3" s="18" t="s">
        <v>47</v>
      </c>
      <c r="BH3" t="s" vm="2">
        <v>262</v>
      </c>
      <c r="BM3" s="18" t="s">
        <v>47</v>
      </c>
      <c r="BN3" t="s" vm="1">
        <v>41</v>
      </c>
      <c r="CE3" s="18" t="s">
        <v>47</v>
      </c>
      <c r="CF3" t="s" vm="2">
        <v>262</v>
      </c>
    </row>
    <row r="4" spans="2:104" x14ac:dyDescent="0.25">
      <c r="G4"/>
      <c r="H4"/>
      <c r="I4"/>
    </row>
    <row r="5" spans="2:104" x14ac:dyDescent="0.25">
      <c r="B5" s="18" t="s">
        <v>44</v>
      </c>
      <c r="C5" t="s">
        <v>216</v>
      </c>
      <c r="D5" t="s">
        <v>217</v>
      </c>
      <c r="G5" s="18" t="s">
        <v>44</v>
      </c>
      <c r="H5" t="s">
        <v>216</v>
      </c>
      <c r="I5" t="s">
        <v>217</v>
      </c>
      <c r="M5" s="18" t="s">
        <v>49</v>
      </c>
      <c r="X5" t="s">
        <v>48</v>
      </c>
      <c r="Y5" t="s">
        <v>2</v>
      </c>
      <c r="Z5" t="s">
        <v>65</v>
      </c>
      <c r="AA5" t="s">
        <v>3</v>
      </c>
      <c r="AB5" t="s">
        <v>4</v>
      </c>
      <c r="AE5" s="18" t="s">
        <v>49</v>
      </c>
      <c r="AS5" t="s">
        <v>48</v>
      </c>
      <c r="AT5" t="s">
        <v>2</v>
      </c>
      <c r="AU5" t="s">
        <v>65</v>
      </c>
      <c r="AV5" t="s">
        <v>3</v>
      </c>
      <c r="AW5" t="s">
        <v>270</v>
      </c>
      <c r="AX5" t="s">
        <v>305</v>
      </c>
      <c r="AY5" t="s">
        <v>298</v>
      </c>
      <c r="BA5" s="18" t="s">
        <v>44</v>
      </c>
      <c r="BB5" t="s">
        <v>216</v>
      </c>
      <c r="BC5" t="s">
        <v>217</v>
      </c>
      <c r="BG5" s="18" t="s">
        <v>44</v>
      </c>
      <c r="BH5" t="s">
        <v>216</v>
      </c>
      <c r="BI5" t="s">
        <v>217</v>
      </c>
      <c r="BN5" s="18" t="s">
        <v>49</v>
      </c>
      <c r="BY5" t="s">
        <v>48</v>
      </c>
      <c r="BZ5" t="s">
        <v>2</v>
      </c>
      <c r="CA5" t="s">
        <v>65</v>
      </c>
      <c r="CB5" t="s">
        <v>3</v>
      </c>
      <c r="CC5" t="s">
        <v>4</v>
      </c>
      <c r="CF5" s="18" t="s">
        <v>49</v>
      </c>
      <c r="CT5" t="s">
        <v>48</v>
      </c>
      <c r="CU5" t="s">
        <v>2</v>
      </c>
      <c r="CV5" t="s">
        <v>65</v>
      </c>
      <c r="CW5" t="s">
        <v>3</v>
      </c>
      <c r="CX5" t="s">
        <v>304</v>
      </c>
      <c r="CY5" t="s">
        <v>305</v>
      </c>
      <c r="CZ5" t="s">
        <v>298</v>
      </c>
    </row>
    <row r="6" spans="2:104" x14ac:dyDescent="0.25">
      <c r="B6" s="19" t="s">
        <v>45</v>
      </c>
      <c r="C6" s="2">
        <v>2616</v>
      </c>
      <c r="D6" s="2">
        <v>2146</v>
      </c>
      <c r="E6" s="28">
        <f>D6/C6</f>
        <v>0.82033639143730885</v>
      </c>
      <c r="F6" s="28"/>
      <c r="G6" s="19" t="s">
        <v>45</v>
      </c>
      <c r="H6" s="2">
        <v>2706</v>
      </c>
      <c r="I6" s="2">
        <v>2292</v>
      </c>
      <c r="J6" s="28">
        <f>I6/H6</f>
        <v>0.8470066518847007</v>
      </c>
      <c r="K6" s="28"/>
      <c r="M6" t="s">
        <v>2</v>
      </c>
      <c r="O6" t="s">
        <v>29</v>
      </c>
      <c r="Q6" t="s">
        <v>50</v>
      </c>
      <c r="S6" t="s">
        <v>296</v>
      </c>
      <c r="U6" t="s">
        <v>218</v>
      </c>
      <c r="V6" t="s">
        <v>219</v>
      </c>
      <c r="W6" s="20" t="s">
        <v>51</v>
      </c>
      <c r="X6" s="28">
        <f>VLOOKUP($W6,$L$8:$V$1048576,11,FALSE)/VLOOKUP($W6,$L$8:$V$1048576,10,FALSE)</f>
        <v>0.82033639143730885</v>
      </c>
      <c r="Y6" s="28">
        <f t="shared" ref="Y6:Y19" si="0">VLOOKUP($W6,$L$8:$V$1048576,3,FALSE)/VLOOKUP($W6,$L$8:$V$1048576,2,FALSE)</f>
        <v>0.9418886198547215</v>
      </c>
      <c r="Z6" s="28">
        <f t="shared" ref="Z6:Z19" si="1">VLOOKUP($W6,$L$8:$V$1048576,5,FALSE)/VLOOKUP($W6,$L$8:$V$1048576,4,FALSE)</f>
        <v>0.87212276214833762</v>
      </c>
      <c r="AA6" s="28">
        <f t="shared" ref="AA6:AA19" si="2">VLOOKUP($W6,$L$8:$V$1048576,7,FALSE)/VLOOKUP($W6,$L$8:$V$1048576,6,FALSE)</f>
        <v>0.8089887640449438</v>
      </c>
      <c r="AB6" s="28">
        <f t="shared" ref="AB6:AB19" si="3">VLOOKUP($W6,$L$8:$V$1048576,9,FALSE)/VLOOKUP($W6,$L$8:$V$1048576,8,FALSE)</f>
        <v>0.68870967741935485</v>
      </c>
      <c r="AC6" s="28"/>
      <c r="AE6" t="s">
        <v>2</v>
      </c>
      <c r="AG6" t="s">
        <v>266</v>
      </c>
      <c r="AI6" t="s">
        <v>50</v>
      </c>
      <c r="AK6" t="s">
        <v>267</v>
      </c>
      <c r="AM6" t="s">
        <v>268</v>
      </c>
      <c r="AO6" t="s">
        <v>218</v>
      </c>
      <c r="AP6" t="s">
        <v>219</v>
      </c>
      <c r="AQ6" s="28"/>
      <c r="AR6" s="20" t="s">
        <v>51</v>
      </c>
      <c r="AS6" s="28">
        <f>VLOOKUP($AR6,$AD$8:$AP$1048576,13,FALSE)/VLOOKUP($AR6,$AD$8:$AP$1048576,12,FALSE)</f>
        <v>0.8470066518847007</v>
      </c>
      <c r="AT6" s="28">
        <f>VLOOKUP($AR6,$AD$8:$AP$1048576,3,FALSE)/VLOOKUP($AR6,$AD$8:$AP$1048576,2,FALSE)</f>
        <v>0.9625292740046838</v>
      </c>
      <c r="AU6" s="28">
        <f>VLOOKUP($AR6,$AD$8:$AP$1048576,5,FALSE)/VLOOKUP($AR6,$AD$8:$AP$1048576,4,FALSE)</f>
        <v>0.87356321839080464</v>
      </c>
      <c r="AV6" s="28">
        <f>VLOOKUP($AR6,$AD$8:$AP$1048576,7,FALSE)/VLOOKUP($AR6,$AD$8:$AP$1048576,6,FALSE)</f>
        <v>0.85616438356164382</v>
      </c>
      <c r="AW6" s="28">
        <f>VLOOKUP($AR6,$AD$8:$AP$1048576,9,FALSE)/VLOOKUP($AR6,$AD$8:$AP$1048576,8,FALSE)</f>
        <v>0.78947368421052633</v>
      </c>
      <c r="AX6" s="28">
        <f>VLOOKUP($AR6,$AD$8:$AP$1048576,11,FALSE)/VLOOKUP($AR6,$AD$8:$AP$1048576,10,FALSE)</f>
        <v>0.69791666666666663</v>
      </c>
      <c r="AY6" s="28">
        <f>(AW6+AX6)/2</f>
        <v>0.74369517543859653</v>
      </c>
      <c r="AZ6" s="28"/>
      <c r="BA6" s="19" t="s">
        <v>45</v>
      </c>
      <c r="BB6" s="2">
        <v>2616</v>
      </c>
      <c r="BC6" s="2">
        <v>2146</v>
      </c>
      <c r="BD6" s="20">
        <f>(BB6-BC6)/4</f>
        <v>117.5</v>
      </c>
      <c r="BE6">
        <v>69.75</v>
      </c>
      <c r="BG6" s="19" t="s">
        <v>45</v>
      </c>
      <c r="BH6" s="2">
        <v>2706</v>
      </c>
      <c r="BI6" s="2">
        <v>2292</v>
      </c>
      <c r="BJ6" s="26">
        <f>(BH6-I6)/4</f>
        <v>103.5</v>
      </c>
      <c r="BK6" s="54"/>
      <c r="BL6" s="26"/>
      <c r="BN6" t="s">
        <v>2</v>
      </c>
      <c r="BP6" t="s">
        <v>29</v>
      </c>
      <c r="BR6" t="s">
        <v>50</v>
      </c>
      <c r="BT6" t="s">
        <v>296</v>
      </c>
      <c r="BV6" t="s">
        <v>218</v>
      </c>
      <c r="BW6" t="s">
        <v>219</v>
      </c>
      <c r="BX6" s="55" t="s">
        <v>51</v>
      </c>
      <c r="BY6" s="25">
        <f t="shared" ref="BY6:BY19" si="4">(VLOOKUP($W6,$L$8:$V$1048576,10,FALSE)-VLOOKUP($W6,$L$8:$V$1048576,11,FALSE))/7</f>
        <v>67.142857142857139</v>
      </c>
      <c r="BZ6" s="25">
        <f t="shared" ref="BZ6:BZ19" si="5">(VLOOKUP($W6,$L$8:$V$1048576,2,FALSE)-VLOOKUP($W6,$L$8:$V$1048576,3,FALSE))/7</f>
        <v>3.4285714285714284</v>
      </c>
      <c r="CA6" s="25">
        <f t="shared" ref="CA6:CA19" si="6">(VLOOKUP($W6,$L$8:$V$1048576,4,FALSE)-VLOOKUP($W6,$L$8:$V$1048576,5,FALSE))/7</f>
        <v>14.285714285714286</v>
      </c>
      <c r="CB6" s="25">
        <f t="shared" ref="CB6:CB19" si="7">(VLOOKUP($W6,$L$8:$V$1048576,6,FALSE)-VLOOKUP($W6,$L$8:$V$1048576,7,FALSE))/7</f>
        <v>21.857142857142858</v>
      </c>
      <c r="CC6" s="25">
        <f t="shared" ref="CC6:CC19" si="8">(VLOOKUP($W6,$L$8:$V$1048576,8,FALSE)-VLOOKUP($W6,$L$8:$V$1048576,9,FALSE))/7</f>
        <v>27.571428571428573</v>
      </c>
      <c r="CF6" t="s">
        <v>2</v>
      </c>
      <c r="CH6" t="s">
        <v>266</v>
      </c>
      <c r="CJ6" t="s">
        <v>50</v>
      </c>
      <c r="CL6" t="s">
        <v>267</v>
      </c>
      <c r="CN6" t="s">
        <v>268</v>
      </c>
      <c r="CP6" t="s">
        <v>218</v>
      </c>
      <c r="CQ6" t="s">
        <v>219</v>
      </c>
      <c r="CS6" s="55" t="s">
        <v>51</v>
      </c>
      <c r="CT6" s="25">
        <f>(VLOOKUP($CS6,$CE$8:$CQ$1048576,12,FALSE)-VLOOKUP($CS6,$CE$8:$CQ$1048576,13,FALSE))/7</f>
        <v>59.142857142857146</v>
      </c>
      <c r="CU6" s="25">
        <f>(VLOOKUP($CS6,$CE$8:$CQ$1048576,2,FALSE)-VLOOKUP($CS6,$CE$8:$CQ$1048576,3,FALSE))/7</f>
        <v>2.2857142857142856</v>
      </c>
      <c r="CV6" s="25">
        <f>(VLOOKUP($CS6,$CE$8:$CQ$1048576,4,FALSE)-VLOOKUP($CS6,$CE$8:$CQ$1048576,5,FALSE))/7</f>
        <v>12.571428571428571</v>
      </c>
      <c r="CW6" s="25">
        <f>(VLOOKUP($CS6,$CE$8:$CQ$1048576,6,FALSE)-VLOOKUP($CS6,$CE$8:$CQ$1048576,7,FALSE))/7</f>
        <v>18</v>
      </c>
      <c r="CX6" s="25">
        <f>(VLOOKUP($CS6,$CE$8:$CQ$1048576,8,FALSE)-VLOOKUP($CS6,$CE$8:$CQ$1048576,9,FALSE))/7</f>
        <v>9.7142857142857135</v>
      </c>
      <c r="CY6" s="25">
        <f>(VLOOKUP($CS6,$CE$8:$CQ$1048576,10,FALSE)-VLOOKUP($CS6,$CE$8:$CQ$1048576,11,FALSE))/7</f>
        <v>16.571428571428573</v>
      </c>
      <c r="CZ6" s="26">
        <f>CX6+CY6</f>
        <v>26.285714285714285</v>
      </c>
    </row>
    <row r="7" spans="2:104" x14ac:dyDescent="0.25">
      <c r="B7" s="19" t="s">
        <v>283</v>
      </c>
      <c r="C7" s="2">
        <v>2590</v>
      </c>
      <c r="D7" s="2">
        <v>2138</v>
      </c>
      <c r="E7" s="28">
        <f>D7/C7</f>
        <v>0.82548262548262552</v>
      </c>
      <c r="F7" s="28"/>
      <c r="G7" s="19" t="s">
        <v>283</v>
      </c>
      <c r="H7" s="2">
        <v>2662</v>
      </c>
      <c r="I7" s="2">
        <v>2127</v>
      </c>
      <c r="J7" s="28">
        <f>I7/H7</f>
        <v>0.79902329075882794</v>
      </c>
      <c r="K7" s="28"/>
      <c r="L7" s="18" t="s">
        <v>44</v>
      </c>
      <c r="M7" t="s">
        <v>216</v>
      </c>
      <c r="N7" t="s">
        <v>217</v>
      </c>
      <c r="O7" t="s">
        <v>216</v>
      </c>
      <c r="P7" t="s">
        <v>217</v>
      </c>
      <c r="Q7" t="s">
        <v>216</v>
      </c>
      <c r="R7" t="s">
        <v>217</v>
      </c>
      <c r="S7" t="s">
        <v>216</v>
      </c>
      <c r="T7" t="s">
        <v>217</v>
      </c>
      <c r="W7" s="20" t="s">
        <v>52</v>
      </c>
      <c r="X7" s="28">
        <f t="shared" ref="X7:X19" si="9">VLOOKUP(W7,$L$8:$V$1048576,11,FALSE)/VLOOKUP(W7,$L$8:$V$1048576,10,FALSE)</f>
        <v>0.82548262548262552</v>
      </c>
      <c r="Y7" s="28">
        <f t="shared" si="0"/>
        <v>0.9304556354916067</v>
      </c>
      <c r="Z7" s="28">
        <f t="shared" si="1"/>
        <v>0.85953608247422686</v>
      </c>
      <c r="AA7" s="28">
        <f t="shared" si="2"/>
        <v>0.8383084577114428</v>
      </c>
      <c r="AB7" s="28">
        <f t="shared" si="3"/>
        <v>0.6897133220910624</v>
      </c>
      <c r="AC7" s="28"/>
      <c r="AD7" s="18" t="s">
        <v>44</v>
      </c>
      <c r="AE7" t="s">
        <v>216</v>
      </c>
      <c r="AF7" t="s">
        <v>217</v>
      </c>
      <c r="AG7" t="s">
        <v>216</v>
      </c>
      <c r="AH7" t="s">
        <v>217</v>
      </c>
      <c r="AI7" t="s">
        <v>216</v>
      </c>
      <c r="AJ7" t="s">
        <v>217</v>
      </c>
      <c r="AK7" t="s">
        <v>216</v>
      </c>
      <c r="AL7" t="s">
        <v>217</v>
      </c>
      <c r="AM7" t="s">
        <v>216</v>
      </c>
      <c r="AN7" t="s">
        <v>217</v>
      </c>
      <c r="AQ7" s="28"/>
      <c r="AR7" s="20" t="s">
        <v>52</v>
      </c>
      <c r="AS7" s="28">
        <f t="shared" ref="AS7:AS19" si="10">VLOOKUP($AR7,$AD$8:$AP$1048576,13,FALSE)/VLOOKUP($AR7,$AD$8:$AP$1048576,12,FALSE)</f>
        <v>0.79902329075882794</v>
      </c>
      <c r="AT7" s="28">
        <f t="shared" ref="AT7:AT19" si="11">VLOOKUP($AR7,$AD$8:$AP$1048576,3,FALSE)/VLOOKUP($AR7,$AD$8:$AP$1048576,2,FALSE)</f>
        <v>0.94379391100702581</v>
      </c>
      <c r="AU7" s="28">
        <f t="shared" ref="AU7:AU19" si="12">VLOOKUP($AR7,$AD$8:$AP$1048576,5,FALSE)/VLOOKUP($AR7,$AD$8:$AP$1048576,4,FALSE)</f>
        <v>0.78307692307692311</v>
      </c>
      <c r="AV7" s="28">
        <f t="shared" ref="AV7:AV19" si="13">VLOOKUP($AR7,$AD$8:$AP$1048576,7,FALSE)/VLOOKUP($AR7,$AD$8:$AP$1048576,6,FALSE)</f>
        <v>0.8122866894197952</v>
      </c>
      <c r="AW7" s="28">
        <f t="shared" ref="AW7:AW19" si="14">VLOOKUP($AR7,$AD$8:$AP$1048576,9,FALSE)/VLOOKUP($AR7,$AD$8:$AP$1048576,8,FALSE)</f>
        <v>0.810126582278481</v>
      </c>
      <c r="AX7" s="28">
        <f t="shared" ref="AX7:AX19" si="15">VLOOKUP($AR7,$AD$8:$AP$1048576,11,FALSE)/VLOOKUP($AR7,$AD$8:$AP$1048576,10,FALSE)</f>
        <v>0.62820512820512819</v>
      </c>
      <c r="AY7" s="28">
        <f t="shared" ref="AY7:AY19" si="16">(AW7+AX7)/2</f>
        <v>0.71916585524180454</v>
      </c>
      <c r="AZ7" s="28"/>
      <c r="BA7" s="19" t="s">
        <v>283</v>
      </c>
      <c r="BB7" s="2">
        <v>2590</v>
      </c>
      <c r="BC7" s="2">
        <v>2138</v>
      </c>
      <c r="BD7" s="20">
        <f>(BB7-BC7)/7</f>
        <v>64.571428571428569</v>
      </c>
      <c r="BE7">
        <v>90.571428571428598</v>
      </c>
      <c r="BG7" s="19" t="s">
        <v>283</v>
      </c>
      <c r="BH7" s="2">
        <v>2662</v>
      </c>
      <c r="BI7" s="2">
        <v>2127</v>
      </c>
      <c r="BJ7" s="26">
        <f>(BH7-I7)/7</f>
        <v>76.428571428571431</v>
      </c>
      <c r="BK7" s="54"/>
      <c r="BL7" s="26"/>
      <c r="BM7" s="18" t="s">
        <v>44</v>
      </c>
      <c r="BN7" t="s">
        <v>216</v>
      </c>
      <c r="BO7" t="s">
        <v>217</v>
      </c>
      <c r="BP7" t="s">
        <v>216</v>
      </c>
      <c r="BQ7" t="s">
        <v>217</v>
      </c>
      <c r="BR7" t="s">
        <v>216</v>
      </c>
      <c r="BS7" t="s">
        <v>217</v>
      </c>
      <c r="BT7" t="s">
        <v>216</v>
      </c>
      <c r="BU7" t="s">
        <v>217</v>
      </c>
      <c r="BX7" s="55" t="s">
        <v>52</v>
      </c>
      <c r="BY7" s="25">
        <f t="shared" si="4"/>
        <v>64.571428571428569</v>
      </c>
      <c r="BZ7" s="25">
        <f t="shared" si="5"/>
        <v>4.1428571428571432</v>
      </c>
      <c r="CA7" s="25">
        <f t="shared" si="6"/>
        <v>15.571428571428571</v>
      </c>
      <c r="CB7" s="25">
        <f t="shared" si="7"/>
        <v>18.571428571428573</v>
      </c>
      <c r="CC7" s="25">
        <f t="shared" si="8"/>
        <v>26.285714285714285</v>
      </c>
      <c r="CE7" s="18" t="s">
        <v>44</v>
      </c>
      <c r="CF7" t="s">
        <v>216</v>
      </c>
      <c r="CG7" t="s">
        <v>217</v>
      </c>
      <c r="CH7" t="s">
        <v>216</v>
      </c>
      <c r="CI7" t="s">
        <v>217</v>
      </c>
      <c r="CJ7" t="s">
        <v>216</v>
      </c>
      <c r="CK7" t="s">
        <v>217</v>
      </c>
      <c r="CL7" t="s">
        <v>216</v>
      </c>
      <c r="CM7" t="s">
        <v>217</v>
      </c>
      <c r="CN7" t="s">
        <v>216</v>
      </c>
      <c r="CO7" t="s">
        <v>217</v>
      </c>
      <c r="CS7" s="55" t="s">
        <v>52</v>
      </c>
      <c r="CT7" s="25">
        <f t="shared" ref="CT7:CT19" si="17">(VLOOKUP($CS7,$CE$8:$CQ$1048576,12,FALSE)-VLOOKUP($CS7,$CE$8:$CQ$1048576,13,FALSE))/7</f>
        <v>76.428571428571431</v>
      </c>
      <c r="CU7" s="25">
        <f t="shared" ref="CU7:CU19" si="18">(VLOOKUP($CS7,$CE$8:$CQ$1048576,2,FALSE)-VLOOKUP($CS7,$CE$8:$CQ$1048576,3,FALSE))/7</f>
        <v>3.4285714285714284</v>
      </c>
      <c r="CV7" s="25">
        <f t="shared" ref="CV7:CV19" si="19">(VLOOKUP($CS7,$CE$8:$CQ$1048576,4,FALSE)-VLOOKUP($CS7,$CE$8:$CQ$1048576,5,FALSE))/7</f>
        <v>20.142857142857142</v>
      </c>
      <c r="CW7" s="25">
        <f t="shared" ref="CW7:CW19" si="20">(VLOOKUP($CS7,$CE$8:$CQ$1048576,6,FALSE)-VLOOKUP($CS7,$CE$8:$CQ$1048576,7,FALSE))/7</f>
        <v>23.571428571428573</v>
      </c>
      <c r="CX7" s="25">
        <f t="shared" ref="CX7:CX19" si="21">(VLOOKUP($CS7,$CE$8:$CQ$1048576,8,FALSE)-VLOOKUP($CS7,$CE$8:$CQ$1048576,9,FALSE))/7</f>
        <v>8.5714285714285712</v>
      </c>
      <c r="CY7" s="25">
        <f t="shared" ref="CY7:CY19" si="22">(VLOOKUP($CS7,$CE$8:$CQ$1048576,10,FALSE)-VLOOKUP($CS7,$CE$8:$CQ$1048576,11,FALSE))/7</f>
        <v>20.714285714285715</v>
      </c>
      <c r="CZ7" s="26">
        <f t="shared" ref="CZ7:CZ19" si="23">CX7+CY7</f>
        <v>29.285714285714285</v>
      </c>
    </row>
    <row r="8" spans="2:104" x14ac:dyDescent="0.25">
      <c r="B8" s="19" t="s">
        <v>284</v>
      </c>
      <c r="C8" s="2">
        <v>2619</v>
      </c>
      <c r="D8" s="2">
        <v>2190</v>
      </c>
      <c r="E8" s="28">
        <f t="shared" ref="E8:E20" si="24">D8/C8</f>
        <v>0.8361970217640321</v>
      </c>
      <c r="F8" s="28"/>
      <c r="G8" s="19" t="s">
        <v>284</v>
      </c>
      <c r="H8" s="2">
        <v>2421</v>
      </c>
      <c r="I8" s="2">
        <v>1941</v>
      </c>
      <c r="J8" s="28">
        <f t="shared" ref="J8:J20" si="25">I8/H8</f>
        <v>0.80173482032218091</v>
      </c>
      <c r="K8" s="28"/>
      <c r="L8" s="19" t="s">
        <v>51</v>
      </c>
      <c r="M8" s="2">
        <v>413</v>
      </c>
      <c r="N8" s="2">
        <v>389</v>
      </c>
      <c r="O8" s="2">
        <v>782</v>
      </c>
      <c r="P8" s="2">
        <v>682</v>
      </c>
      <c r="Q8" s="2">
        <v>801</v>
      </c>
      <c r="R8" s="2">
        <v>648</v>
      </c>
      <c r="S8" s="2">
        <v>620</v>
      </c>
      <c r="T8" s="2">
        <v>427</v>
      </c>
      <c r="U8" s="2">
        <v>2616</v>
      </c>
      <c r="V8" s="2">
        <v>2146</v>
      </c>
      <c r="W8" s="20" t="s">
        <v>53</v>
      </c>
      <c r="X8" s="28">
        <f t="shared" si="9"/>
        <v>0.8361970217640321</v>
      </c>
      <c r="Y8" s="28">
        <f t="shared" si="0"/>
        <v>0.95192307692307687</v>
      </c>
      <c r="Z8" s="28">
        <f t="shared" si="1"/>
        <v>0.84954604409857326</v>
      </c>
      <c r="AA8" s="28">
        <f t="shared" si="2"/>
        <v>0.82156133828996281</v>
      </c>
      <c r="AB8" s="28">
        <f t="shared" si="3"/>
        <v>0.76160000000000005</v>
      </c>
      <c r="AC8" s="28"/>
      <c r="AD8" s="19" t="s">
        <v>51</v>
      </c>
      <c r="AE8" s="2">
        <v>427</v>
      </c>
      <c r="AF8" s="2">
        <v>411</v>
      </c>
      <c r="AG8" s="2">
        <v>696</v>
      </c>
      <c r="AH8" s="2">
        <v>608</v>
      </c>
      <c r="AI8" s="2">
        <v>876</v>
      </c>
      <c r="AJ8" s="2">
        <v>750</v>
      </c>
      <c r="AK8" s="2">
        <v>323</v>
      </c>
      <c r="AL8" s="2">
        <v>255</v>
      </c>
      <c r="AM8" s="2">
        <v>384</v>
      </c>
      <c r="AN8" s="2">
        <v>268</v>
      </c>
      <c r="AO8" s="2">
        <v>2706</v>
      </c>
      <c r="AP8" s="2">
        <v>2292</v>
      </c>
      <c r="AQ8" s="28"/>
      <c r="AR8" s="20" t="s">
        <v>53</v>
      </c>
      <c r="AS8" s="28">
        <f t="shared" si="10"/>
        <v>0.80173482032218091</v>
      </c>
      <c r="AT8" s="28">
        <f t="shared" si="11"/>
        <v>0.96</v>
      </c>
      <c r="AU8" s="28">
        <f t="shared" si="12"/>
        <v>0.78361669242658427</v>
      </c>
      <c r="AV8" s="28">
        <f t="shared" si="13"/>
        <v>0.79974489795918369</v>
      </c>
      <c r="AW8" s="28">
        <f t="shared" si="14"/>
        <v>0.81208053691275173</v>
      </c>
      <c r="AX8" s="28">
        <f t="shared" si="15"/>
        <v>0.58801498127340823</v>
      </c>
      <c r="AY8" s="28">
        <f t="shared" si="16"/>
        <v>0.70004775909308004</v>
      </c>
      <c r="AZ8" s="28"/>
      <c r="BA8" s="19" t="s">
        <v>284</v>
      </c>
      <c r="BB8" s="2">
        <v>2619</v>
      </c>
      <c r="BC8" s="2">
        <v>2190</v>
      </c>
      <c r="BD8" s="20">
        <f t="shared" ref="BD8:BD20" si="26">(BB8-BC8)/7</f>
        <v>61.285714285714285</v>
      </c>
      <c r="BE8">
        <v>93.428571428571431</v>
      </c>
      <c r="BG8" s="19" t="s">
        <v>284</v>
      </c>
      <c r="BH8" s="2">
        <v>2421</v>
      </c>
      <c r="BI8" s="2">
        <v>1941</v>
      </c>
      <c r="BJ8" s="26">
        <f t="shared" ref="BJ8:BJ19" si="27">(BH8-I8)/7</f>
        <v>68.571428571428569</v>
      </c>
      <c r="BK8" s="54"/>
      <c r="BL8" s="26"/>
      <c r="BM8" s="19" t="s">
        <v>51</v>
      </c>
      <c r="BN8" s="2">
        <v>413</v>
      </c>
      <c r="BO8" s="2">
        <v>389</v>
      </c>
      <c r="BP8" s="2">
        <v>782</v>
      </c>
      <c r="BQ8" s="2">
        <v>682</v>
      </c>
      <c r="BR8" s="2">
        <v>801</v>
      </c>
      <c r="BS8" s="2">
        <v>648</v>
      </c>
      <c r="BT8" s="2">
        <v>620</v>
      </c>
      <c r="BU8" s="2">
        <v>427</v>
      </c>
      <c r="BV8" s="2">
        <v>2616</v>
      </c>
      <c r="BW8" s="2">
        <v>2146</v>
      </c>
      <c r="BX8" s="55" t="s">
        <v>53</v>
      </c>
      <c r="BY8" s="25">
        <f t="shared" si="4"/>
        <v>61.285714285714285</v>
      </c>
      <c r="BZ8" s="25">
        <f t="shared" si="5"/>
        <v>2.8571428571428572</v>
      </c>
      <c r="CA8" s="25">
        <f t="shared" si="6"/>
        <v>16.571428571428573</v>
      </c>
      <c r="CB8" s="25">
        <f t="shared" si="7"/>
        <v>20.571428571428573</v>
      </c>
      <c r="CC8" s="25">
        <f t="shared" si="8"/>
        <v>21.285714285714285</v>
      </c>
      <c r="CE8" s="19" t="s">
        <v>51</v>
      </c>
      <c r="CF8" s="2">
        <v>427</v>
      </c>
      <c r="CG8" s="2">
        <v>411</v>
      </c>
      <c r="CH8" s="2">
        <v>696</v>
      </c>
      <c r="CI8" s="2">
        <v>608</v>
      </c>
      <c r="CJ8" s="2">
        <v>876</v>
      </c>
      <c r="CK8" s="2">
        <v>750</v>
      </c>
      <c r="CL8" s="2">
        <v>323</v>
      </c>
      <c r="CM8" s="2">
        <v>255</v>
      </c>
      <c r="CN8" s="2">
        <v>384</v>
      </c>
      <c r="CO8" s="2">
        <v>268</v>
      </c>
      <c r="CP8" s="2">
        <v>2706</v>
      </c>
      <c r="CQ8" s="2">
        <v>2292</v>
      </c>
      <c r="CS8" s="55" t="s">
        <v>53</v>
      </c>
      <c r="CT8" s="25">
        <f t="shared" si="17"/>
        <v>68.571428571428569</v>
      </c>
      <c r="CU8" s="25">
        <f t="shared" si="18"/>
        <v>2.4285714285714284</v>
      </c>
      <c r="CV8" s="25">
        <f t="shared" si="19"/>
        <v>20</v>
      </c>
      <c r="CW8" s="25">
        <f t="shared" si="20"/>
        <v>22.428571428571427</v>
      </c>
      <c r="CX8" s="25">
        <f t="shared" si="21"/>
        <v>8</v>
      </c>
      <c r="CY8" s="25">
        <f t="shared" si="22"/>
        <v>15.714285714285714</v>
      </c>
      <c r="CZ8" s="26">
        <f t="shared" si="23"/>
        <v>23.714285714285715</v>
      </c>
    </row>
    <row r="9" spans="2:104" x14ac:dyDescent="0.25">
      <c r="B9" s="19" t="s">
        <v>285</v>
      </c>
      <c r="C9" s="2">
        <v>2628</v>
      </c>
      <c r="D9" s="2">
        <v>2098</v>
      </c>
      <c r="E9" s="28">
        <f t="shared" si="24"/>
        <v>0.79832572298325721</v>
      </c>
      <c r="F9" s="28"/>
      <c r="G9" s="19" t="s">
        <v>285</v>
      </c>
      <c r="H9" s="2">
        <v>2327</v>
      </c>
      <c r="I9" s="2">
        <v>1763</v>
      </c>
      <c r="J9" s="28">
        <f t="shared" si="25"/>
        <v>0.75762784701332186</v>
      </c>
      <c r="K9" s="28"/>
      <c r="L9" s="19" t="s">
        <v>60</v>
      </c>
      <c r="M9" s="2">
        <v>413</v>
      </c>
      <c r="N9" s="2">
        <v>369</v>
      </c>
      <c r="O9" s="2">
        <v>753</v>
      </c>
      <c r="P9" s="2">
        <v>620</v>
      </c>
      <c r="Q9" s="2">
        <v>776</v>
      </c>
      <c r="R9" s="2">
        <v>627</v>
      </c>
      <c r="S9" s="2">
        <v>624</v>
      </c>
      <c r="T9" s="2">
        <v>400</v>
      </c>
      <c r="U9" s="2">
        <v>2566</v>
      </c>
      <c r="V9" s="2">
        <v>2016</v>
      </c>
      <c r="W9" s="20" t="s">
        <v>54</v>
      </c>
      <c r="X9" s="28">
        <f t="shared" si="9"/>
        <v>0.79832572298325721</v>
      </c>
      <c r="Y9" s="28">
        <f t="shared" si="0"/>
        <v>0.91062801932367154</v>
      </c>
      <c r="Z9" s="28">
        <f t="shared" si="1"/>
        <v>0.80379746835443033</v>
      </c>
      <c r="AA9" s="28">
        <f t="shared" si="2"/>
        <v>0.79228855721393032</v>
      </c>
      <c r="AB9" s="28">
        <f t="shared" si="3"/>
        <v>0.72419354838709682</v>
      </c>
      <c r="AC9" s="28"/>
      <c r="AD9" s="19" t="s">
        <v>52</v>
      </c>
      <c r="AE9" s="2">
        <v>427</v>
      </c>
      <c r="AF9" s="2">
        <v>403</v>
      </c>
      <c r="AG9" s="2">
        <v>650</v>
      </c>
      <c r="AH9" s="2">
        <v>509</v>
      </c>
      <c r="AI9" s="2">
        <v>879</v>
      </c>
      <c r="AJ9" s="2">
        <v>714</v>
      </c>
      <c r="AK9" s="2">
        <v>316</v>
      </c>
      <c r="AL9" s="2">
        <v>256</v>
      </c>
      <c r="AM9" s="2">
        <v>390</v>
      </c>
      <c r="AN9" s="2">
        <v>245</v>
      </c>
      <c r="AO9" s="2">
        <v>2662</v>
      </c>
      <c r="AP9" s="2">
        <v>2127</v>
      </c>
      <c r="AQ9" s="28"/>
      <c r="AR9" s="20" t="s">
        <v>54</v>
      </c>
      <c r="AS9" s="28">
        <f t="shared" si="10"/>
        <v>0.75762784701332186</v>
      </c>
      <c r="AT9" s="28">
        <f t="shared" si="11"/>
        <v>0.88361045130641325</v>
      </c>
      <c r="AU9" s="28">
        <f t="shared" si="12"/>
        <v>0.79212598425196845</v>
      </c>
      <c r="AV9" s="28">
        <f t="shared" si="13"/>
        <v>0.75221238938053092</v>
      </c>
      <c r="AW9" s="28">
        <f t="shared" si="14"/>
        <v>0.85355648535564854</v>
      </c>
      <c r="AX9" s="28">
        <f t="shared" si="15"/>
        <v>0.36929460580912865</v>
      </c>
      <c r="AY9" s="28">
        <f t="shared" si="16"/>
        <v>0.6114255455823886</v>
      </c>
      <c r="AZ9" s="28"/>
      <c r="BA9" s="19" t="s">
        <v>285</v>
      </c>
      <c r="BB9" s="2">
        <v>2628</v>
      </c>
      <c r="BC9" s="2">
        <v>2098</v>
      </c>
      <c r="BD9" s="20">
        <f t="shared" si="26"/>
        <v>75.714285714285708</v>
      </c>
      <c r="BE9">
        <v>101.857142857143</v>
      </c>
      <c r="BG9" s="19" t="s">
        <v>285</v>
      </c>
      <c r="BH9" s="2">
        <v>2327</v>
      </c>
      <c r="BI9" s="2">
        <v>1763</v>
      </c>
      <c r="BJ9" s="26">
        <f t="shared" si="27"/>
        <v>80.571428571428569</v>
      </c>
      <c r="BK9" s="54"/>
      <c r="BL9" s="26"/>
      <c r="BM9" s="19" t="s">
        <v>60</v>
      </c>
      <c r="BN9" s="2">
        <v>413</v>
      </c>
      <c r="BO9" s="2">
        <v>369</v>
      </c>
      <c r="BP9" s="2">
        <v>753</v>
      </c>
      <c r="BQ9" s="2">
        <v>620</v>
      </c>
      <c r="BR9" s="2">
        <v>776</v>
      </c>
      <c r="BS9" s="2">
        <v>627</v>
      </c>
      <c r="BT9" s="2">
        <v>624</v>
      </c>
      <c r="BU9" s="2">
        <v>400</v>
      </c>
      <c r="BV9" s="2">
        <v>2566</v>
      </c>
      <c r="BW9" s="2">
        <v>2016</v>
      </c>
      <c r="BX9" s="55" t="s">
        <v>54</v>
      </c>
      <c r="BY9" s="25">
        <f t="shared" si="4"/>
        <v>75.714285714285708</v>
      </c>
      <c r="BZ9" s="25">
        <f t="shared" si="5"/>
        <v>5.2857142857142856</v>
      </c>
      <c r="CA9" s="25">
        <f t="shared" si="6"/>
        <v>22.142857142857142</v>
      </c>
      <c r="CB9" s="25">
        <f t="shared" si="7"/>
        <v>23.857142857142858</v>
      </c>
      <c r="CC9" s="25">
        <f t="shared" si="8"/>
        <v>24.428571428571427</v>
      </c>
      <c r="CE9" s="19" t="s">
        <v>52</v>
      </c>
      <c r="CF9" s="2">
        <v>427</v>
      </c>
      <c r="CG9" s="2">
        <v>403</v>
      </c>
      <c r="CH9" s="2">
        <v>650</v>
      </c>
      <c r="CI9" s="2">
        <v>509</v>
      </c>
      <c r="CJ9" s="2">
        <v>879</v>
      </c>
      <c r="CK9" s="2">
        <v>714</v>
      </c>
      <c r="CL9" s="2">
        <v>316</v>
      </c>
      <c r="CM9" s="2">
        <v>256</v>
      </c>
      <c r="CN9" s="2">
        <v>390</v>
      </c>
      <c r="CO9" s="2">
        <v>245</v>
      </c>
      <c r="CP9" s="2">
        <v>2662</v>
      </c>
      <c r="CQ9" s="2">
        <v>2127</v>
      </c>
      <c r="CS9" s="55" t="s">
        <v>54</v>
      </c>
      <c r="CT9" s="25">
        <f t="shared" si="17"/>
        <v>80.571428571428569</v>
      </c>
      <c r="CU9" s="25">
        <f t="shared" si="18"/>
        <v>7</v>
      </c>
      <c r="CV9" s="25">
        <f t="shared" si="19"/>
        <v>18.857142857142858</v>
      </c>
      <c r="CW9" s="25">
        <f t="shared" si="20"/>
        <v>28</v>
      </c>
      <c r="CX9" s="25">
        <f t="shared" si="21"/>
        <v>5</v>
      </c>
      <c r="CY9" s="25">
        <f t="shared" si="22"/>
        <v>21.714285714285715</v>
      </c>
      <c r="CZ9" s="26">
        <f t="shared" si="23"/>
        <v>26.714285714285715</v>
      </c>
    </row>
    <row r="10" spans="2:104" x14ac:dyDescent="0.25">
      <c r="B10" s="19" t="s">
        <v>286</v>
      </c>
      <c r="C10" s="2">
        <v>2664</v>
      </c>
      <c r="D10" s="2">
        <v>2072</v>
      </c>
      <c r="E10" s="28">
        <f t="shared" si="24"/>
        <v>0.77777777777777779</v>
      </c>
      <c r="F10" s="28"/>
      <c r="G10" s="19" t="s">
        <v>286</v>
      </c>
      <c r="H10" s="2">
        <v>2385</v>
      </c>
      <c r="I10" s="2">
        <v>1752</v>
      </c>
      <c r="J10" s="28">
        <f t="shared" si="25"/>
        <v>0.73459119496855341</v>
      </c>
      <c r="K10" s="28"/>
      <c r="L10" s="19" t="s">
        <v>61</v>
      </c>
      <c r="M10" s="2">
        <v>413</v>
      </c>
      <c r="N10" s="2">
        <v>352</v>
      </c>
      <c r="O10" s="2">
        <v>742</v>
      </c>
      <c r="P10" s="2">
        <v>580</v>
      </c>
      <c r="Q10" s="2">
        <v>781</v>
      </c>
      <c r="R10" s="2">
        <v>621</v>
      </c>
      <c r="S10" s="2">
        <v>625</v>
      </c>
      <c r="T10" s="2">
        <v>403</v>
      </c>
      <c r="U10" s="2">
        <v>2561</v>
      </c>
      <c r="V10" s="2">
        <v>1956</v>
      </c>
      <c r="W10" s="20" t="s">
        <v>55</v>
      </c>
      <c r="X10" s="28">
        <f t="shared" si="9"/>
        <v>0.77777777777777779</v>
      </c>
      <c r="Y10" s="28">
        <f t="shared" si="0"/>
        <v>0.77239709443099269</v>
      </c>
      <c r="Z10" s="28">
        <f t="shared" si="1"/>
        <v>0.8143564356435643</v>
      </c>
      <c r="AA10" s="28">
        <f t="shared" si="2"/>
        <v>0.77132262051915945</v>
      </c>
      <c r="AB10" s="28">
        <f t="shared" si="3"/>
        <v>0.74290220820189279</v>
      </c>
      <c r="AC10" s="28"/>
      <c r="AD10" s="19" t="s">
        <v>53</v>
      </c>
      <c r="AE10" s="2">
        <v>425</v>
      </c>
      <c r="AF10" s="2">
        <v>408</v>
      </c>
      <c r="AG10" s="2">
        <v>647</v>
      </c>
      <c r="AH10" s="2">
        <v>507</v>
      </c>
      <c r="AI10" s="2">
        <v>784</v>
      </c>
      <c r="AJ10" s="2">
        <v>627</v>
      </c>
      <c r="AK10" s="2">
        <v>298</v>
      </c>
      <c r="AL10" s="2">
        <v>242</v>
      </c>
      <c r="AM10" s="2">
        <v>267</v>
      </c>
      <c r="AN10" s="2">
        <v>157</v>
      </c>
      <c r="AO10" s="2">
        <v>2421</v>
      </c>
      <c r="AP10" s="2">
        <v>1941</v>
      </c>
      <c r="AQ10" s="28"/>
      <c r="AR10" s="20" t="s">
        <v>55</v>
      </c>
      <c r="AS10" s="28">
        <f t="shared" si="10"/>
        <v>0.73459119496855341</v>
      </c>
      <c r="AT10" s="28">
        <f t="shared" si="11"/>
        <v>0.79809976247030878</v>
      </c>
      <c r="AU10" s="28">
        <f t="shared" si="12"/>
        <v>0.7360248447204969</v>
      </c>
      <c r="AV10" s="28">
        <f t="shared" si="13"/>
        <v>0.78661616161616166</v>
      </c>
      <c r="AW10" s="28">
        <f t="shared" si="14"/>
        <v>0.7830508474576271</v>
      </c>
      <c r="AX10" s="28">
        <f t="shared" si="15"/>
        <v>0.37768240343347642</v>
      </c>
      <c r="AY10" s="28">
        <f t="shared" si="16"/>
        <v>0.58036662544555173</v>
      </c>
      <c r="AZ10" s="28"/>
      <c r="BA10" s="19" t="s">
        <v>286</v>
      </c>
      <c r="BB10" s="2">
        <v>2664</v>
      </c>
      <c r="BC10" s="2">
        <v>2072</v>
      </c>
      <c r="BD10" s="20">
        <f t="shared" si="26"/>
        <v>84.571428571428569</v>
      </c>
      <c r="BE10">
        <v>113</v>
      </c>
      <c r="BG10" s="19" t="s">
        <v>286</v>
      </c>
      <c r="BH10" s="2">
        <v>2385</v>
      </c>
      <c r="BI10" s="2">
        <v>1752</v>
      </c>
      <c r="BJ10" s="26">
        <f t="shared" si="27"/>
        <v>90.428571428571431</v>
      </c>
      <c r="BK10" s="54"/>
      <c r="BL10" s="26"/>
      <c r="BM10" s="19" t="s">
        <v>61</v>
      </c>
      <c r="BN10" s="2">
        <v>413</v>
      </c>
      <c r="BO10" s="2">
        <v>352</v>
      </c>
      <c r="BP10" s="2">
        <v>742</v>
      </c>
      <c r="BQ10" s="2">
        <v>580</v>
      </c>
      <c r="BR10" s="2">
        <v>781</v>
      </c>
      <c r="BS10" s="2">
        <v>621</v>
      </c>
      <c r="BT10" s="2">
        <v>625</v>
      </c>
      <c r="BU10" s="2">
        <v>403</v>
      </c>
      <c r="BV10" s="2">
        <v>2561</v>
      </c>
      <c r="BW10" s="2">
        <v>1956</v>
      </c>
      <c r="BX10" s="20" t="s">
        <v>55</v>
      </c>
      <c r="BY10" s="25">
        <f t="shared" si="4"/>
        <v>84.571428571428569</v>
      </c>
      <c r="BZ10" s="25">
        <f t="shared" si="5"/>
        <v>13.428571428571429</v>
      </c>
      <c r="CA10" s="25">
        <f t="shared" si="6"/>
        <v>21.428571428571427</v>
      </c>
      <c r="CB10" s="25">
        <f t="shared" si="7"/>
        <v>26.428571428571427</v>
      </c>
      <c r="CC10" s="25">
        <f t="shared" si="8"/>
        <v>23.285714285714285</v>
      </c>
      <c r="CE10" s="19" t="s">
        <v>53</v>
      </c>
      <c r="CF10" s="2">
        <v>425</v>
      </c>
      <c r="CG10" s="2">
        <v>408</v>
      </c>
      <c r="CH10" s="2">
        <v>647</v>
      </c>
      <c r="CI10" s="2">
        <v>507</v>
      </c>
      <c r="CJ10" s="2">
        <v>784</v>
      </c>
      <c r="CK10" s="2">
        <v>627</v>
      </c>
      <c r="CL10" s="2">
        <v>298</v>
      </c>
      <c r="CM10" s="2">
        <v>242</v>
      </c>
      <c r="CN10" s="2">
        <v>267</v>
      </c>
      <c r="CO10" s="2">
        <v>157</v>
      </c>
      <c r="CP10" s="2">
        <v>2421</v>
      </c>
      <c r="CQ10" s="2">
        <v>1941</v>
      </c>
      <c r="CS10" s="20" t="s">
        <v>55</v>
      </c>
      <c r="CT10" s="25">
        <f t="shared" si="17"/>
        <v>90.428571428571431</v>
      </c>
      <c r="CU10" s="25">
        <f t="shared" si="18"/>
        <v>12.142857142857142</v>
      </c>
      <c r="CV10" s="25">
        <f t="shared" si="19"/>
        <v>24.285714285714285</v>
      </c>
      <c r="CW10" s="25">
        <f t="shared" si="20"/>
        <v>24.142857142857142</v>
      </c>
      <c r="CX10" s="25">
        <f t="shared" si="21"/>
        <v>9.1428571428571423</v>
      </c>
      <c r="CY10" s="25">
        <f t="shared" si="22"/>
        <v>20.714285714285715</v>
      </c>
      <c r="CZ10" s="26">
        <f t="shared" si="23"/>
        <v>29.857142857142858</v>
      </c>
    </row>
    <row r="11" spans="2:104" x14ac:dyDescent="0.25">
      <c r="B11" s="19" t="s">
        <v>287</v>
      </c>
      <c r="C11" s="2">
        <v>2635</v>
      </c>
      <c r="D11" s="2">
        <v>2039</v>
      </c>
      <c r="E11" s="28">
        <f t="shared" si="24"/>
        <v>0.77381404174573054</v>
      </c>
      <c r="F11" s="28"/>
      <c r="G11"/>
      <c r="H11"/>
      <c r="I11"/>
      <c r="J11" s="28" t="e">
        <f t="shared" si="25"/>
        <v>#DIV/0!</v>
      </c>
      <c r="K11" s="28"/>
      <c r="L11" s="19" t="s">
        <v>62</v>
      </c>
      <c r="M11" s="2">
        <v>414</v>
      </c>
      <c r="N11" s="2">
        <v>361</v>
      </c>
      <c r="O11" s="2">
        <v>730</v>
      </c>
      <c r="P11" s="2">
        <v>602</v>
      </c>
      <c r="Q11" s="2">
        <v>776</v>
      </c>
      <c r="R11" s="2">
        <v>622</v>
      </c>
      <c r="S11" s="2">
        <v>624</v>
      </c>
      <c r="T11" s="2">
        <v>395</v>
      </c>
      <c r="U11" s="2">
        <v>2544</v>
      </c>
      <c r="V11" s="2">
        <v>1980</v>
      </c>
      <c r="W11" s="20" t="s">
        <v>56</v>
      </c>
      <c r="X11" s="28">
        <f t="shared" si="9"/>
        <v>0.77381404174573054</v>
      </c>
      <c r="Y11" s="28">
        <f t="shared" si="0"/>
        <v>0.80629539951573848</v>
      </c>
      <c r="Z11" s="28">
        <f t="shared" si="1"/>
        <v>0.78880407124681939</v>
      </c>
      <c r="AA11" s="28">
        <f t="shared" si="2"/>
        <v>0.79228855721393032</v>
      </c>
      <c r="AB11" s="28">
        <f t="shared" si="3"/>
        <v>0.71044303797468356</v>
      </c>
      <c r="AC11" s="28"/>
      <c r="AD11" s="19" t="s">
        <v>54</v>
      </c>
      <c r="AE11" s="2">
        <v>421</v>
      </c>
      <c r="AF11" s="2">
        <v>372</v>
      </c>
      <c r="AG11" s="2">
        <v>635</v>
      </c>
      <c r="AH11" s="2">
        <v>503</v>
      </c>
      <c r="AI11" s="2">
        <v>791</v>
      </c>
      <c r="AJ11" s="2">
        <v>595</v>
      </c>
      <c r="AK11" s="2">
        <v>239</v>
      </c>
      <c r="AL11" s="2">
        <v>204</v>
      </c>
      <c r="AM11" s="2">
        <v>241</v>
      </c>
      <c r="AN11" s="2">
        <v>89</v>
      </c>
      <c r="AO11" s="2">
        <v>2327</v>
      </c>
      <c r="AP11" s="2">
        <v>1763</v>
      </c>
      <c r="AQ11" s="28"/>
      <c r="AR11" s="20" t="s">
        <v>56</v>
      </c>
      <c r="AS11" s="28" t="e">
        <f t="shared" si="10"/>
        <v>#N/A</v>
      </c>
      <c r="AT11" s="28" t="e">
        <f t="shared" si="11"/>
        <v>#N/A</v>
      </c>
      <c r="AU11" s="28" t="e">
        <f t="shared" si="12"/>
        <v>#N/A</v>
      </c>
      <c r="AV11" s="28" t="e">
        <f t="shared" si="13"/>
        <v>#N/A</v>
      </c>
      <c r="AW11" s="28" t="e">
        <f t="shared" si="14"/>
        <v>#N/A</v>
      </c>
      <c r="AX11" s="28" t="e">
        <f t="shared" si="15"/>
        <v>#N/A</v>
      </c>
      <c r="AY11" s="28" t="e">
        <f t="shared" si="16"/>
        <v>#N/A</v>
      </c>
      <c r="AZ11" s="28"/>
      <c r="BA11" s="19" t="s">
        <v>287</v>
      </c>
      <c r="BB11" s="2">
        <v>2635</v>
      </c>
      <c r="BC11" s="2">
        <v>2039</v>
      </c>
      <c r="BD11" s="20">
        <f t="shared" si="26"/>
        <v>85.142857142857139</v>
      </c>
      <c r="BE11">
        <v>115</v>
      </c>
      <c r="BJ11" s="26">
        <f t="shared" si="27"/>
        <v>0</v>
      </c>
      <c r="BK11" s="54"/>
      <c r="BL11" s="26"/>
      <c r="BM11" s="19" t="s">
        <v>62</v>
      </c>
      <c r="BN11" s="2">
        <v>414</v>
      </c>
      <c r="BO11" s="2">
        <v>361</v>
      </c>
      <c r="BP11" s="2">
        <v>730</v>
      </c>
      <c r="BQ11" s="2">
        <v>602</v>
      </c>
      <c r="BR11" s="2">
        <v>776</v>
      </c>
      <c r="BS11" s="2">
        <v>622</v>
      </c>
      <c r="BT11" s="2">
        <v>624</v>
      </c>
      <c r="BU11" s="2">
        <v>395</v>
      </c>
      <c r="BV11" s="2">
        <v>2544</v>
      </c>
      <c r="BW11" s="2">
        <v>1980</v>
      </c>
      <c r="BX11" s="20" t="s">
        <v>56</v>
      </c>
      <c r="BY11" s="25">
        <f t="shared" si="4"/>
        <v>85.142857142857139</v>
      </c>
      <c r="BZ11" s="25">
        <f t="shared" si="5"/>
        <v>11.428571428571429</v>
      </c>
      <c r="CA11" s="25">
        <f t="shared" si="6"/>
        <v>23.714285714285715</v>
      </c>
      <c r="CB11" s="25">
        <f t="shared" si="7"/>
        <v>23.857142857142858</v>
      </c>
      <c r="CC11" s="25">
        <f t="shared" si="8"/>
        <v>26.142857142857142</v>
      </c>
      <c r="CE11" s="19" t="s">
        <v>54</v>
      </c>
      <c r="CF11" s="2">
        <v>421</v>
      </c>
      <c r="CG11" s="2">
        <v>372</v>
      </c>
      <c r="CH11" s="2">
        <v>635</v>
      </c>
      <c r="CI11" s="2">
        <v>503</v>
      </c>
      <c r="CJ11" s="2">
        <v>791</v>
      </c>
      <c r="CK11" s="2">
        <v>595</v>
      </c>
      <c r="CL11" s="2">
        <v>239</v>
      </c>
      <c r="CM11" s="2">
        <v>204</v>
      </c>
      <c r="CN11" s="2">
        <v>241</v>
      </c>
      <c r="CO11" s="2">
        <v>89</v>
      </c>
      <c r="CP11" s="2">
        <v>2327</v>
      </c>
      <c r="CQ11" s="2">
        <v>1763</v>
      </c>
      <c r="CS11" s="20" t="s">
        <v>56</v>
      </c>
      <c r="CT11" s="25" t="e">
        <f t="shared" si="17"/>
        <v>#N/A</v>
      </c>
      <c r="CU11" s="25" t="e">
        <f t="shared" si="18"/>
        <v>#N/A</v>
      </c>
      <c r="CV11" s="25" t="e">
        <f t="shared" si="19"/>
        <v>#N/A</v>
      </c>
      <c r="CW11" s="25" t="e">
        <f t="shared" si="20"/>
        <v>#N/A</v>
      </c>
      <c r="CX11" s="25" t="e">
        <f t="shared" si="21"/>
        <v>#N/A</v>
      </c>
      <c r="CY11" s="25" t="e">
        <f t="shared" si="22"/>
        <v>#N/A</v>
      </c>
      <c r="CZ11" s="26" t="e">
        <f t="shared" si="23"/>
        <v>#N/A</v>
      </c>
    </row>
    <row r="12" spans="2:104" x14ac:dyDescent="0.25">
      <c r="B12" s="19" t="s">
        <v>288</v>
      </c>
      <c r="C12" s="2">
        <v>2617</v>
      </c>
      <c r="D12" s="2">
        <v>1950</v>
      </c>
      <c r="E12" s="28">
        <f t="shared" si="24"/>
        <v>0.74512800917080624</v>
      </c>
      <c r="F12" s="28"/>
      <c r="G12"/>
      <c r="H12"/>
      <c r="I12"/>
      <c r="J12" s="28" t="e">
        <f t="shared" si="25"/>
        <v>#DIV/0!</v>
      </c>
      <c r="K12" s="28"/>
      <c r="L12" s="19" t="s">
        <v>63</v>
      </c>
      <c r="M12" s="2">
        <v>419</v>
      </c>
      <c r="N12" s="2">
        <v>360</v>
      </c>
      <c r="O12" s="2">
        <v>741</v>
      </c>
      <c r="P12" s="2">
        <v>608</v>
      </c>
      <c r="Q12" s="2">
        <v>791</v>
      </c>
      <c r="R12" s="2">
        <v>602</v>
      </c>
      <c r="S12" s="2">
        <v>627</v>
      </c>
      <c r="T12" s="2">
        <v>386</v>
      </c>
      <c r="U12" s="2">
        <v>2578</v>
      </c>
      <c r="V12" s="2">
        <v>1956</v>
      </c>
      <c r="W12" s="20" t="s">
        <v>57</v>
      </c>
      <c r="X12" s="28">
        <f t="shared" si="9"/>
        <v>0.74512800917080624</v>
      </c>
      <c r="Y12" s="28">
        <f t="shared" si="0"/>
        <v>0.82082324455205813</v>
      </c>
      <c r="Z12" s="28">
        <f t="shared" si="1"/>
        <v>0.72691807542262676</v>
      </c>
      <c r="AA12" s="28">
        <f t="shared" si="2"/>
        <v>0.76019777503090236</v>
      </c>
      <c r="AB12" s="28">
        <f t="shared" si="3"/>
        <v>0.69808306709265178</v>
      </c>
      <c r="AC12" s="28"/>
      <c r="AD12" s="19" t="s">
        <v>55</v>
      </c>
      <c r="AE12" s="2">
        <v>421</v>
      </c>
      <c r="AF12" s="2">
        <v>336</v>
      </c>
      <c r="AG12" s="2">
        <v>644</v>
      </c>
      <c r="AH12" s="2">
        <v>474</v>
      </c>
      <c r="AI12" s="2">
        <v>792</v>
      </c>
      <c r="AJ12" s="2">
        <v>623</v>
      </c>
      <c r="AK12" s="2">
        <v>295</v>
      </c>
      <c r="AL12" s="2">
        <v>231</v>
      </c>
      <c r="AM12" s="2">
        <v>233</v>
      </c>
      <c r="AN12" s="2">
        <v>88</v>
      </c>
      <c r="AO12" s="2">
        <v>2385</v>
      </c>
      <c r="AP12" s="2">
        <v>1752</v>
      </c>
      <c r="AQ12" s="28"/>
      <c r="AR12" s="20" t="s">
        <v>57</v>
      </c>
      <c r="AS12" s="28" t="e">
        <f t="shared" si="10"/>
        <v>#N/A</v>
      </c>
      <c r="AT12" s="28" t="e">
        <f t="shared" si="11"/>
        <v>#N/A</v>
      </c>
      <c r="AU12" s="28" t="e">
        <f t="shared" si="12"/>
        <v>#N/A</v>
      </c>
      <c r="AV12" s="28" t="e">
        <f t="shared" si="13"/>
        <v>#N/A</v>
      </c>
      <c r="AW12" s="28" t="e">
        <f t="shared" si="14"/>
        <v>#N/A</v>
      </c>
      <c r="AX12" s="28" t="e">
        <f t="shared" si="15"/>
        <v>#N/A</v>
      </c>
      <c r="AY12" s="28" t="e">
        <f t="shared" si="16"/>
        <v>#N/A</v>
      </c>
      <c r="AZ12" s="28"/>
      <c r="BA12" s="19" t="s">
        <v>288</v>
      </c>
      <c r="BB12" s="2">
        <v>2617</v>
      </c>
      <c r="BC12" s="2">
        <v>1950</v>
      </c>
      <c r="BD12" s="20">
        <f t="shared" si="26"/>
        <v>95.285714285714292</v>
      </c>
      <c r="BE12">
        <v>107.14285714285714</v>
      </c>
      <c r="BJ12" s="26">
        <f t="shared" si="27"/>
        <v>0</v>
      </c>
      <c r="BK12" s="54"/>
      <c r="BL12" s="26"/>
      <c r="BM12" s="19" t="s">
        <v>63</v>
      </c>
      <c r="BN12" s="2">
        <v>419</v>
      </c>
      <c r="BO12" s="2">
        <v>360</v>
      </c>
      <c r="BP12" s="2">
        <v>741</v>
      </c>
      <c r="BQ12" s="2">
        <v>608</v>
      </c>
      <c r="BR12" s="2">
        <v>791</v>
      </c>
      <c r="BS12" s="2">
        <v>602</v>
      </c>
      <c r="BT12" s="2">
        <v>627</v>
      </c>
      <c r="BU12" s="2">
        <v>386</v>
      </c>
      <c r="BV12" s="2">
        <v>2578</v>
      </c>
      <c r="BW12" s="2">
        <v>1956</v>
      </c>
      <c r="BX12" s="20" t="s">
        <v>57</v>
      </c>
      <c r="BY12" s="25">
        <f t="shared" si="4"/>
        <v>95.285714285714292</v>
      </c>
      <c r="BZ12" s="25">
        <f t="shared" si="5"/>
        <v>10.571428571428571</v>
      </c>
      <c r="CA12" s="25">
        <f t="shared" si="6"/>
        <v>30</v>
      </c>
      <c r="CB12" s="25">
        <f t="shared" si="7"/>
        <v>27.714285714285715</v>
      </c>
      <c r="CC12" s="25">
        <f t="shared" si="8"/>
        <v>27</v>
      </c>
      <c r="CE12" s="19" t="s">
        <v>55</v>
      </c>
      <c r="CF12" s="2">
        <v>421</v>
      </c>
      <c r="CG12" s="2">
        <v>336</v>
      </c>
      <c r="CH12" s="2">
        <v>644</v>
      </c>
      <c r="CI12" s="2">
        <v>474</v>
      </c>
      <c r="CJ12" s="2">
        <v>792</v>
      </c>
      <c r="CK12" s="2">
        <v>623</v>
      </c>
      <c r="CL12" s="2">
        <v>295</v>
      </c>
      <c r="CM12" s="2">
        <v>231</v>
      </c>
      <c r="CN12" s="2">
        <v>233</v>
      </c>
      <c r="CO12" s="2">
        <v>88</v>
      </c>
      <c r="CP12" s="2">
        <v>2385</v>
      </c>
      <c r="CQ12" s="2">
        <v>1752</v>
      </c>
      <c r="CS12" s="20" t="s">
        <v>57</v>
      </c>
      <c r="CT12" s="25" t="e">
        <f t="shared" si="17"/>
        <v>#N/A</v>
      </c>
      <c r="CU12" s="25" t="e">
        <f t="shared" si="18"/>
        <v>#N/A</v>
      </c>
      <c r="CV12" s="25" t="e">
        <f t="shared" si="19"/>
        <v>#N/A</v>
      </c>
      <c r="CW12" s="25" t="e">
        <f t="shared" si="20"/>
        <v>#N/A</v>
      </c>
      <c r="CX12" s="25" t="e">
        <f t="shared" si="21"/>
        <v>#N/A</v>
      </c>
      <c r="CY12" s="25" t="e">
        <f t="shared" si="22"/>
        <v>#N/A</v>
      </c>
      <c r="CZ12" s="26" t="e">
        <f t="shared" si="23"/>
        <v>#N/A</v>
      </c>
    </row>
    <row r="13" spans="2:104" x14ac:dyDescent="0.25">
      <c r="B13" s="19" t="s">
        <v>289</v>
      </c>
      <c r="C13" s="2">
        <v>2585</v>
      </c>
      <c r="D13" s="2">
        <v>2004</v>
      </c>
      <c r="E13" s="28">
        <f t="shared" si="24"/>
        <v>0.7752417794970986</v>
      </c>
      <c r="F13" s="28"/>
      <c r="G13"/>
      <c r="H13"/>
      <c r="I13"/>
      <c r="J13" s="28" t="e">
        <f t="shared" si="25"/>
        <v>#DIV/0!</v>
      </c>
      <c r="K13" s="28"/>
      <c r="L13" s="19" t="s">
        <v>64</v>
      </c>
      <c r="M13" s="2">
        <v>419</v>
      </c>
      <c r="N13" s="2">
        <v>337</v>
      </c>
      <c r="O13" s="2">
        <v>739</v>
      </c>
      <c r="P13" s="2">
        <v>610</v>
      </c>
      <c r="Q13" s="2">
        <v>803</v>
      </c>
      <c r="R13" s="2">
        <v>583</v>
      </c>
      <c r="S13" s="2">
        <v>610</v>
      </c>
      <c r="T13" s="2">
        <v>355</v>
      </c>
      <c r="U13" s="2">
        <v>2571</v>
      </c>
      <c r="V13" s="2">
        <v>1885</v>
      </c>
      <c r="W13" s="20" t="s">
        <v>58</v>
      </c>
      <c r="X13" s="28">
        <f t="shared" si="9"/>
        <v>0.7752417794970986</v>
      </c>
      <c r="Y13" s="28">
        <f t="shared" si="0"/>
        <v>0.84745762711864403</v>
      </c>
      <c r="Z13" s="28">
        <f t="shared" si="1"/>
        <v>0.77105263157894732</v>
      </c>
      <c r="AA13" s="28">
        <f t="shared" si="2"/>
        <v>0.81829733163913598</v>
      </c>
      <c r="AB13" s="28">
        <f t="shared" si="3"/>
        <v>0.6784</v>
      </c>
      <c r="AC13" s="28"/>
      <c r="AD13" s="19" t="s">
        <v>46</v>
      </c>
      <c r="AE13" s="2">
        <v>2121</v>
      </c>
      <c r="AF13" s="2">
        <v>1930</v>
      </c>
      <c r="AG13" s="2">
        <v>3272</v>
      </c>
      <c r="AH13" s="2">
        <v>2601</v>
      </c>
      <c r="AI13" s="2">
        <v>4122</v>
      </c>
      <c r="AJ13" s="2">
        <v>3309</v>
      </c>
      <c r="AK13" s="2">
        <v>1471</v>
      </c>
      <c r="AL13" s="2">
        <v>1188</v>
      </c>
      <c r="AM13" s="2">
        <v>1515</v>
      </c>
      <c r="AN13" s="2">
        <v>847</v>
      </c>
      <c r="AO13" s="2">
        <v>12501</v>
      </c>
      <c r="AP13" s="2">
        <v>9875</v>
      </c>
      <c r="AQ13" s="28"/>
      <c r="AR13" s="20" t="s">
        <v>58</v>
      </c>
      <c r="AS13" s="28" t="e">
        <f t="shared" si="10"/>
        <v>#N/A</v>
      </c>
      <c r="AT13" s="28" t="e">
        <f t="shared" si="11"/>
        <v>#N/A</v>
      </c>
      <c r="AU13" s="28" t="e">
        <f t="shared" si="12"/>
        <v>#N/A</v>
      </c>
      <c r="AV13" s="28" t="e">
        <f t="shared" si="13"/>
        <v>#N/A</v>
      </c>
      <c r="AW13" s="28" t="e">
        <f t="shared" si="14"/>
        <v>#N/A</v>
      </c>
      <c r="AX13" s="28" t="e">
        <f t="shared" si="15"/>
        <v>#N/A</v>
      </c>
      <c r="AY13" s="28" t="e">
        <f t="shared" si="16"/>
        <v>#N/A</v>
      </c>
      <c r="AZ13" s="28"/>
      <c r="BA13" s="19" t="s">
        <v>289</v>
      </c>
      <c r="BB13" s="2">
        <v>2585</v>
      </c>
      <c r="BC13" s="2">
        <v>2004</v>
      </c>
      <c r="BD13" s="20">
        <f t="shared" si="26"/>
        <v>83</v>
      </c>
      <c r="BE13">
        <v>127.14285714285714</v>
      </c>
      <c r="BJ13" s="26">
        <f t="shared" si="27"/>
        <v>0</v>
      </c>
      <c r="BK13" s="54"/>
      <c r="BL13" s="26"/>
      <c r="BM13" s="19" t="s">
        <v>64</v>
      </c>
      <c r="BN13" s="2">
        <v>419</v>
      </c>
      <c r="BO13" s="2">
        <v>337</v>
      </c>
      <c r="BP13" s="2">
        <v>739</v>
      </c>
      <c r="BQ13" s="2">
        <v>610</v>
      </c>
      <c r="BR13" s="2">
        <v>803</v>
      </c>
      <c r="BS13" s="2">
        <v>583</v>
      </c>
      <c r="BT13" s="2">
        <v>610</v>
      </c>
      <c r="BU13" s="2">
        <v>355</v>
      </c>
      <c r="BV13" s="2">
        <v>2571</v>
      </c>
      <c r="BW13" s="2">
        <v>1885</v>
      </c>
      <c r="BX13" s="20" t="s">
        <v>58</v>
      </c>
      <c r="BY13" s="25">
        <f t="shared" si="4"/>
        <v>83</v>
      </c>
      <c r="BZ13" s="25">
        <f t="shared" si="5"/>
        <v>9</v>
      </c>
      <c r="CA13" s="25">
        <f t="shared" si="6"/>
        <v>24.857142857142858</v>
      </c>
      <c r="CB13" s="25">
        <f t="shared" si="7"/>
        <v>20.428571428571427</v>
      </c>
      <c r="CC13" s="25">
        <f t="shared" si="8"/>
        <v>28.714285714285715</v>
      </c>
      <c r="CE13" s="19" t="s">
        <v>46</v>
      </c>
      <c r="CF13" s="2">
        <v>2121</v>
      </c>
      <c r="CG13" s="2">
        <v>1930</v>
      </c>
      <c r="CH13" s="2">
        <v>3272</v>
      </c>
      <c r="CI13" s="2">
        <v>2601</v>
      </c>
      <c r="CJ13" s="2">
        <v>4122</v>
      </c>
      <c r="CK13" s="2">
        <v>3309</v>
      </c>
      <c r="CL13" s="2">
        <v>1471</v>
      </c>
      <c r="CM13" s="2">
        <v>1188</v>
      </c>
      <c r="CN13" s="2">
        <v>1515</v>
      </c>
      <c r="CO13" s="2">
        <v>847</v>
      </c>
      <c r="CP13" s="2">
        <v>12501</v>
      </c>
      <c r="CQ13" s="2">
        <v>9875</v>
      </c>
      <c r="CS13" s="20" t="s">
        <v>58</v>
      </c>
      <c r="CT13" s="25" t="e">
        <f t="shared" si="17"/>
        <v>#N/A</v>
      </c>
      <c r="CU13" s="25" t="e">
        <f t="shared" si="18"/>
        <v>#N/A</v>
      </c>
      <c r="CV13" s="25" t="e">
        <f t="shared" si="19"/>
        <v>#N/A</v>
      </c>
      <c r="CW13" s="25" t="e">
        <f t="shared" si="20"/>
        <v>#N/A</v>
      </c>
      <c r="CX13" s="25" t="e">
        <f t="shared" si="21"/>
        <v>#N/A</v>
      </c>
      <c r="CY13" s="25" t="e">
        <f t="shared" si="22"/>
        <v>#N/A</v>
      </c>
      <c r="CZ13" s="26" t="e">
        <f t="shared" si="23"/>
        <v>#N/A</v>
      </c>
    </row>
    <row r="14" spans="2:104" x14ac:dyDescent="0.25">
      <c r="B14" s="19" t="s">
        <v>290</v>
      </c>
      <c r="C14" s="2">
        <v>2582</v>
      </c>
      <c r="D14" s="2">
        <v>1990</v>
      </c>
      <c r="E14" s="28">
        <f t="shared" si="24"/>
        <v>0.77072037180480246</v>
      </c>
      <c r="F14" s="28"/>
      <c r="G14"/>
      <c r="H14"/>
      <c r="I14"/>
      <c r="J14" s="28" t="e">
        <f t="shared" si="25"/>
        <v>#DIV/0!</v>
      </c>
      <c r="K14" s="28"/>
      <c r="L14" s="19" t="s">
        <v>52</v>
      </c>
      <c r="M14" s="2">
        <v>417</v>
      </c>
      <c r="N14" s="2">
        <v>388</v>
      </c>
      <c r="O14" s="2">
        <v>776</v>
      </c>
      <c r="P14" s="2">
        <v>667</v>
      </c>
      <c r="Q14" s="2">
        <v>804</v>
      </c>
      <c r="R14" s="2">
        <v>674</v>
      </c>
      <c r="S14" s="2">
        <v>593</v>
      </c>
      <c r="T14" s="2">
        <v>409</v>
      </c>
      <c r="U14" s="2">
        <v>2590</v>
      </c>
      <c r="V14" s="2">
        <v>2138</v>
      </c>
      <c r="W14" s="20" t="s">
        <v>59</v>
      </c>
      <c r="X14" s="28">
        <f t="shared" si="9"/>
        <v>0.77072037180480246</v>
      </c>
      <c r="Y14" s="28">
        <f t="shared" si="0"/>
        <v>0.84503631961259085</v>
      </c>
      <c r="Z14" s="28">
        <f t="shared" si="1"/>
        <v>0.80764163372859021</v>
      </c>
      <c r="AA14" s="28">
        <f t="shared" si="2"/>
        <v>0.77394636015325668</v>
      </c>
      <c r="AB14" s="28">
        <f t="shared" si="3"/>
        <v>0.67304625199362045</v>
      </c>
      <c r="AC14" s="28"/>
      <c r="AO14" s="28"/>
      <c r="AP14" s="28"/>
      <c r="AQ14" s="28"/>
      <c r="AR14" s="20" t="s">
        <v>59</v>
      </c>
      <c r="AS14" s="28" t="e">
        <f t="shared" si="10"/>
        <v>#N/A</v>
      </c>
      <c r="AT14" s="28" t="e">
        <f t="shared" si="11"/>
        <v>#N/A</v>
      </c>
      <c r="AU14" s="28" t="e">
        <f t="shared" si="12"/>
        <v>#N/A</v>
      </c>
      <c r="AV14" s="28" t="e">
        <f t="shared" si="13"/>
        <v>#N/A</v>
      </c>
      <c r="AW14" s="28" t="e">
        <f t="shared" si="14"/>
        <v>#N/A</v>
      </c>
      <c r="AX14" s="28" t="e">
        <f t="shared" si="15"/>
        <v>#N/A</v>
      </c>
      <c r="AY14" s="28" t="e">
        <f t="shared" si="16"/>
        <v>#N/A</v>
      </c>
      <c r="AZ14" s="28"/>
      <c r="BA14" s="19" t="s">
        <v>290</v>
      </c>
      <c r="BB14" s="2">
        <v>2582</v>
      </c>
      <c r="BC14" s="2">
        <v>1990</v>
      </c>
      <c r="BD14" s="20">
        <f t="shared" si="26"/>
        <v>84.571428571428569</v>
      </c>
      <c r="BE14">
        <v>97.714285714285708</v>
      </c>
      <c r="BJ14" s="26">
        <f t="shared" si="27"/>
        <v>0</v>
      </c>
      <c r="BK14" s="54"/>
      <c r="BL14" s="26"/>
      <c r="BM14" s="19" t="s">
        <v>52</v>
      </c>
      <c r="BN14" s="2">
        <v>417</v>
      </c>
      <c r="BO14" s="2">
        <v>388</v>
      </c>
      <c r="BP14" s="2">
        <v>776</v>
      </c>
      <c r="BQ14" s="2">
        <v>667</v>
      </c>
      <c r="BR14" s="2">
        <v>804</v>
      </c>
      <c r="BS14" s="2">
        <v>674</v>
      </c>
      <c r="BT14" s="2">
        <v>593</v>
      </c>
      <c r="BU14" s="2">
        <v>409</v>
      </c>
      <c r="BV14" s="2">
        <v>2590</v>
      </c>
      <c r="BW14" s="2">
        <v>2138</v>
      </c>
      <c r="BX14" s="20" t="s">
        <v>59</v>
      </c>
      <c r="BY14" s="25">
        <f t="shared" si="4"/>
        <v>84.571428571428569</v>
      </c>
      <c r="BZ14" s="25">
        <f t="shared" si="5"/>
        <v>9.1428571428571423</v>
      </c>
      <c r="CA14" s="25">
        <f t="shared" si="6"/>
        <v>20.857142857142858</v>
      </c>
      <c r="CB14" s="25">
        <f t="shared" si="7"/>
        <v>25.285714285714285</v>
      </c>
      <c r="CC14" s="25">
        <f t="shared" si="8"/>
        <v>29.285714285714285</v>
      </c>
      <c r="CS14" s="20" t="s">
        <v>59</v>
      </c>
      <c r="CT14" s="25" t="e">
        <f t="shared" si="17"/>
        <v>#N/A</v>
      </c>
      <c r="CU14" s="25" t="e">
        <f t="shared" si="18"/>
        <v>#N/A</v>
      </c>
      <c r="CV14" s="25" t="e">
        <f t="shared" si="19"/>
        <v>#N/A</v>
      </c>
      <c r="CW14" s="25" t="e">
        <f t="shared" si="20"/>
        <v>#N/A</v>
      </c>
      <c r="CX14" s="25" t="e">
        <f t="shared" si="21"/>
        <v>#N/A</v>
      </c>
      <c r="CY14" s="25" t="e">
        <f t="shared" si="22"/>
        <v>#N/A</v>
      </c>
      <c r="CZ14" s="26" t="e">
        <f t="shared" si="23"/>
        <v>#N/A</v>
      </c>
    </row>
    <row r="15" spans="2:104" x14ac:dyDescent="0.25">
      <c r="B15" s="19" t="s">
        <v>291</v>
      </c>
      <c r="C15" s="2">
        <v>2566</v>
      </c>
      <c r="D15" s="2">
        <v>2016</v>
      </c>
      <c r="E15" s="28">
        <f t="shared" si="24"/>
        <v>0.78565861262665626</v>
      </c>
      <c r="F15" s="28"/>
      <c r="G15"/>
      <c r="H15"/>
      <c r="I15"/>
      <c r="J15" s="28" t="e">
        <f t="shared" si="25"/>
        <v>#DIV/0!</v>
      </c>
      <c r="K15" s="28"/>
      <c r="L15" s="19" t="s">
        <v>53</v>
      </c>
      <c r="M15" s="2">
        <v>416</v>
      </c>
      <c r="N15" s="2">
        <v>396</v>
      </c>
      <c r="O15" s="2">
        <v>771</v>
      </c>
      <c r="P15" s="2">
        <v>655</v>
      </c>
      <c r="Q15" s="2">
        <v>807</v>
      </c>
      <c r="R15" s="2">
        <v>663</v>
      </c>
      <c r="S15" s="2">
        <v>625</v>
      </c>
      <c r="T15" s="2">
        <v>476</v>
      </c>
      <c r="U15" s="2">
        <v>2619</v>
      </c>
      <c r="V15" s="2">
        <v>2190</v>
      </c>
      <c r="W15" s="20" t="s">
        <v>60</v>
      </c>
      <c r="X15" s="28">
        <f t="shared" si="9"/>
        <v>0.78565861262665626</v>
      </c>
      <c r="Y15" s="28">
        <f t="shared" si="0"/>
        <v>0.89346246973365617</v>
      </c>
      <c r="Z15" s="28">
        <f t="shared" si="1"/>
        <v>0.82337317397078358</v>
      </c>
      <c r="AA15" s="28">
        <f t="shared" si="2"/>
        <v>0.8079896907216495</v>
      </c>
      <c r="AB15" s="28">
        <f t="shared" si="3"/>
        <v>0.64102564102564108</v>
      </c>
      <c r="AC15" s="28"/>
      <c r="AO15" s="28"/>
      <c r="AP15" s="28"/>
      <c r="AQ15" s="28"/>
      <c r="AR15" s="20" t="s">
        <v>60</v>
      </c>
      <c r="AS15" s="28" t="e">
        <f t="shared" si="10"/>
        <v>#N/A</v>
      </c>
      <c r="AT15" s="28" t="e">
        <f t="shared" si="11"/>
        <v>#N/A</v>
      </c>
      <c r="AU15" s="28" t="e">
        <f t="shared" si="12"/>
        <v>#N/A</v>
      </c>
      <c r="AV15" s="28" t="e">
        <f t="shared" si="13"/>
        <v>#N/A</v>
      </c>
      <c r="AW15" s="28" t="e">
        <f t="shared" si="14"/>
        <v>#N/A</v>
      </c>
      <c r="AX15" s="28" t="e">
        <f t="shared" si="15"/>
        <v>#N/A</v>
      </c>
      <c r="AY15" s="28" t="e">
        <f t="shared" si="16"/>
        <v>#N/A</v>
      </c>
      <c r="AZ15" s="28"/>
      <c r="BA15" s="19" t="s">
        <v>291</v>
      </c>
      <c r="BB15" s="2">
        <v>2566</v>
      </c>
      <c r="BC15" s="2">
        <v>2016</v>
      </c>
      <c r="BD15" s="20">
        <f t="shared" si="26"/>
        <v>78.571428571428569</v>
      </c>
      <c r="BE15">
        <v>114.28571428571429</v>
      </c>
      <c r="BJ15" s="26">
        <f t="shared" si="27"/>
        <v>0</v>
      </c>
      <c r="BK15" s="54"/>
      <c r="BL15" s="26"/>
      <c r="BM15" s="19" t="s">
        <v>53</v>
      </c>
      <c r="BN15" s="2">
        <v>416</v>
      </c>
      <c r="BO15" s="2">
        <v>396</v>
      </c>
      <c r="BP15" s="2">
        <v>771</v>
      </c>
      <c r="BQ15" s="2">
        <v>655</v>
      </c>
      <c r="BR15" s="2">
        <v>807</v>
      </c>
      <c r="BS15" s="2">
        <v>663</v>
      </c>
      <c r="BT15" s="2">
        <v>625</v>
      </c>
      <c r="BU15" s="2">
        <v>476</v>
      </c>
      <c r="BV15" s="2">
        <v>2619</v>
      </c>
      <c r="BW15" s="2">
        <v>2190</v>
      </c>
      <c r="BX15" s="20" t="s">
        <v>60</v>
      </c>
      <c r="BY15" s="25">
        <f t="shared" si="4"/>
        <v>78.571428571428569</v>
      </c>
      <c r="BZ15" s="25">
        <f t="shared" si="5"/>
        <v>6.2857142857142856</v>
      </c>
      <c r="CA15" s="25">
        <f t="shared" si="6"/>
        <v>19</v>
      </c>
      <c r="CB15" s="25">
        <f t="shared" si="7"/>
        <v>21.285714285714285</v>
      </c>
      <c r="CC15" s="25">
        <f t="shared" si="8"/>
        <v>32</v>
      </c>
      <c r="CS15" s="20" t="s">
        <v>60</v>
      </c>
      <c r="CT15" s="25" t="e">
        <f t="shared" si="17"/>
        <v>#N/A</v>
      </c>
      <c r="CU15" s="25" t="e">
        <f t="shared" si="18"/>
        <v>#N/A</v>
      </c>
      <c r="CV15" s="25" t="e">
        <f t="shared" si="19"/>
        <v>#N/A</v>
      </c>
      <c r="CW15" s="25" t="e">
        <f t="shared" si="20"/>
        <v>#N/A</v>
      </c>
      <c r="CX15" s="25" t="e">
        <f t="shared" si="21"/>
        <v>#N/A</v>
      </c>
      <c r="CY15" s="25" t="e">
        <f t="shared" si="22"/>
        <v>#N/A</v>
      </c>
      <c r="CZ15" s="26" t="e">
        <f t="shared" si="23"/>
        <v>#N/A</v>
      </c>
    </row>
    <row r="16" spans="2:104" x14ac:dyDescent="0.25">
      <c r="B16" s="19" t="s">
        <v>292</v>
      </c>
      <c r="C16" s="2">
        <v>2561</v>
      </c>
      <c r="D16" s="2">
        <v>1956</v>
      </c>
      <c r="E16" s="28">
        <f t="shared" si="24"/>
        <v>0.76376415462709879</v>
      </c>
      <c r="F16" s="28"/>
      <c r="G16"/>
      <c r="H16"/>
      <c r="I16"/>
      <c r="J16" s="28" t="e">
        <f t="shared" si="25"/>
        <v>#DIV/0!</v>
      </c>
      <c r="K16" s="28"/>
      <c r="L16" s="19" t="s">
        <v>54</v>
      </c>
      <c r="M16" s="2">
        <v>414</v>
      </c>
      <c r="N16" s="2">
        <v>377</v>
      </c>
      <c r="O16" s="2">
        <v>790</v>
      </c>
      <c r="P16" s="2">
        <v>635</v>
      </c>
      <c r="Q16" s="2">
        <v>804</v>
      </c>
      <c r="R16" s="2">
        <v>637</v>
      </c>
      <c r="S16" s="2">
        <v>620</v>
      </c>
      <c r="T16" s="2">
        <v>449</v>
      </c>
      <c r="U16" s="2">
        <v>2628</v>
      </c>
      <c r="V16" s="2">
        <v>2098</v>
      </c>
      <c r="W16" s="20" t="s">
        <v>61</v>
      </c>
      <c r="X16" s="28">
        <f t="shared" si="9"/>
        <v>0.76376415462709879</v>
      </c>
      <c r="Y16" s="28">
        <f t="shared" si="0"/>
        <v>0.85230024213075062</v>
      </c>
      <c r="Z16" s="28">
        <f t="shared" si="1"/>
        <v>0.78167115902964956</v>
      </c>
      <c r="AA16" s="28">
        <f t="shared" si="2"/>
        <v>0.79513444302176695</v>
      </c>
      <c r="AB16" s="28">
        <f t="shared" si="3"/>
        <v>0.64480000000000004</v>
      </c>
      <c r="AC16" s="28"/>
      <c r="AO16" s="28"/>
      <c r="AP16" s="28"/>
      <c r="AQ16" s="28"/>
      <c r="AR16" s="20" t="s">
        <v>61</v>
      </c>
      <c r="AS16" s="28" t="e">
        <f t="shared" si="10"/>
        <v>#N/A</v>
      </c>
      <c r="AT16" s="28" t="e">
        <f t="shared" si="11"/>
        <v>#N/A</v>
      </c>
      <c r="AU16" s="28" t="e">
        <f t="shared" si="12"/>
        <v>#N/A</v>
      </c>
      <c r="AV16" s="28" t="e">
        <f t="shared" si="13"/>
        <v>#N/A</v>
      </c>
      <c r="AW16" s="28" t="e">
        <f t="shared" si="14"/>
        <v>#N/A</v>
      </c>
      <c r="AX16" s="28" t="e">
        <f t="shared" si="15"/>
        <v>#N/A</v>
      </c>
      <c r="AY16" s="28" t="e">
        <f t="shared" si="16"/>
        <v>#N/A</v>
      </c>
      <c r="AZ16" s="28"/>
      <c r="BA16" s="19" t="s">
        <v>292</v>
      </c>
      <c r="BB16" s="2">
        <v>2561</v>
      </c>
      <c r="BC16" s="2">
        <v>1956</v>
      </c>
      <c r="BD16" s="20">
        <f t="shared" si="26"/>
        <v>86.428571428571431</v>
      </c>
      <c r="BE16">
        <v>121.57142857142857</v>
      </c>
      <c r="BJ16" s="26">
        <f t="shared" si="27"/>
        <v>0</v>
      </c>
      <c r="BK16" s="54"/>
      <c r="BL16" s="26"/>
      <c r="BM16" s="19" t="s">
        <v>54</v>
      </c>
      <c r="BN16" s="2">
        <v>414</v>
      </c>
      <c r="BO16" s="2">
        <v>377</v>
      </c>
      <c r="BP16" s="2">
        <v>790</v>
      </c>
      <c r="BQ16" s="2">
        <v>635</v>
      </c>
      <c r="BR16" s="2">
        <v>804</v>
      </c>
      <c r="BS16" s="2">
        <v>637</v>
      </c>
      <c r="BT16" s="2">
        <v>620</v>
      </c>
      <c r="BU16" s="2">
        <v>449</v>
      </c>
      <c r="BV16" s="2">
        <v>2628</v>
      </c>
      <c r="BW16" s="2">
        <v>2098</v>
      </c>
      <c r="BX16" s="20" t="s">
        <v>61</v>
      </c>
      <c r="BY16" s="25">
        <f t="shared" si="4"/>
        <v>86.428571428571431</v>
      </c>
      <c r="BZ16" s="25">
        <f t="shared" si="5"/>
        <v>8.7142857142857135</v>
      </c>
      <c r="CA16" s="25">
        <f t="shared" si="6"/>
        <v>23.142857142857142</v>
      </c>
      <c r="CB16" s="25">
        <f t="shared" si="7"/>
        <v>22.857142857142858</v>
      </c>
      <c r="CC16" s="25">
        <f t="shared" si="8"/>
        <v>31.714285714285715</v>
      </c>
      <c r="CS16" s="20" t="s">
        <v>61</v>
      </c>
      <c r="CT16" s="25" t="e">
        <f t="shared" si="17"/>
        <v>#N/A</v>
      </c>
      <c r="CU16" s="25" t="e">
        <f t="shared" si="18"/>
        <v>#N/A</v>
      </c>
      <c r="CV16" s="25" t="e">
        <f t="shared" si="19"/>
        <v>#N/A</v>
      </c>
      <c r="CW16" s="25" t="e">
        <f t="shared" si="20"/>
        <v>#N/A</v>
      </c>
      <c r="CX16" s="25" t="e">
        <f t="shared" si="21"/>
        <v>#N/A</v>
      </c>
      <c r="CY16" s="25" t="e">
        <f t="shared" si="22"/>
        <v>#N/A</v>
      </c>
      <c r="CZ16" s="26" t="e">
        <f t="shared" si="23"/>
        <v>#N/A</v>
      </c>
    </row>
    <row r="17" spans="2:104" x14ac:dyDescent="0.25">
      <c r="B17" s="19" t="s">
        <v>293</v>
      </c>
      <c r="C17" s="2">
        <v>2544</v>
      </c>
      <c r="D17" s="2">
        <v>1980</v>
      </c>
      <c r="E17" s="28">
        <f t="shared" si="24"/>
        <v>0.77830188679245282</v>
      </c>
      <c r="F17" s="28"/>
      <c r="G17"/>
      <c r="H17"/>
      <c r="I17"/>
      <c r="J17" s="28" t="e">
        <f t="shared" si="25"/>
        <v>#DIV/0!</v>
      </c>
      <c r="K17" s="28"/>
      <c r="L17" s="19" t="s">
        <v>55</v>
      </c>
      <c r="M17" s="2">
        <v>413</v>
      </c>
      <c r="N17" s="2">
        <v>319</v>
      </c>
      <c r="O17" s="2">
        <v>808</v>
      </c>
      <c r="P17" s="2">
        <v>658</v>
      </c>
      <c r="Q17" s="2">
        <v>809</v>
      </c>
      <c r="R17" s="2">
        <v>624</v>
      </c>
      <c r="S17" s="2">
        <v>634</v>
      </c>
      <c r="T17" s="2">
        <v>471</v>
      </c>
      <c r="U17" s="2">
        <v>2664</v>
      </c>
      <c r="V17" s="2">
        <v>2072</v>
      </c>
      <c r="W17" s="20" t="s">
        <v>62</v>
      </c>
      <c r="X17" s="28">
        <f t="shared" si="9"/>
        <v>0.77830188679245282</v>
      </c>
      <c r="Y17" s="28">
        <f t="shared" si="0"/>
        <v>0.8719806763285024</v>
      </c>
      <c r="Z17" s="28">
        <f t="shared" si="1"/>
        <v>0.8246575342465754</v>
      </c>
      <c r="AA17" s="28">
        <f t="shared" si="2"/>
        <v>0.80154639175257736</v>
      </c>
      <c r="AB17" s="28">
        <f t="shared" si="3"/>
        <v>0.63301282051282048</v>
      </c>
      <c r="AC17" s="28"/>
      <c r="AO17" s="28"/>
      <c r="AP17" s="28"/>
      <c r="AQ17" s="28"/>
      <c r="AR17" s="20" t="s">
        <v>62</v>
      </c>
      <c r="AS17" s="28" t="e">
        <f t="shared" si="10"/>
        <v>#N/A</v>
      </c>
      <c r="AT17" s="28" t="e">
        <f t="shared" si="11"/>
        <v>#N/A</v>
      </c>
      <c r="AU17" s="28" t="e">
        <f t="shared" si="12"/>
        <v>#N/A</v>
      </c>
      <c r="AV17" s="28" t="e">
        <f t="shared" si="13"/>
        <v>#N/A</v>
      </c>
      <c r="AW17" s="28" t="e">
        <f t="shared" si="14"/>
        <v>#N/A</v>
      </c>
      <c r="AX17" s="28" t="e">
        <f t="shared" si="15"/>
        <v>#N/A</v>
      </c>
      <c r="AY17" s="28" t="e">
        <f t="shared" si="16"/>
        <v>#N/A</v>
      </c>
      <c r="AZ17" s="28"/>
      <c r="BA17" s="19" t="s">
        <v>293</v>
      </c>
      <c r="BB17" s="2">
        <v>2544</v>
      </c>
      <c r="BC17" s="2">
        <v>1980</v>
      </c>
      <c r="BD17" s="20">
        <f t="shared" si="26"/>
        <v>80.571428571428569</v>
      </c>
      <c r="BE17">
        <v>109.85714285714286</v>
      </c>
      <c r="BJ17" s="26">
        <f t="shared" si="27"/>
        <v>0</v>
      </c>
      <c r="BK17" s="54"/>
      <c r="BL17" s="26"/>
      <c r="BM17" s="19" t="s">
        <v>55</v>
      </c>
      <c r="BN17" s="2">
        <v>413</v>
      </c>
      <c r="BO17" s="2">
        <v>319</v>
      </c>
      <c r="BP17" s="2">
        <v>808</v>
      </c>
      <c r="BQ17" s="2">
        <v>658</v>
      </c>
      <c r="BR17" s="2">
        <v>809</v>
      </c>
      <c r="BS17" s="2">
        <v>624</v>
      </c>
      <c r="BT17" s="2">
        <v>634</v>
      </c>
      <c r="BU17" s="2">
        <v>471</v>
      </c>
      <c r="BV17" s="2">
        <v>2664</v>
      </c>
      <c r="BW17" s="2">
        <v>2072</v>
      </c>
      <c r="BX17" s="20" t="s">
        <v>62</v>
      </c>
      <c r="BY17" s="25">
        <f t="shared" si="4"/>
        <v>80.571428571428569</v>
      </c>
      <c r="BZ17" s="25">
        <f t="shared" si="5"/>
        <v>7.5714285714285712</v>
      </c>
      <c r="CA17" s="25">
        <f t="shared" si="6"/>
        <v>18.285714285714285</v>
      </c>
      <c r="CB17" s="25">
        <f t="shared" si="7"/>
        <v>22</v>
      </c>
      <c r="CC17" s="25">
        <f t="shared" si="8"/>
        <v>32.714285714285715</v>
      </c>
      <c r="CS17" s="20" t="s">
        <v>62</v>
      </c>
      <c r="CT17" s="25" t="e">
        <f t="shared" si="17"/>
        <v>#N/A</v>
      </c>
      <c r="CU17" s="25" t="e">
        <f t="shared" si="18"/>
        <v>#N/A</v>
      </c>
      <c r="CV17" s="25" t="e">
        <f t="shared" si="19"/>
        <v>#N/A</v>
      </c>
      <c r="CW17" s="25" t="e">
        <f t="shared" si="20"/>
        <v>#N/A</v>
      </c>
      <c r="CX17" s="25" t="e">
        <f t="shared" si="21"/>
        <v>#N/A</v>
      </c>
      <c r="CY17" s="25" t="e">
        <f t="shared" si="22"/>
        <v>#N/A</v>
      </c>
      <c r="CZ17" s="26" t="e">
        <f t="shared" si="23"/>
        <v>#N/A</v>
      </c>
    </row>
    <row r="18" spans="2:104" x14ac:dyDescent="0.25">
      <c r="B18" s="19" t="s">
        <v>294</v>
      </c>
      <c r="C18" s="2">
        <v>2578</v>
      </c>
      <c r="D18" s="2">
        <v>1956</v>
      </c>
      <c r="E18" s="28">
        <f t="shared" si="24"/>
        <v>0.75872769588828548</v>
      </c>
      <c r="F18" s="28"/>
      <c r="G18"/>
      <c r="H18"/>
      <c r="I18"/>
      <c r="J18" s="28" t="e">
        <f t="shared" si="25"/>
        <v>#DIV/0!</v>
      </c>
      <c r="K18" s="28"/>
      <c r="L18" s="19" t="s">
        <v>56</v>
      </c>
      <c r="M18" s="2">
        <v>413</v>
      </c>
      <c r="N18" s="2">
        <v>333</v>
      </c>
      <c r="O18" s="2">
        <v>786</v>
      </c>
      <c r="P18" s="2">
        <v>620</v>
      </c>
      <c r="Q18" s="2">
        <v>804</v>
      </c>
      <c r="R18" s="2">
        <v>637</v>
      </c>
      <c r="S18" s="2">
        <v>632</v>
      </c>
      <c r="T18" s="2">
        <v>449</v>
      </c>
      <c r="U18" s="2">
        <v>2635</v>
      </c>
      <c r="V18" s="2">
        <v>2039</v>
      </c>
      <c r="W18" s="20" t="s">
        <v>63</v>
      </c>
      <c r="X18" s="28">
        <f t="shared" si="9"/>
        <v>0.75872769588828548</v>
      </c>
      <c r="Y18" s="28">
        <f t="shared" si="0"/>
        <v>0.85918854415274459</v>
      </c>
      <c r="Z18" s="28">
        <f t="shared" si="1"/>
        <v>0.82051282051282048</v>
      </c>
      <c r="AA18" s="28">
        <f t="shared" si="2"/>
        <v>0.76106194690265483</v>
      </c>
      <c r="AB18" s="28">
        <f t="shared" si="3"/>
        <v>0.61562998405103664</v>
      </c>
      <c r="AC18" s="28"/>
      <c r="AO18" s="28"/>
      <c r="AP18" s="28"/>
      <c r="AQ18" s="28"/>
      <c r="AR18" s="20" t="s">
        <v>63</v>
      </c>
      <c r="AS18" s="28" t="e">
        <f t="shared" si="10"/>
        <v>#N/A</v>
      </c>
      <c r="AT18" s="28" t="e">
        <f t="shared" si="11"/>
        <v>#N/A</v>
      </c>
      <c r="AU18" s="28" t="e">
        <f t="shared" si="12"/>
        <v>#N/A</v>
      </c>
      <c r="AV18" s="28" t="e">
        <f t="shared" si="13"/>
        <v>#N/A</v>
      </c>
      <c r="AW18" s="28" t="e">
        <f t="shared" si="14"/>
        <v>#N/A</v>
      </c>
      <c r="AX18" s="28" t="e">
        <f t="shared" si="15"/>
        <v>#N/A</v>
      </c>
      <c r="AY18" s="28" t="e">
        <f t="shared" si="16"/>
        <v>#N/A</v>
      </c>
      <c r="AZ18" s="28"/>
      <c r="BA18" s="19" t="s">
        <v>294</v>
      </c>
      <c r="BB18" s="2">
        <v>2578</v>
      </c>
      <c r="BC18" s="2">
        <v>1956</v>
      </c>
      <c r="BD18" s="20">
        <f t="shared" si="26"/>
        <v>88.857142857142861</v>
      </c>
      <c r="BE18">
        <v>107.85714285714286</v>
      </c>
      <c r="BJ18" s="26">
        <f t="shared" si="27"/>
        <v>0</v>
      </c>
      <c r="BK18" s="54"/>
      <c r="BL18" s="26"/>
      <c r="BM18" s="19" t="s">
        <v>56</v>
      </c>
      <c r="BN18" s="2">
        <v>413</v>
      </c>
      <c r="BO18" s="2">
        <v>333</v>
      </c>
      <c r="BP18" s="2">
        <v>786</v>
      </c>
      <c r="BQ18" s="2">
        <v>620</v>
      </c>
      <c r="BR18" s="2">
        <v>804</v>
      </c>
      <c r="BS18" s="2">
        <v>637</v>
      </c>
      <c r="BT18" s="2">
        <v>632</v>
      </c>
      <c r="BU18" s="2">
        <v>449</v>
      </c>
      <c r="BV18" s="2">
        <v>2635</v>
      </c>
      <c r="BW18" s="2">
        <v>2039</v>
      </c>
      <c r="BX18" s="20" t="s">
        <v>63</v>
      </c>
      <c r="BY18" s="25">
        <f t="shared" si="4"/>
        <v>88.857142857142861</v>
      </c>
      <c r="BZ18" s="25">
        <f t="shared" si="5"/>
        <v>8.4285714285714288</v>
      </c>
      <c r="CA18" s="25">
        <f t="shared" si="6"/>
        <v>19</v>
      </c>
      <c r="CB18" s="25">
        <f t="shared" si="7"/>
        <v>27</v>
      </c>
      <c r="CC18" s="25">
        <f t="shared" si="8"/>
        <v>34.428571428571431</v>
      </c>
      <c r="CS18" s="20" t="s">
        <v>63</v>
      </c>
      <c r="CT18" s="25" t="e">
        <f t="shared" si="17"/>
        <v>#N/A</v>
      </c>
      <c r="CU18" s="25" t="e">
        <f t="shared" si="18"/>
        <v>#N/A</v>
      </c>
      <c r="CV18" s="25" t="e">
        <f t="shared" si="19"/>
        <v>#N/A</v>
      </c>
      <c r="CW18" s="25" t="e">
        <f t="shared" si="20"/>
        <v>#N/A</v>
      </c>
      <c r="CX18" s="25" t="e">
        <f t="shared" si="21"/>
        <v>#N/A</v>
      </c>
      <c r="CY18" s="25" t="e">
        <f t="shared" si="22"/>
        <v>#N/A</v>
      </c>
      <c r="CZ18" s="26" t="e">
        <f t="shared" si="23"/>
        <v>#N/A</v>
      </c>
    </row>
    <row r="19" spans="2:104" x14ac:dyDescent="0.25">
      <c r="B19" s="19" t="s">
        <v>295</v>
      </c>
      <c r="C19" s="2">
        <v>2571</v>
      </c>
      <c r="D19" s="2">
        <v>1885</v>
      </c>
      <c r="E19" s="28">
        <f t="shared" si="24"/>
        <v>0.73317775184753009</v>
      </c>
      <c r="F19" s="28"/>
      <c r="G19"/>
      <c r="H19"/>
      <c r="I19"/>
      <c r="J19" s="28" t="e">
        <f t="shared" si="25"/>
        <v>#DIV/0!</v>
      </c>
      <c r="K19" s="28"/>
      <c r="L19" s="19" t="s">
        <v>57</v>
      </c>
      <c r="M19" s="2">
        <v>413</v>
      </c>
      <c r="N19" s="2">
        <v>339</v>
      </c>
      <c r="O19" s="2">
        <v>769</v>
      </c>
      <c r="P19" s="2">
        <v>559</v>
      </c>
      <c r="Q19" s="2">
        <v>809</v>
      </c>
      <c r="R19" s="2">
        <v>615</v>
      </c>
      <c r="S19" s="2">
        <v>626</v>
      </c>
      <c r="T19" s="2">
        <v>437</v>
      </c>
      <c r="U19" s="2">
        <v>2617</v>
      </c>
      <c r="V19" s="2">
        <v>1950</v>
      </c>
      <c r="W19" s="20" t="s">
        <v>64</v>
      </c>
      <c r="X19" s="28">
        <f t="shared" si="9"/>
        <v>0.73317775184753009</v>
      </c>
      <c r="Y19" s="28">
        <f t="shared" si="0"/>
        <v>0.80429594272076377</v>
      </c>
      <c r="Z19" s="28">
        <f t="shared" si="1"/>
        <v>0.82543978349120428</v>
      </c>
      <c r="AA19" s="28">
        <f t="shared" si="2"/>
        <v>0.72602739726027399</v>
      </c>
      <c r="AB19" s="28">
        <f t="shared" si="3"/>
        <v>0.58196721311475408</v>
      </c>
      <c r="AC19" s="28"/>
      <c r="AO19" s="28"/>
      <c r="AP19" s="28"/>
      <c r="AQ19" s="28"/>
      <c r="AR19" s="20" t="s">
        <v>64</v>
      </c>
      <c r="AS19" s="28" t="e">
        <f t="shared" si="10"/>
        <v>#N/A</v>
      </c>
      <c r="AT19" s="28" t="e">
        <f t="shared" si="11"/>
        <v>#N/A</v>
      </c>
      <c r="AU19" s="28" t="e">
        <f t="shared" si="12"/>
        <v>#N/A</v>
      </c>
      <c r="AV19" s="28" t="e">
        <f t="shared" si="13"/>
        <v>#N/A</v>
      </c>
      <c r="AW19" s="28" t="e">
        <f t="shared" si="14"/>
        <v>#N/A</v>
      </c>
      <c r="AX19" s="28" t="e">
        <f t="shared" si="15"/>
        <v>#N/A</v>
      </c>
      <c r="AY19" s="28" t="e">
        <f t="shared" si="16"/>
        <v>#N/A</v>
      </c>
      <c r="AZ19" s="28"/>
      <c r="BA19" s="19" t="s">
        <v>295</v>
      </c>
      <c r="BB19" s="2">
        <v>2571</v>
      </c>
      <c r="BC19" s="2">
        <v>1885</v>
      </c>
      <c r="BD19" s="20">
        <f t="shared" si="26"/>
        <v>98</v>
      </c>
      <c r="BE19">
        <v>116.85714285714286</v>
      </c>
      <c r="BJ19" s="26">
        <f t="shared" si="27"/>
        <v>0</v>
      </c>
      <c r="BK19" s="54"/>
      <c r="BL19" s="26"/>
      <c r="BM19" s="19" t="s">
        <v>57</v>
      </c>
      <c r="BN19" s="2">
        <v>413</v>
      </c>
      <c r="BO19" s="2">
        <v>339</v>
      </c>
      <c r="BP19" s="2">
        <v>769</v>
      </c>
      <c r="BQ19" s="2">
        <v>559</v>
      </c>
      <c r="BR19" s="2">
        <v>809</v>
      </c>
      <c r="BS19" s="2">
        <v>615</v>
      </c>
      <c r="BT19" s="2">
        <v>626</v>
      </c>
      <c r="BU19" s="2">
        <v>437</v>
      </c>
      <c r="BV19" s="2">
        <v>2617</v>
      </c>
      <c r="BW19" s="2">
        <v>1950</v>
      </c>
      <c r="BX19" s="20" t="s">
        <v>64</v>
      </c>
      <c r="BY19" s="25">
        <f t="shared" si="4"/>
        <v>98</v>
      </c>
      <c r="BZ19" s="25">
        <f t="shared" si="5"/>
        <v>11.714285714285714</v>
      </c>
      <c r="CA19" s="25">
        <f t="shared" si="6"/>
        <v>18.428571428571427</v>
      </c>
      <c r="CB19" s="25">
        <f t="shared" si="7"/>
        <v>31.428571428571427</v>
      </c>
      <c r="CC19" s="25">
        <f t="shared" si="8"/>
        <v>36.428571428571431</v>
      </c>
      <c r="CS19" s="20" t="s">
        <v>64</v>
      </c>
      <c r="CT19" s="25" t="e">
        <f t="shared" si="17"/>
        <v>#N/A</v>
      </c>
      <c r="CU19" s="25" t="e">
        <f t="shared" si="18"/>
        <v>#N/A</v>
      </c>
      <c r="CV19" s="25" t="e">
        <f t="shared" si="19"/>
        <v>#N/A</v>
      </c>
      <c r="CW19" s="25" t="e">
        <f t="shared" si="20"/>
        <v>#N/A</v>
      </c>
      <c r="CX19" s="25" t="e">
        <f t="shared" si="21"/>
        <v>#N/A</v>
      </c>
      <c r="CY19" s="25" t="e">
        <f t="shared" si="22"/>
        <v>#N/A</v>
      </c>
      <c r="CZ19" s="26" t="e">
        <f t="shared" si="23"/>
        <v>#N/A</v>
      </c>
    </row>
    <row r="20" spans="2:104" x14ac:dyDescent="0.25">
      <c r="E20" s="28" t="e">
        <f t="shared" si="24"/>
        <v>#DIV/0!</v>
      </c>
      <c r="F20" s="28"/>
      <c r="G20"/>
      <c r="H20"/>
      <c r="I20"/>
      <c r="J20" s="28" t="e">
        <f t="shared" si="25"/>
        <v>#DIV/0!</v>
      </c>
      <c r="K20" s="28"/>
      <c r="L20" s="19" t="s">
        <v>58</v>
      </c>
      <c r="M20" s="2">
        <v>413</v>
      </c>
      <c r="N20" s="2">
        <v>350</v>
      </c>
      <c r="O20" s="2">
        <v>760</v>
      </c>
      <c r="P20" s="2">
        <v>586</v>
      </c>
      <c r="Q20" s="2">
        <v>787</v>
      </c>
      <c r="R20" s="2">
        <v>644</v>
      </c>
      <c r="S20" s="2">
        <v>625</v>
      </c>
      <c r="T20" s="2">
        <v>424</v>
      </c>
      <c r="U20" s="2">
        <v>2585</v>
      </c>
      <c r="V20" s="2">
        <v>2004</v>
      </c>
      <c r="BD20" s="20">
        <f t="shared" si="26"/>
        <v>0</v>
      </c>
      <c r="BE20">
        <v>100.14285714285714</v>
      </c>
      <c r="BJ20" s="26">
        <f>(BH20-I20)/7</f>
        <v>0</v>
      </c>
      <c r="BK20" s="54"/>
      <c r="BL20" s="26"/>
      <c r="BM20" s="19" t="s">
        <v>58</v>
      </c>
      <c r="BN20" s="2">
        <v>413</v>
      </c>
      <c r="BO20" s="2">
        <v>350</v>
      </c>
      <c r="BP20" s="2">
        <v>760</v>
      </c>
      <c r="BQ20" s="2">
        <v>586</v>
      </c>
      <c r="BR20" s="2">
        <v>787</v>
      </c>
      <c r="BS20" s="2">
        <v>644</v>
      </c>
      <c r="BT20" s="2">
        <v>625</v>
      </c>
      <c r="BU20" s="2">
        <v>424</v>
      </c>
      <c r="BV20" s="2">
        <v>2585</v>
      </c>
      <c r="BW20" s="2">
        <v>2004</v>
      </c>
    </row>
    <row r="21" spans="2:104" x14ac:dyDescent="0.25">
      <c r="L21" s="19" t="s">
        <v>59</v>
      </c>
      <c r="M21" s="2">
        <v>413</v>
      </c>
      <c r="N21" s="2">
        <v>349</v>
      </c>
      <c r="O21" s="2">
        <v>759</v>
      </c>
      <c r="P21" s="2">
        <v>613</v>
      </c>
      <c r="Q21" s="2">
        <v>783</v>
      </c>
      <c r="R21" s="2">
        <v>606</v>
      </c>
      <c r="S21" s="2">
        <v>627</v>
      </c>
      <c r="T21" s="2">
        <v>422</v>
      </c>
      <c r="U21" s="2">
        <v>2582</v>
      </c>
      <c r="V21" s="2">
        <v>1990</v>
      </c>
      <c r="BM21" s="19" t="s">
        <v>59</v>
      </c>
      <c r="BN21" s="2">
        <v>413</v>
      </c>
      <c r="BO21" s="2">
        <v>349</v>
      </c>
      <c r="BP21" s="2">
        <v>759</v>
      </c>
      <c r="BQ21" s="2">
        <v>613</v>
      </c>
      <c r="BR21" s="2">
        <v>783</v>
      </c>
      <c r="BS21" s="2">
        <v>606</v>
      </c>
      <c r="BT21" s="2">
        <v>627</v>
      </c>
      <c r="BU21" s="2">
        <v>422</v>
      </c>
      <c r="BV21" s="2">
        <v>2582</v>
      </c>
      <c r="BW21" s="2">
        <v>1990</v>
      </c>
    </row>
    <row r="22" spans="2:104" x14ac:dyDescent="0.25">
      <c r="L22" s="19" t="s">
        <v>46</v>
      </c>
      <c r="M22" s="2">
        <v>5803</v>
      </c>
      <c r="N22" s="2">
        <v>5019</v>
      </c>
      <c r="O22" s="2">
        <v>10706</v>
      </c>
      <c r="P22" s="2">
        <v>8695</v>
      </c>
      <c r="Q22" s="2">
        <v>11135</v>
      </c>
      <c r="R22" s="2">
        <v>8803</v>
      </c>
      <c r="S22" s="2">
        <v>8712</v>
      </c>
      <c r="T22" s="2">
        <v>5903</v>
      </c>
      <c r="U22" s="2">
        <v>36356</v>
      </c>
      <c r="V22" s="2">
        <v>28420</v>
      </c>
      <c r="BM22" s="19" t="s">
        <v>46</v>
      </c>
      <c r="BN22" s="2">
        <v>5803</v>
      </c>
      <c r="BO22" s="2">
        <v>5019</v>
      </c>
      <c r="BP22" s="2">
        <v>10706</v>
      </c>
      <c r="BQ22" s="2">
        <v>8695</v>
      </c>
      <c r="BR22" s="2">
        <v>11135</v>
      </c>
      <c r="BS22" s="2">
        <v>8803</v>
      </c>
      <c r="BT22" s="2">
        <v>8712</v>
      </c>
      <c r="BU22" s="2">
        <v>5903</v>
      </c>
      <c r="BV22" s="2">
        <v>36356</v>
      </c>
      <c r="BW22" s="2">
        <v>28420</v>
      </c>
    </row>
  </sheetData>
  <mergeCells count="7">
    <mergeCell ref="CE1:CU1"/>
    <mergeCell ref="B1:E1"/>
    <mergeCell ref="L1:AB1"/>
    <mergeCell ref="BA1:BD1"/>
    <mergeCell ref="BM1:CC1"/>
    <mergeCell ref="AD1:AY1"/>
    <mergeCell ref="BG1:B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20"/>
  <sheetViews>
    <sheetView topLeftCell="AR1" workbookViewId="0">
      <selection activeCell="AI12" sqref="AI12"/>
    </sheetView>
  </sheetViews>
  <sheetFormatPr defaultRowHeight="15" x14ac:dyDescent="0.25"/>
  <cols>
    <col min="2" max="2" width="13.140625" bestFit="1" customWidth="1"/>
    <col min="3" max="3" width="23.85546875" bestFit="1" customWidth="1"/>
    <col min="4" max="4" width="22.28515625" bestFit="1" customWidth="1"/>
    <col min="8" max="8" width="13.140625" bestFit="1" customWidth="1"/>
    <col min="9" max="9" width="23.85546875" bestFit="1" customWidth="1"/>
    <col min="10" max="10" width="22.28515625" bestFit="1" customWidth="1"/>
    <col min="11" max="11" width="27.85546875" bestFit="1" customWidth="1"/>
    <col min="12" max="12" width="22.28515625" bestFit="1" customWidth="1"/>
    <col min="13" max="13" width="23.85546875" bestFit="1" customWidth="1"/>
    <col min="14" max="14" width="22.28515625" bestFit="1" customWidth="1"/>
    <col min="15" max="15" width="23.85546875" bestFit="1" customWidth="1"/>
    <col min="16" max="16" width="22.28515625" bestFit="1" customWidth="1"/>
    <col min="17" max="17" width="23.85546875" bestFit="1" customWidth="1"/>
    <col min="18" max="18" width="22.28515625" bestFit="1" customWidth="1"/>
    <col min="19" max="19" width="28.85546875" bestFit="1" customWidth="1"/>
    <col min="20" max="20" width="27.28515625" bestFit="1" customWidth="1"/>
    <col min="32" max="32" width="13.140625" bestFit="1" customWidth="1"/>
    <col min="33" max="33" width="23.85546875" bestFit="1" customWidth="1"/>
    <col min="34" max="34" width="22.28515625" bestFit="1" customWidth="1"/>
    <col min="38" max="38" width="13.140625" bestFit="1" customWidth="1"/>
    <col min="39" max="39" width="23.85546875" bestFit="1" customWidth="1"/>
    <col min="40" max="40" width="22.28515625" bestFit="1" customWidth="1"/>
    <col min="41" max="41" width="27.85546875" bestFit="1" customWidth="1"/>
    <col min="42" max="42" width="22.28515625" bestFit="1" customWidth="1"/>
    <col min="43" max="43" width="23.85546875" bestFit="1" customWidth="1"/>
    <col min="44" max="44" width="22.28515625" bestFit="1" customWidth="1"/>
    <col min="45" max="45" width="23.85546875" bestFit="1" customWidth="1"/>
    <col min="46" max="46" width="22.28515625" bestFit="1" customWidth="1"/>
    <col min="47" max="47" width="23.85546875" bestFit="1" customWidth="1"/>
    <col min="48" max="48" width="22.28515625" bestFit="1" customWidth="1"/>
    <col min="49" max="49" width="28.85546875" bestFit="1" customWidth="1"/>
    <col min="50" max="50" width="27.28515625" bestFit="1" customWidth="1"/>
  </cols>
  <sheetData>
    <row r="1" spans="1:59" s="17" customFormat="1" x14ac:dyDescent="0.25">
      <c r="A1" s="38"/>
      <c r="B1" s="45" t="s">
        <v>319</v>
      </c>
      <c r="C1" s="48"/>
      <c r="D1" s="48"/>
      <c r="E1" s="48"/>
      <c r="G1" s="38"/>
      <c r="H1" s="131" t="s">
        <v>321</v>
      </c>
      <c r="I1" s="131"/>
      <c r="J1" s="131"/>
      <c r="K1" s="131"/>
      <c r="L1" s="131"/>
      <c r="M1" s="131"/>
      <c r="N1" s="131"/>
      <c r="O1" s="131"/>
      <c r="P1" s="131"/>
      <c r="Q1" s="131"/>
      <c r="R1" s="131"/>
      <c r="S1" s="131"/>
      <c r="T1" s="131"/>
      <c r="U1" s="131"/>
      <c r="V1" s="131"/>
      <c r="W1" s="131"/>
      <c r="X1" s="131"/>
      <c r="Y1" s="131"/>
      <c r="Z1" s="131"/>
      <c r="AA1" s="131"/>
      <c r="AB1" s="131"/>
      <c r="AC1" s="131"/>
      <c r="AD1" s="38"/>
      <c r="AE1" s="38"/>
      <c r="AF1" s="59" t="s">
        <v>301</v>
      </c>
      <c r="AG1" s="48"/>
      <c r="AH1" s="48"/>
      <c r="AI1" s="48"/>
      <c r="AJ1" s="38"/>
      <c r="AL1" s="130" t="s">
        <v>306</v>
      </c>
      <c r="AM1" s="130"/>
      <c r="AN1" s="130"/>
      <c r="AO1" s="130"/>
      <c r="AP1" s="130"/>
      <c r="AQ1" s="130"/>
      <c r="AR1" s="130"/>
      <c r="AS1" s="130"/>
      <c r="AT1" s="130"/>
      <c r="AU1" s="130"/>
      <c r="AV1" s="130"/>
      <c r="AW1" s="130"/>
      <c r="AX1" s="130"/>
      <c r="AY1" s="130"/>
      <c r="AZ1" s="130"/>
      <c r="BA1" s="130"/>
      <c r="BB1" s="130"/>
      <c r="BC1" s="130"/>
      <c r="BD1" s="130"/>
      <c r="BE1" s="130"/>
      <c r="BF1" s="130"/>
      <c r="BG1" s="130"/>
    </row>
    <row r="3" spans="1:59" x14ac:dyDescent="0.25">
      <c r="B3" s="18" t="s">
        <v>47</v>
      </c>
      <c r="C3" t="s" vm="2">
        <v>262</v>
      </c>
      <c r="H3" s="18" t="s">
        <v>47</v>
      </c>
      <c r="I3" t="s" vm="2">
        <v>262</v>
      </c>
      <c r="AF3" s="18" t="s">
        <v>47</v>
      </c>
      <c r="AG3" t="s" vm="2">
        <v>262</v>
      </c>
      <c r="AL3" s="18" t="s">
        <v>47</v>
      </c>
      <c r="AM3" t="s" vm="2">
        <v>262</v>
      </c>
    </row>
    <row r="5" spans="1:59" x14ac:dyDescent="0.25">
      <c r="B5" s="18" t="s">
        <v>44</v>
      </c>
      <c r="C5" t="s">
        <v>221</v>
      </c>
      <c r="D5" t="s">
        <v>222</v>
      </c>
      <c r="I5" s="18" t="s">
        <v>49</v>
      </c>
      <c r="W5" t="s">
        <v>48</v>
      </c>
      <c r="X5" t="s">
        <v>2</v>
      </c>
      <c r="Y5" t="s">
        <v>65</v>
      </c>
      <c r="Z5" t="s">
        <v>3</v>
      </c>
      <c r="AA5" t="s">
        <v>304</v>
      </c>
      <c r="AB5" t="s">
        <v>278</v>
      </c>
      <c r="AC5" t="s">
        <v>298</v>
      </c>
      <c r="AF5" s="18" t="s">
        <v>44</v>
      </c>
      <c r="AG5" t="s">
        <v>221</v>
      </c>
      <c r="AH5" t="s">
        <v>222</v>
      </c>
      <c r="AM5" s="18" t="s">
        <v>49</v>
      </c>
      <c r="BA5" t="s">
        <v>48</v>
      </c>
      <c r="BB5" t="s">
        <v>2</v>
      </c>
      <c r="BC5" t="s">
        <v>65</v>
      </c>
      <c r="BD5" t="s">
        <v>3</v>
      </c>
      <c r="BE5" t="s">
        <v>304</v>
      </c>
      <c r="BF5" t="s">
        <v>305</v>
      </c>
      <c r="BG5" t="s">
        <v>298</v>
      </c>
    </row>
    <row r="6" spans="1:59" x14ac:dyDescent="0.25">
      <c r="A6" s="3"/>
      <c r="B6" s="19" t="s">
        <v>45</v>
      </c>
      <c r="C6" s="2">
        <v>10345</v>
      </c>
      <c r="D6" s="2">
        <v>7148</v>
      </c>
      <c r="E6" s="3">
        <f>D6/C6</f>
        <v>0.69096181730304496</v>
      </c>
      <c r="G6" s="28"/>
      <c r="I6" t="s">
        <v>2</v>
      </c>
      <c r="K6" t="s">
        <v>266</v>
      </c>
      <c r="M6" t="s">
        <v>50</v>
      </c>
      <c r="O6" t="s">
        <v>267</v>
      </c>
      <c r="Q6" t="s">
        <v>268</v>
      </c>
      <c r="S6" t="s">
        <v>223</v>
      </c>
      <c r="T6" t="s">
        <v>224</v>
      </c>
      <c r="U6" s="28"/>
      <c r="V6" s="50" t="s">
        <v>51</v>
      </c>
      <c r="W6" s="28">
        <f>VLOOKUP($V6,$H$8:$T$1048576,13,FALSE)/VLOOKUP($V6,$H$8:$T$1048576,12,FALSE)</f>
        <v>0.69096181730304496</v>
      </c>
      <c r="X6" s="28">
        <f>VLOOKUP($V6,$H$8:$T$1048576,3,FALSE)/VLOOKUP($V6,$H$8:$T$1048576,2,FALSE)</f>
        <v>0.7955988150655946</v>
      </c>
      <c r="Y6" s="28">
        <f>VLOOKUP($V6,$H$8:$T$1048576,5,FALSE)/VLOOKUP($V6,$H$8:$T$1048576,4,FALSE)</f>
        <v>0.66062085803976278</v>
      </c>
      <c r="Z6" s="28">
        <f>VLOOKUP($V6,$H$8:$T$1048576,7,FALSE)/VLOOKUP($V6,$H$8:$T$1048576,6,FALSE)</f>
        <v>0.68340807174887896</v>
      </c>
      <c r="AA6" s="28">
        <f>VLOOKUP($V6,$H$8:$T$1048576,9,FALSE)/VLOOKUP($V6,$H$8:$T$1048576,8,FALSE)</f>
        <v>0.63077759651984777</v>
      </c>
      <c r="AB6" s="28">
        <f>VLOOKUP($V6,$H$8:$T$1048576,11,FALSE)/VLOOKUP($V6,$H$8:$T$1048576,10,FALSE)</f>
        <v>0.65965583173996178</v>
      </c>
      <c r="AC6" s="28">
        <f>(AA6+AB6)/2</f>
        <v>0.64521671412990478</v>
      </c>
      <c r="AD6" s="28"/>
      <c r="AE6" s="20"/>
      <c r="AF6" s="19" t="s">
        <v>45</v>
      </c>
      <c r="AG6" s="2">
        <v>10345</v>
      </c>
      <c r="AH6" s="2">
        <v>7148</v>
      </c>
      <c r="AI6" s="20">
        <f>(AG6-AH6)/4</f>
        <v>799.25</v>
      </c>
      <c r="AJ6" s="20"/>
      <c r="AM6" t="s">
        <v>2</v>
      </c>
      <c r="AO6" t="s">
        <v>266</v>
      </c>
      <c r="AQ6" t="s">
        <v>50</v>
      </c>
      <c r="AS6" t="s">
        <v>267</v>
      </c>
      <c r="AU6" t="s">
        <v>268</v>
      </c>
      <c r="AW6" t="s">
        <v>223</v>
      </c>
      <c r="AX6" t="s">
        <v>224</v>
      </c>
      <c r="AZ6" s="50" t="s">
        <v>51</v>
      </c>
      <c r="BA6" s="25">
        <f>(VLOOKUP($AZ6,$AL$8:$AX$1048576,12,FALSE)-VLOOKUP($AZ6,$AL$8:$AX$1048576,13,FALSE))/7</f>
        <v>456.71428571428572</v>
      </c>
      <c r="BB6" s="25">
        <f>(VLOOKUP($AZ6,$AL$8:$AX$1048576,2,FALSE)-VLOOKUP($AZ6,$AL$8:$AX$1048576,3,FALSE))/7</f>
        <v>69</v>
      </c>
      <c r="BC6" s="25">
        <f>(VLOOKUP($AZ6,$AL$8:$AX$1048576,4,FALSE)-VLOOKUP($AZ6,$AL$8:$AX$1048576,5,FALSE))/7</f>
        <v>139</v>
      </c>
      <c r="BD6" s="25">
        <f>(VLOOKUP($AZ6,$AL$8:$AX$1048576,6,FALSE)-VLOOKUP($AZ6,$AL$8:$AX$1048576,7,FALSE))/7</f>
        <v>100.85714285714286</v>
      </c>
      <c r="BE6" s="25">
        <f>(VLOOKUP($AZ6,$AL$8:$AX$1048576,8,FALSE)-VLOOKUP($AZ6,$AL$8:$AX$1048576,9,FALSE))/7</f>
        <v>97</v>
      </c>
      <c r="BF6" s="25">
        <f>(VLOOKUP($AZ6,$AL$8:$AX$1048576,10,FALSE)-VLOOKUP($AZ6,$AL$8:$AX$1048576,11,FALSE))/7</f>
        <v>50.857142857142854</v>
      </c>
      <c r="BG6" s="26">
        <f>BE6+BF6</f>
        <v>147.85714285714286</v>
      </c>
    </row>
    <row r="7" spans="1:59" x14ac:dyDescent="0.25">
      <c r="A7" s="3"/>
      <c r="B7" s="19" t="s">
        <v>283</v>
      </c>
      <c r="C7" s="2">
        <v>10370</v>
      </c>
      <c r="D7" s="2">
        <v>7118</v>
      </c>
      <c r="E7" s="3">
        <f t="shared" ref="E7:E20" si="0">D7/C7</f>
        <v>0.68640308582449372</v>
      </c>
      <c r="G7" s="28"/>
      <c r="H7" s="18" t="s">
        <v>44</v>
      </c>
      <c r="I7" t="s">
        <v>221</v>
      </c>
      <c r="J7" t="s">
        <v>222</v>
      </c>
      <c r="K7" t="s">
        <v>221</v>
      </c>
      <c r="L7" t="s">
        <v>222</v>
      </c>
      <c r="M7" t="s">
        <v>221</v>
      </c>
      <c r="N7" t="s">
        <v>222</v>
      </c>
      <c r="O7" t="s">
        <v>221</v>
      </c>
      <c r="P7" t="s">
        <v>222</v>
      </c>
      <c r="Q7" t="s">
        <v>221</v>
      </c>
      <c r="R7" t="s">
        <v>222</v>
      </c>
      <c r="U7" s="28"/>
      <c r="V7" s="50" t="s">
        <v>52</v>
      </c>
      <c r="W7" s="28">
        <f t="shared" ref="W7:W19" si="1">VLOOKUP($V7,$H$8:$T$1048576,13,FALSE)/VLOOKUP($V7,$H$8:$T$1048576,12,FALSE)</f>
        <v>0.68640308582449372</v>
      </c>
      <c r="X7" s="28">
        <f t="shared" ref="X7:X19" si="2">VLOOKUP($V7,$H$8:$T$1048576,3,FALSE)/VLOOKUP($V7,$H$8:$T$1048576,2,FALSE)</f>
        <v>0.76789495976281241</v>
      </c>
      <c r="Y7" s="28">
        <f t="shared" ref="Y7:Y19" si="3">VLOOKUP($V7,$H$8:$T$1048576,5,FALSE)/VLOOKUP($V7,$H$8:$T$1048576,4,FALSE)</f>
        <v>0.68086592178770955</v>
      </c>
      <c r="Z7" s="28">
        <f t="shared" ref="Z7:Z19" si="4">VLOOKUP($V7,$H$8:$T$1048576,7,FALSE)/VLOOKUP($V7,$H$8:$T$1048576,6,FALSE)</f>
        <v>0.69048682447521215</v>
      </c>
      <c r="AA7" s="28">
        <f t="shared" ref="AA7:AA19" si="5">VLOOKUP($V7,$H$8:$T$1048576,9,FALSE)/VLOOKUP($V7,$H$8:$T$1048576,8,FALSE)</f>
        <v>0.63646288209606983</v>
      </c>
      <c r="AB7" s="28">
        <f t="shared" ref="AB7:AB19" si="6">VLOOKUP($V7,$H$8:$T$1048576,11,FALSE)/VLOOKUP($V7,$H$8:$T$1048576,10,FALSE)</f>
        <v>0.5986964618249534</v>
      </c>
      <c r="AC7" s="28">
        <f t="shared" ref="AC7:AC19" si="7">(AA7+AB7)/2</f>
        <v>0.61757967196051156</v>
      </c>
      <c r="AD7" s="28"/>
      <c r="AE7" s="20"/>
      <c r="AF7" s="19" t="s">
        <v>283</v>
      </c>
      <c r="AG7" s="2">
        <v>10370</v>
      </c>
      <c r="AH7" s="2">
        <v>7118</v>
      </c>
      <c r="AI7" s="20">
        <f>(AG7-AH7)/7</f>
        <v>464.57142857142856</v>
      </c>
      <c r="AJ7" s="20"/>
      <c r="AL7" s="18" t="s">
        <v>44</v>
      </c>
      <c r="AM7" t="s">
        <v>221</v>
      </c>
      <c r="AN7" t="s">
        <v>222</v>
      </c>
      <c r="AO7" t="s">
        <v>221</v>
      </c>
      <c r="AP7" t="s">
        <v>222</v>
      </c>
      <c r="AQ7" t="s">
        <v>221</v>
      </c>
      <c r="AR7" t="s">
        <v>222</v>
      </c>
      <c r="AS7" t="s">
        <v>221</v>
      </c>
      <c r="AT7" t="s">
        <v>222</v>
      </c>
      <c r="AU7" t="s">
        <v>221</v>
      </c>
      <c r="AV7" t="s">
        <v>222</v>
      </c>
      <c r="AZ7" s="50" t="s">
        <v>52</v>
      </c>
      <c r="BA7" s="25">
        <f t="shared" ref="BA7:BA19" si="8">(VLOOKUP($AZ7,$AL$8:$AX$1048576,12,FALSE)-VLOOKUP($AZ7,$AL$8:$AX$1048576,13,FALSE))/7</f>
        <v>464.57142857142856</v>
      </c>
      <c r="BB7" s="25">
        <f t="shared" ref="BB7:BB19" si="9">(VLOOKUP($AZ7,$AL$8:$AX$1048576,2,FALSE)-VLOOKUP($AZ7,$AL$8:$AX$1048576,3,FALSE))/7</f>
        <v>78.285714285714292</v>
      </c>
      <c r="BC7" s="25">
        <f t="shared" ref="BC7:BC19" si="10">(VLOOKUP($AZ7,$AL$8:$AX$1048576,4,FALSE)-VLOOKUP($AZ7,$AL$8:$AX$1048576,5,FALSE))/7</f>
        <v>130.57142857142858</v>
      </c>
      <c r="BD7" s="25">
        <f t="shared" ref="BD7:BD19" si="11">(VLOOKUP($AZ7,$AL$8:$AX$1048576,6,FALSE)-VLOOKUP($AZ7,$AL$8:$AX$1048576,7,FALSE))/7</f>
        <v>99</v>
      </c>
      <c r="BE7" s="25">
        <f t="shared" ref="BE7:BE19" si="12">(VLOOKUP($AZ7,$AL$8:$AX$1048576,8,FALSE)-VLOOKUP($AZ7,$AL$8:$AX$1048576,9,FALSE))/7</f>
        <v>95.142857142857139</v>
      </c>
      <c r="BF7" s="25">
        <f t="shared" ref="BF7:BF19" si="13">(VLOOKUP($AZ7,$AL$8:$AX$1048576,10,FALSE)-VLOOKUP($AZ7,$AL$8:$AX$1048576,11,FALSE))/7</f>
        <v>61.571428571428569</v>
      </c>
      <c r="BG7" s="26">
        <f t="shared" ref="BG7:BG19" si="14">BE7+BF7</f>
        <v>156.71428571428572</v>
      </c>
    </row>
    <row r="8" spans="1:59" x14ac:dyDescent="0.25">
      <c r="A8" s="3"/>
      <c r="B8" s="19" t="s">
        <v>284</v>
      </c>
      <c r="C8" s="2">
        <v>10360</v>
      </c>
      <c r="D8" s="2">
        <v>7265</v>
      </c>
      <c r="E8" s="3">
        <f t="shared" si="0"/>
        <v>0.70125482625482627</v>
      </c>
      <c r="G8" s="28"/>
      <c r="H8" s="19" t="s">
        <v>51</v>
      </c>
      <c r="I8" s="2">
        <v>2363</v>
      </c>
      <c r="J8" s="2">
        <v>1880</v>
      </c>
      <c r="K8" s="2">
        <v>2867</v>
      </c>
      <c r="L8" s="2">
        <v>1894</v>
      </c>
      <c r="M8" s="2">
        <v>2230</v>
      </c>
      <c r="N8" s="2">
        <v>1524</v>
      </c>
      <c r="O8" s="2">
        <v>1839</v>
      </c>
      <c r="P8" s="2">
        <v>1160</v>
      </c>
      <c r="Q8" s="2">
        <v>1046</v>
      </c>
      <c r="R8" s="2">
        <v>690</v>
      </c>
      <c r="S8" s="2">
        <v>10345</v>
      </c>
      <c r="T8" s="2">
        <v>7148</v>
      </c>
      <c r="U8" s="28"/>
      <c r="V8" s="50" t="s">
        <v>53</v>
      </c>
      <c r="W8" s="28">
        <f t="shared" si="1"/>
        <v>0.70125482625482627</v>
      </c>
      <c r="X8" s="28">
        <f t="shared" si="2"/>
        <v>0.79073684210526318</v>
      </c>
      <c r="Y8" s="28">
        <f t="shared" si="3"/>
        <v>0.68297797972736807</v>
      </c>
      <c r="Z8" s="28">
        <f t="shared" si="4"/>
        <v>0.64114182147711829</v>
      </c>
      <c r="AA8" s="28">
        <f t="shared" si="5"/>
        <v>0.68392664509169365</v>
      </c>
      <c r="AB8" s="28">
        <f t="shared" si="6"/>
        <v>0.70555032925682037</v>
      </c>
      <c r="AC8" s="28">
        <f t="shared" si="7"/>
        <v>0.69473848717425701</v>
      </c>
      <c r="AD8" s="28"/>
      <c r="AE8" s="20"/>
      <c r="AF8" s="19" t="s">
        <v>284</v>
      </c>
      <c r="AG8" s="2">
        <v>10360</v>
      </c>
      <c r="AH8" s="2">
        <v>7265</v>
      </c>
      <c r="AI8" s="20">
        <f t="shared" ref="AI8:AI20" si="15">(AG8-AH8)/7</f>
        <v>442.14285714285717</v>
      </c>
      <c r="AJ8" s="20"/>
      <c r="AL8" s="19" t="s">
        <v>51</v>
      </c>
      <c r="AM8" s="2">
        <v>2363</v>
      </c>
      <c r="AN8" s="2">
        <v>1880</v>
      </c>
      <c r="AO8" s="2">
        <v>2867</v>
      </c>
      <c r="AP8" s="2">
        <v>1894</v>
      </c>
      <c r="AQ8" s="2">
        <v>2230</v>
      </c>
      <c r="AR8" s="2">
        <v>1524</v>
      </c>
      <c r="AS8" s="2">
        <v>1839</v>
      </c>
      <c r="AT8" s="2">
        <v>1160</v>
      </c>
      <c r="AU8" s="2">
        <v>1046</v>
      </c>
      <c r="AV8" s="2">
        <v>690</v>
      </c>
      <c r="AW8" s="2">
        <v>10345</v>
      </c>
      <c r="AX8" s="2">
        <v>7148</v>
      </c>
      <c r="AZ8" s="50" t="s">
        <v>53</v>
      </c>
      <c r="BA8" s="25">
        <f t="shared" si="8"/>
        <v>442.14285714285717</v>
      </c>
      <c r="BB8" s="25">
        <f t="shared" si="9"/>
        <v>71</v>
      </c>
      <c r="BC8" s="25">
        <f t="shared" si="10"/>
        <v>129.57142857142858</v>
      </c>
      <c r="BD8" s="25">
        <f t="shared" si="11"/>
        <v>113.14285714285714</v>
      </c>
      <c r="BE8" s="25">
        <f t="shared" si="12"/>
        <v>83.714285714285708</v>
      </c>
      <c r="BF8" s="25">
        <f t="shared" si="13"/>
        <v>44.714285714285715</v>
      </c>
      <c r="BG8" s="26">
        <f t="shared" si="14"/>
        <v>128.42857142857142</v>
      </c>
    </row>
    <row r="9" spans="1:59" x14ac:dyDescent="0.25">
      <c r="A9" s="3"/>
      <c r="B9" s="19" t="s">
        <v>285</v>
      </c>
      <c r="C9" s="2">
        <v>10306</v>
      </c>
      <c r="D9" s="2">
        <v>6959</v>
      </c>
      <c r="E9" s="3">
        <f t="shared" si="0"/>
        <v>0.67523772559673978</v>
      </c>
      <c r="G9" s="28"/>
      <c r="H9" s="19" t="s">
        <v>52</v>
      </c>
      <c r="I9" s="2">
        <v>2361</v>
      </c>
      <c r="J9" s="2">
        <v>1813</v>
      </c>
      <c r="K9" s="2">
        <v>2864</v>
      </c>
      <c r="L9" s="2">
        <v>1950</v>
      </c>
      <c r="M9" s="2">
        <v>2239</v>
      </c>
      <c r="N9" s="2">
        <v>1546</v>
      </c>
      <c r="O9" s="2">
        <v>1832</v>
      </c>
      <c r="P9" s="2">
        <v>1166</v>
      </c>
      <c r="Q9" s="2">
        <v>1074</v>
      </c>
      <c r="R9" s="2">
        <v>643</v>
      </c>
      <c r="S9" s="2">
        <v>10370</v>
      </c>
      <c r="T9" s="2">
        <v>7118</v>
      </c>
      <c r="U9" s="28"/>
      <c r="V9" s="50" t="s">
        <v>54</v>
      </c>
      <c r="W9" s="28">
        <f t="shared" si="1"/>
        <v>0.67523772559673978</v>
      </c>
      <c r="X9" s="28">
        <f t="shared" si="2"/>
        <v>0.75369666244190958</v>
      </c>
      <c r="Y9" s="28">
        <f t="shared" si="3"/>
        <v>0.63343826512766699</v>
      </c>
      <c r="Z9" s="28">
        <f t="shared" si="4"/>
        <v>0.61685649202733484</v>
      </c>
      <c r="AA9" s="28">
        <f t="shared" si="5"/>
        <v>0.6753812636165577</v>
      </c>
      <c r="AB9" s="28">
        <f t="shared" si="6"/>
        <v>0.73403241182078172</v>
      </c>
      <c r="AC9" s="28">
        <f t="shared" si="7"/>
        <v>0.70470683771866971</v>
      </c>
      <c r="AD9" s="28"/>
      <c r="AE9" s="20"/>
      <c r="AF9" s="19" t="s">
        <v>285</v>
      </c>
      <c r="AG9" s="2">
        <v>10306</v>
      </c>
      <c r="AH9" s="2">
        <v>6959</v>
      </c>
      <c r="AI9" s="20">
        <f t="shared" si="15"/>
        <v>478.14285714285717</v>
      </c>
      <c r="AJ9" s="20"/>
      <c r="AL9" s="19" t="s">
        <v>52</v>
      </c>
      <c r="AM9" s="2">
        <v>2361</v>
      </c>
      <c r="AN9" s="2">
        <v>1813</v>
      </c>
      <c r="AO9" s="2">
        <v>2864</v>
      </c>
      <c r="AP9" s="2">
        <v>1950</v>
      </c>
      <c r="AQ9" s="2">
        <v>2239</v>
      </c>
      <c r="AR9" s="2">
        <v>1546</v>
      </c>
      <c r="AS9" s="2">
        <v>1832</v>
      </c>
      <c r="AT9" s="2">
        <v>1166</v>
      </c>
      <c r="AU9" s="2">
        <v>1074</v>
      </c>
      <c r="AV9" s="2">
        <v>643</v>
      </c>
      <c r="AW9" s="2">
        <v>10370</v>
      </c>
      <c r="AX9" s="2">
        <v>7118</v>
      </c>
      <c r="AZ9" s="50" t="s">
        <v>54</v>
      </c>
      <c r="BA9" s="25">
        <f t="shared" si="8"/>
        <v>478.14285714285717</v>
      </c>
      <c r="BB9" s="25">
        <f t="shared" si="9"/>
        <v>83.285714285714292</v>
      </c>
      <c r="BC9" s="25">
        <f t="shared" si="10"/>
        <v>149.71428571428572</v>
      </c>
      <c r="BD9" s="25">
        <f t="shared" si="11"/>
        <v>120.14285714285714</v>
      </c>
      <c r="BE9" s="25">
        <f t="shared" si="12"/>
        <v>85.142857142857139</v>
      </c>
      <c r="BF9" s="25">
        <f t="shared" si="13"/>
        <v>39.857142857142854</v>
      </c>
      <c r="BG9" s="26">
        <f t="shared" si="14"/>
        <v>125</v>
      </c>
    </row>
    <row r="10" spans="1:59" x14ac:dyDescent="0.25">
      <c r="A10" s="3"/>
      <c r="B10" s="19" t="s">
        <v>286</v>
      </c>
      <c r="C10" s="2">
        <v>10271</v>
      </c>
      <c r="D10" s="2">
        <v>6970</v>
      </c>
      <c r="E10" s="3">
        <f t="shared" si="0"/>
        <v>0.67860967773342418</v>
      </c>
      <c r="G10" s="28"/>
      <c r="H10" s="19" t="s">
        <v>53</v>
      </c>
      <c r="I10" s="2">
        <v>2375</v>
      </c>
      <c r="J10" s="2">
        <v>1878</v>
      </c>
      <c r="K10" s="2">
        <v>2861</v>
      </c>
      <c r="L10" s="2">
        <v>1954</v>
      </c>
      <c r="M10" s="2">
        <v>2207</v>
      </c>
      <c r="N10" s="2">
        <v>1415</v>
      </c>
      <c r="O10" s="2">
        <v>1854</v>
      </c>
      <c r="P10" s="2">
        <v>1268</v>
      </c>
      <c r="Q10" s="2">
        <v>1063</v>
      </c>
      <c r="R10" s="2">
        <v>750</v>
      </c>
      <c r="S10" s="2">
        <v>10360</v>
      </c>
      <c r="T10" s="2">
        <v>7265</v>
      </c>
      <c r="U10" s="28"/>
      <c r="V10" s="20" t="s">
        <v>55</v>
      </c>
      <c r="W10" s="28">
        <f t="shared" si="1"/>
        <v>0.67860967773342418</v>
      </c>
      <c r="X10" s="28">
        <f t="shared" si="2"/>
        <v>0.7832345469940728</v>
      </c>
      <c r="Y10" s="28">
        <f t="shared" si="3"/>
        <v>0.63549075391180654</v>
      </c>
      <c r="Z10" s="28">
        <f t="shared" si="4"/>
        <v>0.60072595281306718</v>
      </c>
      <c r="AA10" s="28">
        <f t="shared" si="5"/>
        <v>0.69050218340611358</v>
      </c>
      <c r="AB10" s="28">
        <f t="shared" si="6"/>
        <v>0.70122525918944389</v>
      </c>
      <c r="AC10" s="28">
        <f t="shared" si="7"/>
        <v>0.69586372129777874</v>
      </c>
      <c r="AD10" s="28"/>
      <c r="AE10" s="20"/>
      <c r="AF10" s="19" t="s">
        <v>286</v>
      </c>
      <c r="AG10" s="2">
        <v>10271</v>
      </c>
      <c r="AH10" s="2">
        <v>6970</v>
      </c>
      <c r="AI10" s="20">
        <f t="shared" si="15"/>
        <v>471.57142857142856</v>
      </c>
      <c r="AJ10" s="20"/>
      <c r="AL10" s="19" t="s">
        <v>53</v>
      </c>
      <c r="AM10" s="2">
        <v>2375</v>
      </c>
      <c r="AN10" s="2">
        <v>1878</v>
      </c>
      <c r="AO10" s="2">
        <v>2861</v>
      </c>
      <c r="AP10" s="2">
        <v>1954</v>
      </c>
      <c r="AQ10" s="2">
        <v>2207</v>
      </c>
      <c r="AR10" s="2">
        <v>1415</v>
      </c>
      <c r="AS10" s="2">
        <v>1854</v>
      </c>
      <c r="AT10" s="2">
        <v>1268</v>
      </c>
      <c r="AU10" s="2">
        <v>1063</v>
      </c>
      <c r="AV10" s="2">
        <v>750</v>
      </c>
      <c r="AW10" s="2">
        <v>10360</v>
      </c>
      <c r="AX10" s="2">
        <v>7265</v>
      </c>
      <c r="AZ10" s="20" t="s">
        <v>55</v>
      </c>
      <c r="BA10" s="25">
        <f t="shared" si="8"/>
        <v>471.57142857142856</v>
      </c>
      <c r="BB10" s="25">
        <f t="shared" si="9"/>
        <v>73.142857142857139</v>
      </c>
      <c r="BC10" s="25">
        <f t="shared" si="10"/>
        <v>146.42857142857142</v>
      </c>
      <c r="BD10" s="25">
        <f t="shared" si="11"/>
        <v>125.71428571428571</v>
      </c>
      <c r="BE10" s="25">
        <f t="shared" si="12"/>
        <v>81</v>
      </c>
      <c r="BF10" s="25">
        <f t="shared" si="13"/>
        <v>45.285714285714285</v>
      </c>
      <c r="BG10" s="26">
        <f t="shared" si="14"/>
        <v>126.28571428571428</v>
      </c>
    </row>
    <row r="11" spans="1:59" x14ac:dyDescent="0.25">
      <c r="A11" s="3"/>
      <c r="E11" s="3" t="e">
        <f t="shared" si="0"/>
        <v>#DIV/0!</v>
      </c>
      <c r="G11" s="28"/>
      <c r="H11" s="19" t="s">
        <v>54</v>
      </c>
      <c r="I11" s="2">
        <v>2367</v>
      </c>
      <c r="J11" s="2">
        <v>1784</v>
      </c>
      <c r="K11" s="2">
        <v>2859</v>
      </c>
      <c r="L11" s="2">
        <v>1811</v>
      </c>
      <c r="M11" s="2">
        <v>2195</v>
      </c>
      <c r="N11" s="2">
        <v>1354</v>
      </c>
      <c r="O11" s="2">
        <v>1836</v>
      </c>
      <c r="P11" s="2">
        <v>1240</v>
      </c>
      <c r="Q11" s="2">
        <v>1049</v>
      </c>
      <c r="R11" s="2">
        <v>770</v>
      </c>
      <c r="S11" s="2">
        <v>10306</v>
      </c>
      <c r="T11" s="2">
        <v>6959</v>
      </c>
      <c r="U11" s="28"/>
      <c r="V11" s="20" t="s">
        <v>56</v>
      </c>
      <c r="W11" s="28" t="e">
        <f t="shared" si="1"/>
        <v>#N/A</v>
      </c>
      <c r="X11" s="28" t="e">
        <f t="shared" si="2"/>
        <v>#N/A</v>
      </c>
      <c r="Y11" s="28" t="e">
        <f t="shared" si="3"/>
        <v>#N/A</v>
      </c>
      <c r="Z11" s="28" t="e">
        <f t="shared" si="4"/>
        <v>#N/A</v>
      </c>
      <c r="AA11" s="28" t="e">
        <f t="shared" si="5"/>
        <v>#N/A</v>
      </c>
      <c r="AB11" s="28" t="e">
        <f t="shared" si="6"/>
        <v>#N/A</v>
      </c>
      <c r="AC11" s="28" t="e">
        <f t="shared" si="7"/>
        <v>#N/A</v>
      </c>
      <c r="AD11" s="28"/>
      <c r="AE11" s="20"/>
      <c r="AI11" s="20">
        <f>(AG11-AH11)/7</f>
        <v>0</v>
      </c>
      <c r="AJ11" s="20"/>
      <c r="AL11" s="19" t="s">
        <v>54</v>
      </c>
      <c r="AM11" s="2">
        <v>2367</v>
      </c>
      <c r="AN11" s="2">
        <v>1784</v>
      </c>
      <c r="AO11" s="2">
        <v>2859</v>
      </c>
      <c r="AP11" s="2">
        <v>1811</v>
      </c>
      <c r="AQ11" s="2">
        <v>2195</v>
      </c>
      <c r="AR11" s="2">
        <v>1354</v>
      </c>
      <c r="AS11" s="2">
        <v>1836</v>
      </c>
      <c r="AT11" s="2">
        <v>1240</v>
      </c>
      <c r="AU11" s="2">
        <v>1049</v>
      </c>
      <c r="AV11" s="2">
        <v>770</v>
      </c>
      <c r="AW11" s="2">
        <v>10306</v>
      </c>
      <c r="AX11" s="2">
        <v>6959</v>
      </c>
      <c r="AZ11" s="20" t="s">
        <v>56</v>
      </c>
      <c r="BA11" s="25" t="e">
        <f t="shared" si="8"/>
        <v>#N/A</v>
      </c>
      <c r="BB11" s="25" t="e">
        <f t="shared" si="9"/>
        <v>#N/A</v>
      </c>
      <c r="BC11" s="25" t="e">
        <f t="shared" si="10"/>
        <v>#N/A</v>
      </c>
      <c r="BD11" s="25" t="e">
        <f t="shared" si="11"/>
        <v>#N/A</v>
      </c>
      <c r="BE11" s="25" t="e">
        <f t="shared" si="12"/>
        <v>#N/A</v>
      </c>
      <c r="BF11" s="25" t="e">
        <f t="shared" si="13"/>
        <v>#N/A</v>
      </c>
      <c r="BG11" s="26" t="e">
        <f t="shared" si="14"/>
        <v>#N/A</v>
      </c>
    </row>
    <row r="12" spans="1:59" x14ac:dyDescent="0.25">
      <c r="A12" s="3"/>
      <c r="E12" s="3" t="e">
        <f t="shared" si="0"/>
        <v>#DIV/0!</v>
      </c>
      <c r="G12" s="28"/>
      <c r="H12" s="19" t="s">
        <v>55</v>
      </c>
      <c r="I12" s="2">
        <v>2362</v>
      </c>
      <c r="J12" s="2">
        <v>1850</v>
      </c>
      <c r="K12" s="2">
        <v>2812</v>
      </c>
      <c r="L12" s="2">
        <v>1787</v>
      </c>
      <c r="M12" s="2">
        <v>2204</v>
      </c>
      <c r="N12" s="2">
        <v>1324</v>
      </c>
      <c r="O12" s="2">
        <v>1832</v>
      </c>
      <c r="P12" s="2">
        <v>1265</v>
      </c>
      <c r="Q12" s="2">
        <v>1061</v>
      </c>
      <c r="R12" s="2">
        <v>744</v>
      </c>
      <c r="S12" s="2">
        <v>10271</v>
      </c>
      <c r="T12" s="2">
        <v>6970</v>
      </c>
      <c r="U12" s="28"/>
      <c r="V12" s="20" t="s">
        <v>57</v>
      </c>
      <c r="W12" s="28" t="e">
        <f t="shared" si="1"/>
        <v>#N/A</v>
      </c>
      <c r="X12" s="28" t="e">
        <f t="shared" si="2"/>
        <v>#N/A</v>
      </c>
      <c r="Y12" s="28" t="e">
        <f t="shared" si="3"/>
        <v>#N/A</v>
      </c>
      <c r="Z12" s="28" t="e">
        <f t="shared" si="4"/>
        <v>#N/A</v>
      </c>
      <c r="AA12" s="28" t="e">
        <f t="shared" si="5"/>
        <v>#N/A</v>
      </c>
      <c r="AB12" s="28" t="e">
        <f t="shared" si="6"/>
        <v>#N/A</v>
      </c>
      <c r="AC12" s="28" t="e">
        <f t="shared" si="7"/>
        <v>#N/A</v>
      </c>
      <c r="AD12" s="28"/>
      <c r="AE12" s="20"/>
      <c r="AI12" s="20">
        <f t="shared" si="15"/>
        <v>0</v>
      </c>
      <c r="AJ12" s="20"/>
      <c r="AL12" s="19" t="s">
        <v>55</v>
      </c>
      <c r="AM12" s="2">
        <v>2362</v>
      </c>
      <c r="AN12" s="2">
        <v>1850</v>
      </c>
      <c r="AO12" s="2">
        <v>2812</v>
      </c>
      <c r="AP12" s="2">
        <v>1787</v>
      </c>
      <c r="AQ12" s="2">
        <v>2204</v>
      </c>
      <c r="AR12" s="2">
        <v>1324</v>
      </c>
      <c r="AS12" s="2">
        <v>1832</v>
      </c>
      <c r="AT12" s="2">
        <v>1265</v>
      </c>
      <c r="AU12" s="2">
        <v>1061</v>
      </c>
      <c r="AV12" s="2">
        <v>744</v>
      </c>
      <c r="AW12" s="2">
        <v>10271</v>
      </c>
      <c r="AX12" s="2">
        <v>6970</v>
      </c>
      <c r="AZ12" s="20" t="s">
        <v>57</v>
      </c>
      <c r="BA12" s="25" t="e">
        <f t="shared" si="8"/>
        <v>#N/A</v>
      </c>
      <c r="BB12" s="25" t="e">
        <f t="shared" si="9"/>
        <v>#N/A</v>
      </c>
      <c r="BC12" s="25" t="e">
        <f t="shared" si="10"/>
        <v>#N/A</v>
      </c>
      <c r="BD12" s="25" t="e">
        <f t="shared" si="11"/>
        <v>#N/A</v>
      </c>
      <c r="BE12" s="25" t="e">
        <f t="shared" si="12"/>
        <v>#N/A</v>
      </c>
      <c r="BF12" s="25" t="e">
        <f t="shared" si="13"/>
        <v>#N/A</v>
      </c>
      <c r="BG12" s="26" t="e">
        <f t="shared" si="14"/>
        <v>#N/A</v>
      </c>
    </row>
    <row r="13" spans="1:59" x14ac:dyDescent="0.25">
      <c r="A13" s="3"/>
      <c r="E13" s="3" t="e">
        <f t="shared" si="0"/>
        <v>#DIV/0!</v>
      </c>
      <c r="G13" s="28"/>
      <c r="H13" s="19" t="s">
        <v>46</v>
      </c>
      <c r="I13" s="2">
        <v>11828</v>
      </c>
      <c r="J13" s="2">
        <v>9205</v>
      </c>
      <c r="K13" s="2">
        <v>14263</v>
      </c>
      <c r="L13" s="2">
        <v>9396</v>
      </c>
      <c r="M13" s="2">
        <v>11075</v>
      </c>
      <c r="N13" s="2">
        <v>7163</v>
      </c>
      <c r="O13" s="2">
        <v>9193</v>
      </c>
      <c r="P13" s="2">
        <v>6099</v>
      </c>
      <c r="Q13" s="2">
        <v>5293</v>
      </c>
      <c r="R13" s="2">
        <v>3597</v>
      </c>
      <c r="S13" s="2">
        <v>51652</v>
      </c>
      <c r="T13" s="2">
        <v>35460</v>
      </c>
      <c r="U13" s="28"/>
      <c r="V13" s="20" t="s">
        <v>58</v>
      </c>
      <c r="W13" s="28" t="e">
        <f t="shared" si="1"/>
        <v>#N/A</v>
      </c>
      <c r="X13" s="28" t="e">
        <f t="shared" si="2"/>
        <v>#N/A</v>
      </c>
      <c r="Y13" s="28" t="e">
        <f t="shared" si="3"/>
        <v>#N/A</v>
      </c>
      <c r="Z13" s="28" t="e">
        <f t="shared" si="4"/>
        <v>#N/A</v>
      </c>
      <c r="AA13" s="28" t="e">
        <f t="shared" si="5"/>
        <v>#N/A</v>
      </c>
      <c r="AB13" s="28" t="e">
        <f t="shared" si="6"/>
        <v>#N/A</v>
      </c>
      <c r="AC13" s="28" t="e">
        <f t="shared" si="7"/>
        <v>#N/A</v>
      </c>
      <c r="AD13" s="28"/>
      <c r="AE13" s="20"/>
      <c r="AI13" s="20">
        <f t="shared" si="15"/>
        <v>0</v>
      </c>
      <c r="AJ13" s="20"/>
      <c r="AL13" s="19" t="s">
        <v>46</v>
      </c>
      <c r="AM13" s="2">
        <v>11828</v>
      </c>
      <c r="AN13" s="2">
        <v>9205</v>
      </c>
      <c r="AO13" s="2">
        <v>14263</v>
      </c>
      <c r="AP13" s="2">
        <v>9396</v>
      </c>
      <c r="AQ13" s="2">
        <v>11075</v>
      </c>
      <c r="AR13" s="2">
        <v>7163</v>
      </c>
      <c r="AS13" s="2">
        <v>9193</v>
      </c>
      <c r="AT13" s="2">
        <v>6099</v>
      </c>
      <c r="AU13" s="2">
        <v>5293</v>
      </c>
      <c r="AV13" s="2">
        <v>3597</v>
      </c>
      <c r="AW13" s="2">
        <v>51652</v>
      </c>
      <c r="AX13" s="2">
        <v>35460</v>
      </c>
      <c r="AZ13" s="20" t="s">
        <v>58</v>
      </c>
      <c r="BA13" s="25" t="e">
        <f t="shared" si="8"/>
        <v>#N/A</v>
      </c>
      <c r="BB13" s="25" t="e">
        <f t="shared" si="9"/>
        <v>#N/A</v>
      </c>
      <c r="BC13" s="25" t="e">
        <f t="shared" si="10"/>
        <v>#N/A</v>
      </c>
      <c r="BD13" s="25" t="e">
        <f t="shared" si="11"/>
        <v>#N/A</v>
      </c>
      <c r="BE13" s="25" t="e">
        <f t="shared" si="12"/>
        <v>#N/A</v>
      </c>
      <c r="BF13" s="25" t="e">
        <f t="shared" si="13"/>
        <v>#N/A</v>
      </c>
      <c r="BG13" s="26" t="e">
        <f t="shared" si="14"/>
        <v>#N/A</v>
      </c>
    </row>
    <row r="14" spans="1:59" x14ac:dyDescent="0.25">
      <c r="A14" s="3"/>
      <c r="E14" s="3" t="e">
        <f t="shared" si="0"/>
        <v>#DIV/0!</v>
      </c>
      <c r="G14" s="28"/>
      <c r="S14" s="28"/>
      <c r="T14" s="28"/>
      <c r="U14" s="28"/>
      <c r="V14" s="20" t="s">
        <v>59</v>
      </c>
      <c r="W14" s="28" t="e">
        <f t="shared" si="1"/>
        <v>#N/A</v>
      </c>
      <c r="X14" s="28" t="e">
        <f t="shared" si="2"/>
        <v>#N/A</v>
      </c>
      <c r="Y14" s="28" t="e">
        <f t="shared" si="3"/>
        <v>#N/A</v>
      </c>
      <c r="Z14" s="28" t="e">
        <f t="shared" si="4"/>
        <v>#N/A</v>
      </c>
      <c r="AA14" s="28" t="e">
        <f t="shared" si="5"/>
        <v>#N/A</v>
      </c>
      <c r="AB14" s="28" t="e">
        <f t="shared" si="6"/>
        <v>#N/A</v>
      </c>
      <c r="AC14" s="28" t="e">
        <f t="shared" si="7"/>
        <v>#N/A</v>
      </c>
      <c r="AD14" s="28"/>
      <c r="AE14" s="20"/>
      <c r="AI14" s="20">
        <f t="shared" si="15"/>
        <v>0</v>
      </c>
      <c r="AJ14" s="20"/>
      <c r="AZ14" s="20" t="s">
        <v>59</v>
      </c>
      <c r="BA14" s="25" t="e">
        <f t="shared" si="8"/>
        <v>#N/A</v>
      </c>
      <c r="BB14" s="25" t="e">
        <f t="shared" si="9"/>
        <v>#N/A</v>
      </c>
      <c r="BC14" s="25" t="e">
        <f t="shared" si="10"/>
        <v>#N/A</v>
      </c>
      <c r="BD14" s="25" t="e">
        <f t="shared" si="11"/>
        <v>#N/A</v>
      </c>
      <c r="BE14" s="25" t="e">
        <f t="shared" si="12"/>
        <v>#N/A</v>
      </c>
      <c r="BF14" s="25" t="e">
        <f t="shared" si="13"/>
        <v>#N/A</v>
      </c>
      <c r="BG14" s="26" t="e">
        <f t="shared" si="14"/>
        <v>#N/A</v>
      </c>
    </row>
    <row r="15" spans="1:59" x14ac:dyDescent="0.25">
      <c r="A15" s="3"/>
      <c r="E15" s="3" t="e">
        <f t="shared" si="0"/>
        <v>#DIV/0!</v>
      </c>
      <c r="G15" s="28"/>
      <c r="S15" s="28"/>
      <c r="T15" s="28"/>
      <c r="U15" s="28"/>
      <c r="V15" s="20" t="s">
        <v>60</v>
      </c>
      <c r="W15" s="28" t="e">
        <f t="shared" si="1"/>
        <v>#N/A</v>
      </c>
      <c r="X15" s="28" t="e">
        <f t="shared" si="2"/>
        <v>#N/A</v>
      </c>
      <c r="Y15" s="28" t="e">
        <f t="shared" si="3"/>
        <v>#N/A</v>
      </c>
      <c r="Z15" s="28" t="e">
        <f t="shared" si="4"/>
        <v>#N/A</v>
      </c>
      <c r="AA15" s="28" t="e">
        <f t="shared" si="5"/>
        <v>#N/A</v>
      </c>
      <c r="AB15" s="28" t="e">
        <f t="shared" si="6"/>
        <v>#N/A</v>
      </c>
      <c r="AC15" s="28" t="e">
        <f t="shared" si="7"/>
        <v>#N/A</v>
      </c>
      <c r="AD15" s="28"/>
      <c r="AE15" s="20"/>
      <c r="AI15" s="20">
        <f t="shared" si="15"/>
        <v>0</v>
      </c>
      <c r="AJ15" s="20"/>
      <c r="AZ15" s="20" t="s">
        <v>60</v>
      </c>
      <c r="BA15" s="25" t="e">
        <f t="shared" si="8"/>
        <v>#N/A</v>
      </c>
      <c r="BB15" s="25" t="e">
        <f t="shared" si="9"/>
        <v>#N/A</v>
      </c>
      <c r="BC15" s="25" t="e">
        <f t="shared" si="10"/>
        <v>#N/A</v>
      </c>
      <c r="BD15" s="25" t="e">
        <f t="shared" si="11"/>
        <v>#N/A</v>
      </c>
      <c r="BE15" s="25" t="e">
        <f t="shared" si="12"/>
        <v>#N/A</v>
      </c>
      <c r="BF15" s="25" t="e">
        <f t="shared" si="13"/>
        <v>#N/A</v>
      </c>
      <c r="BG15" s="26" t="e">
        <f t="shared" si="14"/>
        <v>#N/A</v>
      </c>
    </row>
    <row r="16" spans="1:59" x14ac:dyDescent="0.25">
      <c r="A16" s="3"/>
      <c r="E16" s="3" t="e">
        <f t="shared" si="0"/>
        <v>#DIV/0!</v>
      </c>
      <c r="G16" s="28"/>
      <c r="S16" s="28"/>
      <c r="T16" s="28"/>
      <c r="U16" s="28"/>
      <c r="V16" s="20" t="s">
        <v>61</v>
      </c>
      <c r="W16" s="28" t="e">
        <f t="shared" si="1"/>
        <v>#N/A</v>
      </c>
      <c r="X16" s="28" t="e">
        <f t="shared" si="2"/>
        <v>#N/A</v>
      </c>
      <c r="Y16" s="28" t="e">
        <f t="shared" si="3"/>
        <v>#N/A</v>
      </c>
      <c r="Z16" s="28" t="e">
        <f t="shared" si="4"/>
        <v>#N/A</v>
      </c>
      <c r="AA16" s="28" t="e">
        <f t="shared" si="5"/>
        <v>#N/A</v>
      </c>
      <c r="AB16" s="28" t="e">
        <f t="shared" si="6"/>
        <v>#N/A</v>
      </c>
      <c r="AC16" s="28" t="e">
        <f t="shared" si="7"/>
        <v>#N/A</v>
      </c>
      <c r="AD16" s="28"/>
      <c r="AE16" s="20"/>
      <c r="AI16" s="20">
        <f t="shared" si="15"/>
        <v>0</v>
      </c>
      <c r="AJ16" s="20"/>
      <c r="AZ16" s="20" t="s">
        <v>61</v>
      </c>
      <c r="BA16" s="25" t="e">
        <f t="shared" si="8"/>
        <v>#N/A</v>
      </c>
      <c r="BB16" s="25" t="e">
        <f t="shared" si="9"/>
        <v>#N/A</v>
      </c>
      <c r="BC16" s="25" t="e">
        <f t="shared" si="10"/>
        <v>#N/A</v>
      </c>
      <c r="BD16" s="25" t="e">
        <f t="shared" si="11"/>
        <v>#N/A</v>
      </c>
      <c r="BE16" s="25" t="e">
        <f t="shared" si="12"/>
        <v>#N/A</v>
      </c>
      <c r="BF16" s="25" t="e">
        <f t="shared" si="13"/>
        <v>#N/A</v>
      </c>
      <c r="BG16" s="26" t="e">
        <f t="shared" si="14"/>
        <v>#N/A</v>
      </c>
    </row>
    <row r="17" spans="1:59" x14ac:dyDescent="0.25">
      <c r="A17" s="3"/>
      <c r="E17" s="3" t="e">
        <f t="shared" si="0"/>
        <v>#DIV/0!</v>
      </c>
      <c r="G17" s="28"/>
      <c r="S17" s="28"/>
      <c r="T17" s="28"/>
      <c r="U17" s="28"/>
      <c r="V17" s="20" t="s">
        <v>62</v>
      </c>
      <c r="W17" s="28" t="e">
        <f t="shared" si="1"/>
        <v>#N/A</v>
      </c>
      <c r="X17" s="28" t="e">
        <f t="shared" si="2"/>
        <v>#N/A</v>
      </c>
      <c r="Y17" s="28" t="e">
        <f t="shared" si="3"/>
        <v>#N/A</v>
      </c>
      <c r="Z17" s="28" t="e">
        <f t="shared" si="4"/>
        <v>#N/A</v>
      </c>
      <c r="AA17" s="28" t="e">
        <f t="shared" si="5"/>
        <v>#N/A</v>
      </c>
      <c r="AB17" s="28" t="e">
        <f t="shared" si="6"/>
        <v>#N/A</v>
      </c>
      <c r="AC17" s="28" t="e">
        <f t="shared" si="7"/>
        <v>#N/A</v>
      </c>
      <c r="AD17" s="28"/>
      <c r="AE17" s="20"/>
      <c r="AI17" s="20">
        <f t="shared" si="15"/>
        <v>0</v>
      </c>
      <c r="AJ17" s="20"/>
      <c r="AZ17" s="20" t="s">
        <v>62</v>
      </c>
      <c r="BA17" s="25" t="e">
        <f t="shared" si="8"/>
        <v>#N/A</v>
      </c>
      <c r="BB17" s="25" t="e">
        <f t="shared" si="9"/>
        <v>#N/A</v>
      </c>
      <c r="BC17" s="25" t="e">
        <f t="shared" si="10"/>
        <v>#N/A</v>
      </c>
      <c r="BD17" s="25" t="e">
        <f t="shared" si="11"/>
        <v>#N/A</v>
      </c>
      <c r="BE17" s="25" t="e">
        <f t="shared" si="12"/>
        <v>#N/A</v>
      </c>
      <c r="BF17" s="25" t="e">
        <f t="shared" si="13"/>
        <v>#N/A</v>
      </c>
      <c r="BG17" s="26" t="e">
        <f t="shared" si="14"/>
        <v>#N/A</v>
      </c>
    </row>
    <row r="18" spans="1:59" x14ac:dyDescent="0.25">
      <c r="A18" s="3"/>
      <c r="E18" s="3" t="e">
        <f t="shared" si="0"/>
        <v>#DIV/0!</v>
      </c>
      <c r="G18" s="28"/>
      <c r="S18" s="28"/>
      <c r="T18" s="28"/>
      <c r="U18" s="28"/>
      <c r="V18" s="20" t="s">
        <v>63</v>
      </c>
      <c r="W18" s="28" t="e">
        <f t="shared" si="1"/>
        <v>#N/A</v>
      </c>
      <c r="X18" s="28" t="e">
        <f t="shared" si="2"/>
        <v>#N/A</v>
      </c>
      <c r="Y18" s="28" t="e">
        <f t="shared" si="3"/>
        <v>#N/A</v>
      </c>
      <c r="Z18" s="28" t="e">
        <f t="shared" si="4"/>
        <v>#N/A</v>
      </c>
      <c r="AA18" s="28" t="e">
        <f t="shared" si="5"/>
        <v>#N/A</v>
      </c>
      <c r="AB18" s="28" t="e">
        <f t="shared" si="6"/>
        <v>#N/A</v>
      </c>
      <c r="AC18" s="28" t="e">
        <f t="shared" si="7"/>
        <v>#N/A</v>
      </c>
      <c r="AD18" s="28"/>
      <c r="AE18" s="20"/>
      <c r="AI18" s="20">
        <f t="shared" si="15"/>
        <v>0</v>
      </c>
      <c r="AJ18" s="20"/>
      <c r="AZ18" s="20" t="s">
        <v>63</v>
      </c>
      <c r="BA18" s="25" t="e">
        <f t="shared" si="8"/>
        <v>#N/A</v>
      </c>
      <c r="BB18" s="25" t="e">
        <f t="shared" si="9"/>
        <v>#N/A</v>
      </c>
      <c r="BC18" s="25" t="e">
        <f t="shared" si="10"/>
        <v>#N/A</v>
      </c>
      <c r="BD18" s="25" t="e">
        <f t="shared" si="11"/>
        <v>#N/A</v>
      </c>
      <c r="BE18" s="25" t="e">
        <f t="shared" si="12"/>
        <v>#N/A</v>
      </c>
      <c r="BF18" s="25" t="e">
        <f t="shared" si="13"/>
        <v>#N/A</v>
      </c>
      <c r="BG18" s="26" t="e">
        <f t="shared" si="14"/>
        <v>#N/A</v>
      </c>
    </row>
    <row r="19" spans="1:59" x14ac:dyDescent="0.25">
      <c r="A19" s="3"/>
      <c r="E19" s="3" t="e">
        <f t="shared" si="0"/>
        <v>#DIV/0!</v>
      </c>
      <c r="G19" s="28"/>
      <c r="S19" s="28"/>
      <c r="T19" s="28"/>
      <c r="U19" s="28"/>
      <c r="V19" s="20" t="s">
        <v>64</v>
      </c>
      <c r="W19" s="28" t="e">
        <f t="shared" si="1"/>
        <v>#N/A</v>
      </c>
      <c r="X19" s="28" t="e">
        <f t="shared" si="2"/>
        <v>#N/A</v>
      </c>
      <c r="Y19" s="28" t="e">
        <f t="shared" si="3"/>
        <v>#N/A</v>
      </c>
      <c r="Z19" s="28" t="e">
        <f t="shared" si="4"/>
        <v>#N/A</v>
      </c>
      <c r="AA19" s="28" t="e">
        <f t="shared" si="5"/>
        <v>#N/A</v>
      </c>
      <c r="AB19" s="28" t="e">
        <f t="shared" si="6"/>
        <v>#N/A</v>
      </c>
      <c r="AC19" s="28" t="e">
        <f t="shared" si="7"/>
        <v>#N/A</v>
      </c>
      <c r="AD19" s="28"/>
      <c r="AE19" s="20"/>
      <c r="AI19" s="20">
        <f t="shared" si="15"/>
        <v>0</v>
      </c>
      <c r="AJ19" s="20"/>
      <c r="AZ19" s="20" t="s">
        <v>64</v>
      </c>
      <c r="BA19" s="25" t="e">
        <f t="shared" si="8"/>
        <v>#N/A</v>
      </c>
      <c r="BB19" s="25" t="e">
        <f t="shared" si="9"/>
        <v>#N/A</v>
      </c>
      <c r="BC19" s="25" t="e">
        <f t="shared" si="10"/>
        <v>#N/A</v>
      </c>
      <c r="BD19" s="25" t="e">
        <f t="shared" si="11"/>
        <v>#N/A</v>
      </c>
      <c r="BE19" s="25" t="e">
        <f t="shared" si="12"/>
        <v>#N/A</v>
      </c>
      <c r="BF19" s="25" t="e">
        <f t="shared" si="13"/>
        <v>#N/A</v>
      </c>
      <c r="BG19" s="26" t="e">
        <f t="shared" si="14"/>
        <v>#N/A</v>
      </c>
    </row>
    <row r="20" spans="1:59" x14ac:dyDescent="0.25">
      <c r="A20" s="3"/>
      <c r="E20" s="3" t="e">
        <f t="shared" si="0"/>
        <v>#DIV/0!</v>
      </c>
      <c r="AE20" s="20"/>
      <c r="AI20" s="20">
        <f t="shared" si="15"/>
        <v>0</v>
      </c>
      <c r="AJ20" s="20"/>
    </row>
  </sheetData>
  <mergeCells count="2">
    <mergeCell ref="AL1:BG1"/>
    <mergeCell ref="H1:AC1"/>
  </mergeCell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6 3 d 3 7 9 a d - 3 3 1 6 - 4 2 2 0 - 9 6 a b - b 2 4 f f 7 e d 4 0 9 f " > < 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 N I C U < / S l i c e r S h e e t N a m e > < S A H o s t H a s h > 3 9 4 3 4 4 7 3 9 < / S A H o s t H a s h > < G e m i n i F i e l d L i s t V i s i b l e > T r u e < / G e m i n i F i e l d L i s t V i s i b l e > < / S e t t i n g s > ] ] > < / C u s t o m C o n t e n t > < / G e m i n i > 
</file>

<file path=customXml/item10.xml>��< ? x m l   v e r s i o n = " 1 . 0 "   e n c o d i n g = " U T F - 1 6 " ? > < G e m i n i   x m l n s = " h t t p : / / g e m i n i / p i v o t c u s t o m i z a t i o n / 8 6 0 2 e 9 0 7 - d d c 4 - 4 0 b b - 8 9 c a - 8 3 6 9 d e 9 1 4 b b 2 " > < 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 1 5 9 1 1 1 9 6 3 7 < / S A H o s t H a s h > < G e m i n i F i e l d L i s t V i s i b l e > T r u e < / G e m i n i F i e l d L i s t V i s i b l e > < / S e t t i n g s > ] ] > < / C u s t o m C o n t e n t > < / G e m i n i > 
</file>

<file path=customXml/item11.xml>��< ? x m l   v e r s i o n = " 1 . 0 "   e n c o d i n g = " U T F - 1 6 " ? > < G e m i n i   x m l n s = " h t t p : / / g e m i n i / w o r k b o o k c u s t o m i z a t i o n / S a n d b o x N o n E m p t y " > < C u s t o m C o n t e n t > < ! [ C D A T A [ 1 ] ] > < / C u s t o m C o n t e n t > < / G e m i n i > 
</file>

<file path=customXml/item12.xml>��< ? x m l   v e r s i o n = " 1 . 0 "   e n c o d i n g = " U T F - 1 6 " ? > < G e m i n i   x m l n s = " h t t p : / / g e m i n i / w o r k b o o k c u s t o m i z a t i o n / F i e l d L i s t R e f r e s h N e e d e d D i c t i o n a r y " > < C u s t o m C o n t e n t > < ! [ C D A T A [ < D i c t i o n a r y   / > ] ] > < / C u s t o m C o n t e n t > < / G e m i n i > 
</file>

<file path=customXml/item13.xml>��< ? x m l   v e r s i o n = " 1 . 0 "   e n c o d i n g = " U T F - 1 6 " ? > < G e m i n i   x m l n s = " h t t p : / / g e m i n i / p i v o t c u s t o m i z a t i o n / 8 e e d c 9 7 8 - 0 7 e 8 - 4 8 d 8 - 8 1 c 4 - 2 d 3 3 6 5 5 3 a 9 2 f " > < 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 1 8 9 7 8 7 8 9 9 9 < / S A H o s t H a s h > < G e m i n i F i e l d L i s t V i s i b l e > T r u e < / G e m i n i F i e l d L i s t V i s i b l e > < / S e t t i n g s > ] ] > < / C u s t o m C o n t e n t > < / G e m i n i > 
</file>

<file path=customXml/item14.xml>��< ? x m l   v e r s i o n = " 1 . 0 "   e n c o d i n g = " U T F - 1 6 " ? > < G e m i n i   x m l n s = " h t t p : / / g e m i n i / p i v o t c u s t o m i z a t i o n / 6 8 c e 7 b b 5 - b 9 a 1 - 4 6 1 8 - b 6 f 2 - 2 5 0 7 f 2 2 3 e 5 3 3 " > < C u s t o m C o n t e n t > < ! [ C D A T A [ < ? x m l   v e r s i o n = " 1 . 0 "   e n c o d i n g = " u t f - 1 6 " ? > < S e t t i n g s > < C a l c u l a t e d F i e l d s > < i t e m > < M e a s u r e N a m e > S u m   o f   B e d s   o c c   o v e r   7   d a y s < / M e a s u r e N a m e > < D i s p l a y N a m e > S u m   o f   B e d s   o c c   o v e r   7   d a y s < / D i s p l a y N a m e > < V i s i b l e > T r u e < / V i s i b l e > < / i t e m > < / C a l c u l a t e d F i e l d s > < H S l i c e r s S h a p e > 0 ; 0 ; 0 ; 0 < / H S l i c e r s S h a p e > < V S l i c e r s S h a p e > 0 ; 0 ; 0 ; 0 < / V S l i c e r s S h a p e > < S l i c e r S h e e t N a m e > L o n g   s t a y < / S l i c e r S h e e t N a m e > < S A H o s t H a s h > 5 8 8 7 0 7 4 2 6 < / S A H o s t H a s h > < G e m i n i F i e l d L i s t V i s i b l e > T r u e < / G e m i n i F i e l d L i s t V i s i b l e > < / S e t t i n g s > ] ] > < / C u s t o m C o n t e n t > < / G e m i n i > 
</file>

<file path=customXml/item15.xml>��< ? x m l   v e r s i o n = " 1 . 0 "   e n c o d i n g = " U T F - 1 6 " ? > < G e m i n i   x m l n s = " h t t p : / / g e m i n i / p i v o t c u s t o m i z a t i o n / T a b l e O r d e r " > < C u s t o m C o n t e n t > W i n t e r   d a i l y   s i t r e p s _ 1 d f 8 1 2 b b - 9 f c 3 - 4 6 7 4 - 8 d 4 1 - 6 0 c 6 7 2 6 a 8 e f 3 , W i n t e r   b e d   o c c   o v e r   1 4   d a y s < / C u s t o m C o n t e n t > < / G e m i n i > 
</file>

<file path=customXml/item16.xml>��< ? x m l   v e r s i o n = " 1 . 0 "   e n c o d i n g = " U T F - 1 6 " ? > < G e m i n i   x m l n s = " h t t p : / / g e m i n i / p i v o t c u s t o m i z a t i o n / T a b l e X M L _ W i n t e r   b e d   o c c   o v e r   1 4   d a y s " > < C u s t o m C o n t e n t > & l t ; T a b l e W i d g e t G r i d S e r i a l i z a t i o n   x m l n s : x s i = " h t t p : / / w w w . w 3 . o r g / 2 0 0 1 / X M L S c h e m a - i n s t a n c e "   x m l n s : x s d = " h t t p : / / w w w . w 3 . o r g / 2 0 0 1 / X M L S c h e m a " & g t ; & l t ; C o l u m n S u g g e s t e d T y p e & g t ; & l t ; i t e m & g t ; & l t ; k e y & g t ; & l t ; s t r i n g & g t ; R e g i o n & l t ; / s t r i n g & g t ; & l t ; / k e y & g t ; & l t ; v a l u e & g t ; & l t ; s t r i n g & g t ; W C h a r & l t ; / s t r i n g & g t ; & l t ; / v a l u e & g t ; & l t ; / i t e m & g t ; & l t ; i t e m & g t ; & l t ; k e y & g t ; & l t ; s t r i n g & g t ; C o d e & l t ; / s t r i n g & g t ; & l t ; / k e y & g t ; & l t ; v a l u e & g t ; & l t ; s t r i n g & g t ; W C h a r & l t ; / s t r i n g & g t ; & l t ; / v a l u e & g t ; & l t ; / i t e m & g t ; & l t ; i t e m & g t ; & l t ; k e y & g t ; & l t ; s t r i n g & g t ; N a m e & l t ; / s t r i n g & g t ; & l t ; / k e y & g t ; & l t ; v a l u e & g t ; & l t ; s t r i n g & g t ; W C h a r & l t ; / s t r i n g & g t ; & l t ; / v a l u e & g t ; & l t ; / i t e m & g t ; & l t ; i t e m & g t ; & l t ; k e y & g t ; & l t ; s t r i n g & g t ; Y e a r & l t ; / s t r i n g & g t ; & l t ; / k e y & g t ; & l t ; v a l u e & g t ; & l t ; s t r i n g & g t ; W C h a r & l t ; / s t r i n g & g t ; & l t ; / v a l u e & g t ; & l t ; / i t e m & g t ; & l t ; i t e m & g t ; & l t ; k e y & g t ; & l t ; s t r i n g & g t ; D a t e & l t ; / s t r i n g & g t ; & l t ; / k e y & g t ; & l t ; v a l u e & g t ; & l t ; s t r i n g & g t ; D a t e & l t ; / s t r i n g & g t ; & l t ; / v a l u e & g t ; & l t ; / i t e m & g t ; & l t ; i t e m & g t ; & l t ; k e y & g t ; & l t ; s t r i n g & g t ; W e e k & l t ; / s t r i n g & g t ; & l t ; / k e y & g t ; & l t ; v a l u e & g t ; & l t ; s t r i n g & g t ; B i g I n t & l t ; / s t r i n g & g t ; & l t ; / v a l u e & g t ; & l t ; / i t e m & g t ; & l t ; i t e m & g t ; & l t ; k e y & g t ; & l t ; s t r i n g & g t ; D a y & l t ; / s t r i n g & g t ; & l t ; / k e y & g t ; & l t ; v a l u e & g t ; & l t ; s t r i n g & g t ; W C h a r & l t ; / s t r i n g & g t ; & l t ; / v a l u e & g t ; & l t ; / i t e m & g t ; & l t ; i t e m & g t ; & l t ; k e y & g t ; & l t ; s t r i n g & g t ; W e e k e n d & l t ; / s t r i n g & g t ; & l t ; / k e y & g t ; & l t ; v a l u e & g t ; & l t ; s t r i n g & g t ; B i g I n t & l t ; / s t r i n g & g t ; & l t ; / v a l u e & g t ; & l t ; / i t e m & g t ; & l t ; i t e m & g t ; & l t ; k e y & g t ; & l t ; s t r i n g & g t ; B a n k   h o l i d a y & l t ; / s t r i n g & g t ; & l t ; / k e y & g t ; & l t ; v a l u e & g t ; & l t ; s t r i n g & g t ; E m p t y & l t ; / s t r i n g & g t ; & l t ; / v a l u e & g t ; & l t ; / i t e m & g t ; & l t ; i t e m & g t ; & l t ; k e y & g t ; & l t ; s t r i n g & g t ; A   E   c l o s u r e s & l t ; / s t r i n g & g t ; & l t ; / k e y & g t ; & l t ; v a l u e & g t ; & l t ; s t r i n g & g t ; B i g I n t & l t ; / s t r i n g & g t ; & l t ; / v a l u e & g t ; & l t ; / i t e m & g t ; & l t ; i t e m & g t ; & l t ; k e y & g t ; & l t ; s t r i n g & g t ; A   E   d i v e r t s & l t ; / s t r i n g & g t ; & l t ; / k e y & g t ; & l t ; v a l u e & g t ; & l t ; s t r i n g & g t ; B i g I n t & l t ; / s t r i n g & g t ; & l t ; / v a l u e & g t ; & l t ; / i t e m & g t ; & l t ; i t e m & g t ; & l t ; k e y & g t ; & l t ; s t r i n g & g t ; G   A   c o r e   b e d s   a v a i l & l t ; / s t r i n g & g t ; & l t ; / k e y & g t ; & l t ; v a l u e & g t ; & l t ; s t r i n g & g t ; B i g I n t & l t ; / s t r i n g & g t ; & l t ; / v a l u e & g t ; & l t ; / i t e m & g t ; & l t ; i t e m & g t ; & l t ; k e y & g t ; & l t ; s t r i n g & g t ; G   A   e s c a l a t i o n   b e d s   a v a i l & l t ; / s t r i n g & g t ; & l t ; / k e y & g t ; & l t ; v a l u e & g t ; & l t ; s t r i n g & g t ; B i g I n t & l t ; / s t r i n g & g t ; & l t ; / v a l u e & g t ; & l t ; / i t e m & g t ; & l t ; i t e m & g t ; & l t ; k e y & g t ; & l t ; s t r i n g & g t ; G   A   t o t a l   b e d s   a v a i l & l t ; / s t r i n g & g t ; & l t ; / k e y & g t ; & l t ; v a l u e & g t ; & l t ; s t r i n g & g t ; B i g I n t & l t ; / s t r i n g & g t ; & l t ; / v a l u e & g t ; & l t ; / i t e m & g t ; & l t ; i t e m & g t ; & l t ; k e y & g t ; & l t ; s t r i n g & g t ; G   A   t o t a l   b e d s   o c c u p i e d & l t ; / s t r i n g & g t ; & l t ; / k e y & g t ; & l t ; v a l u e & g t ; & l t ; s t r i n g & g t ; B i g I n t & l t ; / s t r i n g & g t ; & l t ; / v a l u e & g t ; & l t ; / i t e m & g t ; & l t ; i t e m & g t ; & l t ; k e y & g t ; & l t ; s t r i n g & g t ; B e d s   o c c   o v e r   7   d a y s & l t ; / s t r i n g & g t ; & l t ; / k e y & g t ; & l t ; v a l u e & g t ; & l t ; s t r i n g & g t ; B i g I n t & l t ; / s t r i n g & g t ; & l t ; / v a l u e & g t ; & l t ; / i t e m & g t ; & l t ; i t e m & g t ; & l t ; k e y & g t ; & l t ; s t r i n g & g t ; B e d s   o c c   o v e r   2 1   d a y s & l t ; / s t r i n g & g t ; & l t ; / k e y & g t ; & l t ; v a l u e & g t ; & l t ; s t r i n g & g t ; B i g I n t & l t ; / s t r i n g & g t ; & l t ; / v a l u e & g t ; & l t ; / i t e m & g t ; & l t ; i t e m & g t ; & l t ; k e y & g t ; & l t ; s t r i n g & g t ; B e d s   c l o s e d   n o r o v i r u s & l t ; / s t r i n g & g t ; & l t ; / k e y & g t ; & l t ; v a l u e & g t ; & l t ; s t r i n g & g t ; B i g I n t & l t ; / s t r i n g & g t ; & l t ; / v a l u e & g t ; & l t ; / i t e m & g t ; & l t ; i t e m & g t ; & l t ; k e y & g t ; & l t ; s t r i n g & g t ; B e d s   c l o s e d   n o r o v i u s   u n o c c & l t ; / s t r i n g & g t ; & l t ; / k e y & g t ; & l t ; v a l u e & g t ; & l t ; s t r i n g & g t ; B i g I n t & l t ; / s t r i n g & g t ; & l t ; / v a l u e & g t ; & l t ; / i t e m & g t ; & l t ; i t e m & g t ; & l t ; k e y & g t ; & l t ; s t r i n g & g t ; A d u l t   C C   b e d s   a v a i l & l t ; / s t r i n g & g t ; & l t ; / k e y & g t ; & l t ; v a l u e & g t ; & l t ; s t r i n g & g t ; B i g I n t & l t ; / s t r i n g & g t ; & l t ; / v a l u e & g t ; & l t ; / i t e m & g t ; & l t ; i t e m & g t ; & l t ; k e y & g t ; & l t ; s t r i n g & g t ; A d u l t   C C   b e d s   o c c & l t ; / s t r i n g & g t ; & l t ; / k e y & g t ; & l t ; v a l u e & g t ; & l t ; s t r i n g & g t ; B i g I n t & l t ; / s t r i n g & g t ; & l t ; / v a l u e & g t ; & l t ; / i t e m & g t ; & l t ; i t e m & g t ; & l t ; k e y & g t ; & l t ; s t r i n g & g t ; P a e d   I n t   C a r e   A v a i l & l t ; / s t r i n g & g t ; & l t ; / k e y & g t ; & l t ; v a l u e & g t ; & l t ; s t r i n g & g t ; B i g I n t & l t ; / s t r i n g & g t ; & l t ; / v a l u e & g t ; & l t ; / i t e m & g t ; & l t ; i t e m & g t ; & l t ; k e y & g t ; & l t ; s t r i n g & g t ; P a e d   I n t   C a r e   O c c & l t ; / s t r i n g & g t ; & l t ; / k e y & g t ; & l t ; v a l u e & g t ; & l t ; s t r i n g & g t ; B i g I n t & l t ; / s t r i n g & g t ; & l t ; / v a l u e & g t ; & l t ; / i t e m & g t ; & l t ; i t e m & g t ; & l t ; k e y & g t ; & l t ; s t r i n g & g t ; N e o   I n t   C a r e   A v a i l & l t ; / s t r i n g & g t ; & l t ; / k e y & g t ; & l t ; v a l u e & g t ; & l t ; s t r i n g & g t ; B i g I n t & l t ; / s t r i n g & g t ; & l t ; / v a l u e & g t ; & l t ; / i t e m & g t ; & l t ; i t e m & g t ; & l t ; k e y & g t ; & l t ; s t r i n g & g t ; N e o   I n t   C a r e   o c c & l t ; / s t r i n g & g t ; & l t ; / k e y & g t ; & l t ; v a l u e & g t ; & l t ; s t r i n g & g t ; B i g I n t & l t ; / s t r i n g & g t ; & l t ; / v a l u e & g t ; & l t ; / i t e m & g t ; & l t ; i t e m & g t ; & l t ; k e y & g t ; & l t ; s t r i n g & g t ; A m b   a r r i v a l s & l t ; / s t r i n g & g t ; & l t ; / k e y & g t ; & l t ; v a l u e & g t ; & l t ; s t r i n g & g t ; B i g I n t & l t ; / s t r i n g & g t ; & l t ; / v a l u e & g t ; & l t ; / i t e m & g t ; & l t ; i t e m & g t ; & l t ; k e y & g t ; & l t ; s t r i n g & g t ; A m b   d e l a y s   3 0 - 6 0   m i n s & l t ; / s t r i n g & g t ; & l t ; / k e y & g t ; & l t ; v a l u e & g t ; & l t ; s t r i n g & g t ; B i g I n t & l t ; / s t r i n g & g t ; & l t ; / v a l u e & g t ; & l t ; / i t e m & g t ; & l t ; i t e m & g t ; & l t ; k e y & g t ; & l t ; s t r i n g & g t ; A m b   d e l a y s   o v e r   6 0   m i n s & l t ; / s t r i n g & g t ; & l t ; / k e y & g t ; & l t ; v a l u e & g t ; & l t ; s t r i n g & g t ; B i g I n t & l t ; / s t r i n g & g t ; & l t ; / v a l u e & g t ; & l t ; / i t e m & g t ; & l t ; i t e m & g t ; & l t ; k e y & g t ; & l t ; s t r i n g & g t ; B e d s   o c c   o v e r   1 4   d a y s & l t ; / s t r i n g & g t ; & l t ; / k e y & g t ; & l t ; v a l u e & g t ; & l t ; s t r i n g & g t ; B i g I n t & l t ; / s t r i n g & g t ; & l t ; / v a l u e & g t ; & l t ; / i t e m & g t ; & l t ; / C o l u m n S u g g e s t e d T y p e & g t ; & l t ; C o l u m n F o r m a t   / & g t ; & l t ; C o l u m n A c c u r a c y   / & g t ; & l t ; C o l u m n C u r r e n c y S y m b o l   / & g t ; & l t ; C o l u m n P o s i t i v e P a t t e r n   / & g t ; & l t ; C o l u m n N e g a t i v e P a t t e r n   / & g t ; & l t ; C o l u m n W i d t h s & g t ; & l t ; i t e m & g t ; & l t ; k e y & g t ; & l t ; s t r i n g & g t ; R e g i o n & l t ; / s t r i n g & g t ; & l t ; / k e y & g t ; & l t ; v a l u e & g t ; & l t ; i n t & g t ; 8 4 & l t ; / i n t & g t ; & l t ; / v a l u e & g t ; & l t ; / i t e m & g t ; & l t ; i t e m & g t ; & l t ; k e y & g t ; & l t ; s t r i n g & g t ; C o d e & l t ; / s t r i n g & g t ; & l t ; / k e y & g t ; & l t ; v a l u e & g t ; & l t ; i n t & g t ; 7 3 & l t ; / i n t & g t ; & l t ; / v a l u e & g t ; & l t ; / i t e m & g t ; & l t ; i t e m & g t ; & l t ; k e y & g t ; & l t ; s t r i n g & g t ; N a m e & l t ; / s t r i n g & g t ; & l t ; / k e y & g t ; & l t ; v a l u e & g t ; & l t ; i n t & g t ; 7 8 & l t ; / i n t & g t ; & l t ; / v a l u e & g t ; & l t ; / i t e m & g t ; & l t ; i t e m & g t ; & l t ; k e y & g t ; & l t ; s t r i n g & g t ; Y e a r & l t ; / s t r i n g & g t ; & l t ; / k e y & g t ; & l t ; v a l u e & g t ; & l t ; i n t & g t ; 6 7 & 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W e e k e n d & l t ; / s t r i n g & g t ; & l t ; / k e y & g t ; & l t ; v a l u e & g t ; & l t ; i n t & g t ; 1 0 0 & l t ; / i n t & g t ; & l t ; / v a l u e & g t ; & l t ; / i t e m & g t ; & l t ; i t e m & g t ; & l t ; k e y & g t ; & l t ; s t r i n g & g t ; B a n k   h o l i d a y & l t ; / s t r i n g & g t ; & l t ; / k e y & g t ; & l t ; v a l u e & g t ; & l t ; i n t & g t ; 1 2 0 & l t ; / i n t & g t ; & l t ; / v a l u e & g t ; & l t ; / i t e m & g t ; & l t ; i t e m & g t ; & l t ; k e y & g t ; & l t ; s t r i n g & g t ; A   E   c l o s u r e s & l t ; / s t r i n g & g t ; & l t ; / k e y & g t ; & l t ; v a l u e & g t ; & l t ; i n t & g t ; 1 1 4 & l t ; / i n t & g t ; & l t ; / v a l u e & g t ; & l t ; / i t e m & g t ; & l t ; i t e m & g t ; & l t ; k e y & g t ; & l t ; s t r i n g & g t ; A   E   d i v e r t s & l t ; / s t r i n g & g t ; & l t ; / k e y & g t ; & l t ; v a l u e & g t ; & l t ; i n t & g t ; 1 0 6 & l t ; / i n t & g t ; & l t ; / v a l u e & g t ; & l t ; / i t e m & g t ; & l t ; i t e m & g t ; & l t ; k e y & g t ; & l t ; s t r i n g & g t ; G   A   c o r e   b e d s   a v a i l & l t ; / s t r i n g & g t ; & l t ; / k e y & g t ; & l t ; v a l u e & g t ; & l t ; i n t & g t ; 1 5 7 & l t ; / i n t & g t ; & l t ; / v a l u e & g t ; & l t ; / i t e m & g t ; & l t ; i t e m & g t ; & l t ; k e y & g t ; & l t ; s t r i n g & g t ; G   A   e s c a l a t i o n   b e d s   a v a i l & l t ; / s t r i n g & g t ; & l t ; / k e y & g t ; & l t ; v a l u e & g t ; & l t ; i n t & g t ; 1 9 2 & l t ; / i n t & g t ; & l t ; / v a l u e & g t ; & l t ; / i t e m & g t ; & l t ; i t e m & g t ; & l t ; k e y & g t ; & l t ; s t r i n g & g t ; G   A   t o t a l   b e d s   a v a i l & l t ; / s t r i n g & g t ; & l t ; / k e y & g t ; & l t ; v a l u e & g t ; & l t ; i n t & g t ; 1 5 9 & l t ; / i n t & g t ; & l t ; / v a l u e & g t ; & l t ; / i t e m & g t ; & l t ; i t e m & g t ; & l t ; k e y & g t ; & l t ; s t r i n g & g t ; G   A   t o t a l   b e d s   o c c u p i e d & l t ; / s t r i n g & g t ; & l t ; / k e y & g t ; & l t ; v a l u e & g t ; & l t ; i n t & g t ; 1 8 6 & l t ; / i n t & g t ; & l t ; / v a l u e & g t ; & l t ; / i t e m & g t ; & l t ; i t e m & g t ; & l t ; k e y & g t ; & l t ; s t r i n g & g t ; B e d s   o c c   o v e r   7   d a y s & l t ; / s t r i n g & g t ; & l t ; / k e y & g t ; & l t ; v a l u e & g t ; & l t ; i n t & g t ; 1 6 6 & l t ; / i n t & g t ; & l t ; / v a l u e & g t ; & l t ; / i t e m & g t ; & l t ; i t e m & g t ; & l t ; k e y & g t ; & l t ; s t r i n g & g t ; B e d s   o c c   o v e r   2 1   d a y s & l t ; / s t r i n g & g t ; & l t ; / k e y & g t ; & l t ; v a l u e & g t ; & l t ; i n t & g t ; 1 7 3 & l t ; / i n t & g t ; & l t ; / v a l u e & g t ; & l t ; / i t e m & g t ; & l t ; i t e m & g t ; & l t ; k e y & g t ; & l t ; s t r i n g & g t ; B e d s 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 m i n s & l t ; / s t r i n g & g t ; & l t ; / k e y & g t ; & l t ; v a l u e & g t ; & l t ; i n t & g t ; 1 9 4 & l t ; / i n t & g t ; & l t ; / v a l u e & g t ; & l t ; / i t e m & g t ; & l t ; i t e m & g t ; & l t ; k e y & g t ; & l t ; s t r i n g & g t ; B e d s   o c c   o v e r   1 4   d a y s & l t ; / s t r i n g & g t ; & l t ; / k e y & g t ; & l t ; v a l u e & g t ; & l t ; i n t & g t ; 1 7 3 & l t ; / i n t & g t ; & l t ; / v a l u e & g t ; & l t ; / i t e m & g t ; & l t ; / C o l u m n W i d t h s & g t ; & l t ; C o l u m n D i s p l a y I n d e x & g t ; & l t ; i t e m & g t ; & l t ; k e y & g t ; & l t ; s t r i n g & g t ; R e g i o n & l t ; / s t r i n g & g t ; & l t ; / k e y & g t ; & l t ; v a l u e & g t ; & l t ; i n t & g t ; 0 & l t ; / i n t & g t ; & l t ; / v a l u e & g t ; & l t ; / i t e m & g t ; & l t ; i t e m & g t ; & l t ; k e y & g t ; & l t ; s t r i n g & g t ; C o d e & l t ; / s t r i n g & g t ; & l t ; / k e y & g t ; & l t ; v a l u e & g t ; & l t ; i n t & g t ; 1 & l t ; / i n t & g t ; & l t ; / v a l u e & g t ; & l t ; / i t e m & g t ; & l t ; i t e m & g t ; & l t ; k e y & g t ; & l t ; s t r i n g & g t ; N a m e & l t ; / s t r i n g & g t ; & l t ; / k e y & g t ; & l t ; v a l u e & g t ; & l t ; i n t & g t ; 2 & l t ; / i n t & g t ; & l t ; / v a l u e & g t ; & l t ; / i t e m & g t ; & l t ; i t e m & g t ; & l t ; k e y & g t ; & l t ; s t r i n g & g t ; Y e a r & l t ; / s t r i n g & g t ; & l t ; / k e y & g t ; & l t ; v a l u e & g t ; & l t ; i n t & g t ; 3 & l t ; / i n t & g t ; & l t ; / v a l u e & g t ; & l t ; / i t e m & g t ; & l t ; i t e m & g t ; & l t ; k e y & g t ; & l t ; s t r i n g & g t ; D a t e & l t ; / s t r i n g & g t ; & l t ; / k e y & g t ; & l t ; v a l u e & g t ; & l t ; i n t & g t ; 4 & l t ; / i n t & g t ; & l t ; / v a l u e & g t ; & l t ; / i t e m & g t ; & l t ; i t e m & g t ; & l t ; k e y & g t ; & l t ; s t r i n g & g t ; W e e k & l t ; / s t r i n g & g t ; & l t ; / k e y & g t ; & l t ; v a l u e & g t ; & l t ; i n t & g t ; 5 & l t ; / i n t & g t ; & l t ; / v a l u e & g t ; & l t ; / i t e m & g t ; & l t ; i t e m & g t ; & l t ; k e y & g t ; & l t ; s t r i n g & g t ; D a y & l t ; / s t r i n g & g t ; & l t ; / k e y & g t ; & l t ; v a l u e & g t ; & l t ; i n t & g t ; 6 & l t ; / i n t & g t ; & l t ; / v a l u e & g t ; & l t ; / i t e m & g t ; & l t ; i t e m & g t ; & l t ; k e y & g t ; & l t ; s t r i n g & g t ; W e e k e n d & l t ; / s t r i n g & g t ; & l t ; / k e y & g t ; & l t ; v a l u e & g t ; & l t ; i n t & g t ; 7 & l t ; / i n t & g t ; & l t ; / v a l u e & g t ; & l t ; / i t e m & g t ; & l t ; i t e m & g t ; & l t ; k e y & g t ; & l t ; s t r i n g & g t ; B a n k   h o l i d a y & l t ; / s t r i n g & g t ; & l t ; / k e y & g t ; & l t ; v a l u e & g t ; & l t ; i n t & g t ; 8 & l t ; / i n t & g t ; & l t ; / v a l u e & g t ; & l t ; / i t e m & g t ; & l t ; i t e m & g t ; & l t ; k e y & g t ; & l t ; s t r i n g & g t ; A   E   c l o s u r e s & l t ; / s t r i n g & g t ; & l t ; / k e y & g t ; & l t ; v a l u e & g t ; & l t ; i n t & g t ; 9 & l t ; / i n t & g t ; & l t ; / v a l u e & g t ; & l t ; / i t e m & g t ; & l t ; i t e m & g t ; & l t ; k e y & g t ; & l t ; s t r i n g & g t ; A   E   d i v e r t s & l t ; / s t r i n g & g t ; & l t ; / k e y & g t ; & l t ; v a l u e & g t ; & l t ; i n t & g t ; 1 0 & l t ; / i n t & g t ; & l t ; / v a l u e & g t ; & l t ; / i t e m & g t ; & l t ; i t e m & g t ; & l t ; k e y & g t ; & l t ; s t r i n g & g t ; G   A   c o r e   b e d s   a v a i l & l t ; / s t r i n g & g t ; & l t ; / k e y & g t ; & l t ; v a l u e & g t ; & l t ; i n t & g t ; 1 1 & l t ; / i n t & g t ; & l t ; / v a l u e & g t ; & l t ; / i t e m & g t ; & l t ; i t e m & g t ; & l t ; k e y & g t ; & l t ; s t r i n g & g t ; G   A   e s c a l a t i o n   b e d s   a v a i l & l t ; / s t r i n g & g t ; & l t ; / k e y & g t ; & l t ; v a l u e & g t ; & l t ; i n t & g t ; 1 2 & l t ; / i n t & g t ; & l t ; / v a l u e & g t ; & l t ; / i t e m & g t ; & l t ; i t e m & g t ; & l t ; k e y & g t ; & l t ; s t r i n g & g t ; G   A   t o t a l   b e d s   a v a i l & l t ; / s t r i n g & g t ; & l t ; / k e y & g t ; & l t ; v a l u e & g t ; & l t ; i n t & g t ; 1 3 & l t ; / i n t & g t ; & l t ; / v a l u e & g t ; & l t ; / i t e m & g t ; & l t ; i t e m & g t ; & l t ; k e y & g t ; & l t ; s t r i n g & g t ; G   A   t o t a l   b e d s   o c c u p i e d & l t ; / s t r i n g & g t ; & l t ; / k e y & g t ; & l t ; v a l u e & g t ; & l t ; i n t & g t ; 1 4 & l t ; / i n t & g t ; & l t ; / v a l u e & g t ; & l t ; / i t e m & g t ; & l t ; i t e m & g t ; & l t ; k e y & g t ; & l t ; s t r i n g & g t ; B e d s   o c c   o v e r   7   d a y s & l t ; / s t r i n g & g t ; & l t ; / k e y & g t ; & l t ; v a l u e & g t ; & l t ; i n t & g t ; 1 5 & l t ; / i n t & g t ; & l t ; / v a l u e & g t ; & l t ; / i t e m & g t ; & l t ; i t e m & g t ; & l t ; k e y & g t ; & l t ; s t r i n g & g t ; B e d s   o c c   o v e r   2 1   d a y s & l t ; / s t r i n g & g t ; & l t ; / k e y & g t ; & l t ; v a l u e & g t ; & l t ; i n t & g t ; 1 6 & l t ; / i n t & g t ; & l t ; / v a l u e & g t ; & l t ; / i t e m & g t ; & l t ; i t e m & g t ; & l t ; k e y & g t ; & l t ; s t r i n g & g t ; B e d s   c l o s e d   n o r o v i r u s & l t ; / s t r i n g & g t ; & l t ; / k e y & g t ; & l t ; v a l u e & g t ; & l t ; i n t & g t ; 1 7 & l t ; / i n t & g t ; & l t ; / v a l u e & g t ; & l t ; / i t e m & g t ; & l t ; i t e m & g t ; & l t ; k e y & g t ; & l t ; s t r i n g & g t ; B e d s   c l o s e d   n o r o v i u s   u n o c c & l t ; / s t r i n g & g t ; & l t ; / k e y & g t ; & l t ; v a l u e & g t ; & l t ; i n t & g t ; 1 8 & l t ; / i n t & g t ; & l t ; / v a l u e & g t ; & l t ; / i t e m & g t ; & l t ; i t e m & g t ; & l t ; k e y & g t ; & l t ; s t r i n g & g t ; A d u l t   C C   b e d s   a v a i l & l t ; / s t r i n g & g t ; & l t ; / k e y & g t ; & l t ; v a l u e & g t ; & l t ; i n t & g t ; 1 9 & l t ; / i n t & g t ; & l t ; / v a l u e & g t ; & l t ; / i t e m & g t ; & l t ; i t e m & g t ; & l t ; k e y & g t ; & l t ; s t r i n g & g t ; A d u l t   C C   b e d s   o c c & l t ; / s t r i n g & g t ; & l t ; / k e y & g t ; & l t ; v a l u e & g t ; & l t ; i n t & g t ; 2 0 & l t ; / i n t & g t ; & l t ; / v a l u e & g t ; & l t ; / i t e m & g t ; & l t ; i t e m & g t ; & l t ; k e y & g t ; & l t ; s t r i n g & g t ; P a e d   I n t   C a r e   A v a i l & l t ; / s t r i n g & g t ; & l t ; / k e y & g t ; & l t ; v a l u e & g t ; & l t ; i n t & g t ; 2 1 & l t ; / i n t & g t ; & l t ; / v a l u e & g t ; & l t ; / i t e m & g t ; & l t ; i t e m & g t ; & l t ; k e y & g t ; & l t ; s t r i n g & g t ; P a e d   I n t   C a r e   O c c & l t ; / s t r i n g & g t ; & l t ; / k e y & g t ; & l t ; v a l u e & g t ; & l t ; i n t & g t ; 2 2 & l t ; / i n t & g t ; & l t ; / v a l u e & g t ; & l t ; / i t e m & g t ; & l t ; i t e m & g t ; & l t ; k e y & g t ; & l t ; s t r i n g & g t ; N e o   I n t   C a r e   A v a i l & l t ; / s t r i n g & g t ; & l t ; / k e y & g t ; & l t ; v a l u e & g t ; & l t ; i n t & g t ; 2 3 & l t ; / i n t & g t ; & l t ; / v a l u e & g t ; & l t ; / i t e m & g t ; & l t ; i t e m & g t ; & l t ; k e y & g t ; & l t ; s t r i n g & g t ; N e o   I n t   C a r e   o c c & l t ; / s t r i n g & g t ; & l t ; / k e y & g t ; & l t ; v a l u e & g t ; & l t ; i n t & g t ; 2 4 & l t ; / i n t & g t ; & l t ; / v a l u e & g t ; & l t ; / i t e m & g t ; & l t ; i t e m & g t ; & l t ; k e y & g t ; & l t ; s t r i n g & g t ; A m b   a r r i v a l s & l t ; / s t r i n g & g t ; & l t ; / k e y & g t ; & l t ; v a l u e & g t ; & l t ; i n t & g t ; 2 5 & l t ; / i n t & g t ; & l t ; / v a l u e & g t ; & l t ; / i t e m & g t ; & l t ; i t e m & g t ; & l t ; k e y & g t ; & l t ; s t r i n g & g t ; A m b   d e l a y s   3 0 - 6 0   m i n s & l t ; / s t r i n g & g t ; & l t ; / k e y & g t ; & l t ; v a l u e & g t ; & l t ; i n t & g t ; 2 6 & l t ; / i n t & g t ; & l t ; / v a l u e & g t ; & l t ; / i t e m & g t ; & l t ; i t e m & g t ; & l t ; k e y & g t ; & l t ; s t r i n g & g t ; A m b   d e l a y s   o v e r   6 0   m i n s & l t ; / s t r i n g & g t ; & l t ; / k e y & g t ; & l t ; v a l u e & g t ; & l t ; i n t & g t ; 2 7 & l t ; / i n t & g t ; & l t ; / v a l u e & g t ; & l t ; / i t e m & g t ; & l t ; i t e m & g t ; & l t ; k e y & g t ; & l t ; s t r i n g & g t ; B e d s   o c c   o v e r   1 4   d a y s & l t ; / s t r i n g & g t ; & l t ; / k e y & g t ; & l t ; v a l u e & g t ; & l t ; i n t & g t ; 2 8 & l t ; / i n t & g t ; & l t ; / v a l u e & g t ; & l t ; / i t e m & g t ; & l t ; / C o l u m n D i s p l a y I n d e x & g t ; & l t ; C o l u m n F r o z e n 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a 9 a f c b 0 6 - c f 4 7 - 4 2 c 4 - 8 4 c f - 8 6 9 5 c 1 3 3 0 1 5 2 " > < 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 9 1 6 4 2 9 3 7 9 < / S A H o s t H a s h > < G e m i n i F i e l d L i s t V i s i b l e > F a l s e < / G e m i n i F i e l d L i s t V i s i b l e > < / S e t t i n g s > ] ] > < / C u s t o m C o n t e n t > < / G e m i n i > 
</file>

<file path=customXml/item18.xml>��< ? x m l   v e r s i o n = " 1 . 0 "   e n c o d i n g = " U T F - 1 6 " ? > < G e m i n i   x m l n s = " h t t p : / / g e m i n i / p i v o t c u s t o m i z a t i o n / 2 d 9 d 5 7 d 6 - 2 4 1 a - 4 b 7 d - 8 0 0 7 - 2 3 7 5 6 d b f 9 3 5 4 " > < 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 1 5 9 1 1 1 9 6 3 7 < / S A H o s t H a s h > < G e m i n i F i e l d L i s t V i s i b l e > T r u e < / G e m i n i F i e l d L i s t V i s i b l e > < / S e t t i n g s > ] ] > < / C u s t o m C o n t e n t > < / G e m i n i > 
</file>

<file path=customXml/item19.xml>��< ? x m l   v e r s i o n = " 1 . 0 "   e n c o d i n g = " U T F - 1 6 " ? > < G e m i n i   x m l n s = " h t t p : / / g e m i n i / p i v o t c u s t o m i z a t i o n / 6 1 a c 6 1 5 e - 4 0 0 2 - 4 6 a 2 - a f d 6 - 5 6 0 1 e 0 5 c 1 0 5 7 " > < 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 2 8 1 9 4 8 0 6 4 < / S A H o s t H a s h > < G e m i n i F i e l d L i s t V i s i b l e > T r u e < / G e m i n i F i e l d L i s t V i s i b l e > < / S e t t i n g s > ] ] > < / C u s t o m C o n t e n t > < / G e m i n i > 
</file>

<file path=customXml/item2.xml>��< ? x m l   v e r s i o n = " 1 . 0 "   e n c o d i n g = " U T F - 1 6 " ? > < G e m i n i   x m l n s = " h t t p : / / g e m i n i / p i v o t c u s t o m i z a t i o n / T a b l e X M L _ T a b l e " > < C u s t o m C o n t e n t > < ! [ C D A T A [ < T a b l e W i d g e t G r i d S e r i a l i z a t i o n   x m l n s : x s i = " h t t p : / / w w w . w 3 . o r g / 2 0 0 1 / X M L S c h e m a - i n s t a n c e "   x m l n s : x s d = " h t t p : / / w w w . w 3 . o r g / 2 0 0 1 / X M L S c h e m a " > < C o l u m n S u g g e s t e d T y p e > < i t e m > < k e y > < s t r i n g > 1 9 4 < / s t r i n g > < / k e y > < v a l u e > < s t r i n g > B i g I n t < / s t r i n g > < / v a l u e > < / i t e m > < / C o l u m n S u g g e s t e d T y p e > < C o l u m n F o r m a t   / > < C o l u m n A c c u r a c y   / > < C o l u m n C u r r e n c y S y m b o l   / > < C o l u m n P o s i t i v e P a t t e r n   / > < C o l u m n N e g a t i v e P a t t e r n   / > < C o l u m n W i d t h s > < i t e m > < k e y > < s t r i n g > 1 9 4 < / s t r i n g > < / k e y > < v a l u e > < i n t > - 1 < / i n t > < / v a l u e > < / i t e m > < / C o l u m n W i d t h s > < C o l u m n D i s p l a y I n d e x   / > < C o l u m n F r o z e n   / > < C o l u m n C h e c k e d   / > < C o l u m n F i l t e r   / > < S e l e c t i o n F i l t e r   / > < F i l t e r P a r a m e t e r s   / > < I s S o r t D e s c e n d i n g > f a l s e < / I s S o r t D e s c e n d i n g > < / T a b l e W i d g e t G r i d S e r i a l i z a t i o n > ] ] > < / C u s t o m C o n t e n t > < / G e m i n i > 
</file>

<file path=customXml/item20.xml>��< ? x m l   v e r s i o n = " 1 . 0 "   e n c o d i n g = " U T F - 1 6 " ? > < G e m i n i   x m l n s = " h t t p : / / g e m i n i / p i v o t c u s t o m i z a t i o n / 3 5 8 d a d 6 1 - f a 7 1 - 4 4 e 8 - 8 3 5 4 - 3 5 e a 4 1 b 2 9 d 4 d " > < C u s t o m C o n t e n t > < ! [ C D A T A [ < ? x m l   v e r s i o n = " 1 . 0 "   e n c o d i n g = " u t f - 1 6 " ? > < S e t t i n g s > < H S l i c e r s S h a p e > 0 ; 0 ; 0 ; 0 < / H S l i c e r s S h a p e > < V S l i c e r s S h a p e > 0 ; 0 ; 0 ; 0 < / V S l i c e r s S h a p e > < S l i c e r S h e e t N a m e > P I C U < / S l i c e r S h e e t N a m e > < S A H o s t H a s h > 9 3 2 9 8 8 3 8 4 < / S A H o s t H a s h > < G e m i n i F i e l d L i s t V i s i b l e > T r u e < / G e m i n i F i e l d L i s t V i s i b l e > < / S e t t i n g s > ] ] > < / C u s t o m C o n t e n t > < / G e m i n i > 
</file>

<file path=customXml/item21.xml>��< ? x m l   v e r s i o n = " 1 . 0 "   e n c o d i n g = " U T F - 1 6 " ? > < G e m i n i   x m l n s = " h t t p : / / g e m i n i / p i v o t c u s t o m i z a t i o n / b 0 e f 4 d f 9 - 2 9 8 0 - 4 2 7 c - 9 2 7 7 - 0 9 e 1 9 a 1 b f 0 e 0 " > < 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 1 8 9 0 7 8 8 0 6 6 < / S A H o s t H a s h > < G e m i n i F i e l d L i s t V i s i b l e > T r u e < / G e m i n i F i e l d L i s t V i s i b l e > < / S e t t i n g s > ] ] > < / C u s t o m C o n t e n t > < / G e m i n i > 
</file>

<file path=customXml/item22.xml>��< ? x m l   v e r s i o n = " 1 . 0 "   e n c o d i n g = " U T F - 1 6 " ? > < G e m i n i   x m l n s = " h t t p : / / g e m i n i / w o r k b o o k c u s t o m i z a t i o n / L i n k e d T a b l e s " > < C u s t o m C o n t e n t > < ! [ C D A T A [ < L i n k e d T a b l e s   x m l n s : x s i = " h t t p : / / w w w . w 3 . o r g / 2 0 0 1 / X M L S c h e m a - i n s t a n c e "   x m l n s : x s d = " h t t p : / / w w w . w 3 . o r g / 2 0 0 1 / X M L S c h e m a " > < L i n k e d T a b l e L i s t   / > < / L i n k e d T a b l e s > ] ] > < / C u s t o m C o n t e n t > < / G e m i n i > 
</file>

<file path=customXml/item23.xml>��< ? x m l   v e r s i o n = " 1 . 0 "   e n c o d i n g = " U T F - 1 6 " ? > < G e m i n i   x m l n s = " h t t p : / / g e m i n i / p i v o t c u s t o m i z a t i o n / b 8 8 f 8 9 d 5 - 5 5 a 0 - 4 a 8 a - b 4 b 8 - d b 6 a 2 b c 9 9 4 9 d " > < C u s t o m C o n t e n t > < ! [ C D A T A [ < ? x m l   v e r s i o n = " 1 . 0 "   e n c o d i n g = " u t f - 1 6 " ? > < S e t t i n g s > < H S l i c e r s S h a p e > 0 ; 0 ; 0 ; 0 < / H S l i c e r s S h a p e > < V S l i c e r s S h a p e > 0 ; 0 ; 0 ; 0 < / V S l i c e r s S h a p e > < S l i c e r S h e e t N a m e > L o n g   s t a y < / S l i c e r S h e e t N a m e > < S A H o s t H a s h > 1 5 5 6 3 2 6 9 0 1 < / S A H o s t H a s h > < G e m i n i F i e l d L i s t V i s i b l e > T r u e < / G e m i n i F i e l d L i s t V i s i b l e > < / S e t t i n g s > ] ] > < / C u s t o m C o n t e n t > < / G e m i n i > 
</file>

<file path=customXml/item2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 i : t y p e = " M e a s u r e D i a g r a m S a n d b o x A d a p t e r " & g t ; & l t ; T a b l e N a m e & g t ; W i n t e r   d a i l y   s i t r e p s & l t ; / T a b l e N a m e & g t ; & l t ; / A d a p t e r & g t ; & l t ; D i a g r a m T y p e & g t ; M e a s u r e D i a g r a m & l t ; / D i a g r a m T y p e & g t ; & l t ; D i s p l a y C o n t e x t 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 d a i l y   s i t r e p s & l t ; / T a b l e N a m e & g t ; & l t ; / K e y & g t ; & l t ; M a i n t a i n e r 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 A E   d i v e r t s & l t ; / K e y & g t ; & l t ; / D i a g r a m O b j e c t K e y & g t ; & l t ; D i a g r a m O b j e c t K e y & g t ; & l t ; K e y & g t ; M e a s u r e s \ S u m   o f   A E   d i v e r t s \ T a g I n f o \ F o r m u l a & l t ; / K e y & g t ; & l t ; / D i a g r a m O b j e c t K e y & g t ; & l t ; D i a g r a m O b j e c t K e y & g t ; & l t ; K e y & g t ; M e a s u r e s \ S u m   o f   A E   d i v e r t s \ T a g I n f o \ V a l u e & l t ; / K e y & g t ; & l t ; / D i a g r a m O b j e c t K e y & g t ; & l t ; D i a g r a m O b j e c t K e y & g t ; & l t ; K e y & g t ; M e a s u r e s \ S u m   o f   G A   t o t a l   b e d s   o c c u p i e d & l t ; / K e y & g t ; & l t ; / D i a g r a m O b j e c t K e y & g t ; & l t ; D i a g r a m O b j e c t K e y & g t ; & l t ; K e y & g t ; M e a s u r e s \ S u m   o f   G A   t o t a l   b e d s   o c c u p i e d \ T a g I n f o \ F o r m u l a & l t ; / K e y & g t ; & l t ; / D i a g r a m O b j e c t K e y & g t ; & l t ; D i a g r a m O b j e c t K e y & g t ; & l t ; K e y & g t ; M e a s u r e s \ S u m   o f   G A   t o t a l   b e d s   o c c u p i e d \ T a g I n f o \ V a l u e & l t ; / K e y & g t ; & l t ; / D i a g r a m O b j e c t K e y & g t ; & l t ; D i a g r a m O b j e c t K e y & g t ; & l t ; K e y & g t ; M e a s u r e s \ A v e r a g e   o f   G A   t o t a l   b e d s   o c c u p i e d & l t ; / K e y & g t ; & l t ; / D i a g r a m O b j e c t K e y & g t ; & l t ; D i a g r a m O b j e c t K e y & g t ; & l t ; K e y & g t ; M e a s u r e s \ A v e r a g e   o f   G A   t o t a l   b e d s   o c c u p i e d \ T a g I n f o \ F o r m u l a & l t ; / K e y & g t ; & l t ; / D i a g r a m O b j e c t K e y & g t ; & l t ; D i a g r a m O b j e c t K e y & g t ; & l t ; K e y & g t ; M e a s u r e s \ A v e r a g e   o f   G A   t o t a l   b e d s   o c c u p i e d \ T a g I n f o \ V a l u e & l t ; / K e y & g t ; & l t ; / D i a g r a m O b j e c t K e y & g t ; & l t ; D i a g r a m O b j e c t K e y & g t ; & l t ; K e y & g t ; M e a s u r e s \ S u m   o f   G A   t o t a l   b e d s   a v a i l & l t ; / K e y & g t ; & l t ; / D i a g r a m O b j e c t K e y & g t ; & l t ; D i a g r a m O b j e c t K e y & g t ; & l t ; K e y & g t ; M e a s u r e s \ S u m   o f   G A   t o t a l   b e d s   a v a i l \ T a g I n f o \ F o r m u l a & l t ; / K e y & g t ; & l t ; / D i a g r a m O b j e c t K e y & g t ; & l t ; D i a g r a m O b j e c t K e y & g t ; & l t ; K e y & g t ; M e a s u r e s \ S u m   o f   G A   t o t a l   b e d s   a v a i l \ T a g I n f o \ V a l u e & l t ; / K e y & g t ; & l t ; / D i a g r a m O b j e c t K e y & g t ; & l t ; D i a g r a m O b j e c t K e y & g t ; & l t ; K e y & g t ; M e a s u r e s \ S u m   o f   B e d s   o c c   o v e r   7   d a y s & l t ; / K e y & g t ; & l t ; / D i a g r a m O b j e c t K e y & g t ; & l t ; D i a g r a m O b j e c t K e y & g t ; & l t ; K e y & g t ; M e a s u r e s \ S u m   o f   B e d s   o c c   o v e r   7   d a y s \ T a g I n f o \ F o r m u l a & l t ; / K e y & g t ; & l t ; / D i a g r a m O b j e c t K e y & g t ; & l t ; D i a g r a m O b j e c t K e y & g t ; & l t ; K e y & g t ; M e a s u r e s \ S u m   o f   B e d s   o c c   o v e r   7   d a y s \ T a g I n f o \ V a l u e & l t ; / K e y & g t ; & l t ; / D i a g r a m O b j e c t K e y & g t ; & l t ; D i a g r a m O b j e c t K e y & g t ; & l t ; K e y & g t ; M e a s u r e s \ S u m   o f   B e d s   o c c   o v e r   2 1   d a y s & l t ; / K e y & g t ; & l t ; / D i a g r a m O b j e c t K e y & g t ; & l t ; D i a g r a m O b j e c t K e y & g t ; & l t ; K e y & g t ; M e a s u r e s \ S u m   o f   B e d s   o c c   o v e r   2 1   d a y s \ T a g I n f o \ F o r m u l a & l t ; / K e y & g t ; & l t ; / D i a g r a m O b j e c t K e y & g t ; & l t ; D i a g r a m O b j e c t K e y & g t ; & l t ; K e y & g t ; M e a s u r e s \ S u m   o f   B e d s   o c c   o v e r   2 1   d a y s \ T a g I n f o \ V a l u e & l t ; / K e y & g t ; & l t ; / D i a g r a m O b j e c t K e y & g t ; & l t ; D i a g r a m O b j e c t K e y & g t ; & l t ; K e y & g t ; M e a s u r e s \ A v e r a g e   o f   B e d s   o c c   o v e r   2 1   d a y s & l t ; / K e y & g t ; & l t ; / D i a g r a m O b j e c t K e y & g t ; & l t ; D i a g r a m O b j e c t K e y & g t ; & l t ; K e y & g t ; M e a s u r e s \ A v e r a g e   o f   B e d s   o c c   o v e r   2 1   d a y s \ T a g I n f o \ F o r m u l a & l t ; / K e y & g t ; & l t ; / D i a g r a m O b j e c t K e y & g t ; & l t ; D i a g r a m O b j e c t K e y & g t ; & l t ; K e y & g t ; M e a s u r e s \ A v e r a g e   o f   B e d s   o c c   o v e r   2 1   d a y s \ T a g I n f o \ V a l u e & l t ; / K e y & g t ; & l t ; / D i a g r a m O b j e c t K e y & g t ; & l t ; D i a g r a m O b j e c t K e y & g t ; & l t ; K e y & g t ; M e a s u r e s \ S u m   o f   B e d s   c l o s e d   n o r o v i r u s & l t ; / K e y & g t ; & l t ; / D i a g r a m O b j e c t K e y & g t ; & l t ; D i a g r a m O b j e c t K e y & g t ; & l t ; K e y & g t ; M e a s u r e s \ S u m   o f   B e d s   c l o s e d   n o r o v i r u s \ T a g I n f o \ F o r m u l a & l t ; / K e y & g t ; & l t ; / D i a g r a m O b j e c t K e y & g t ; & l t ; D i a g r a m O b j e c t K e y & g t ; & l t ; K e y & g t ; M e a s u r e s \ S u m   o f   B e d s   c l o s e d   n o r o v i r u s \ T a g I n f o \ V a l u e & l t ; / K e y & g t ; & l t ; / D i a g r a m O b j e c t K e y & g t ; & l t ; D i a g r a m O b j e c t K e y & g t ; & l t ; K e y & g t ; M e a s u r e s \ A v e r a g e   o f   B e d s   c l o s e d   n o r o v i r u s & l t ; / K e y & g t ; & l t ; / D i a g r a m O b j e c t K e y & g t ; & l t ; D i a g r a m O b j e c t K e y & g t ; & l t ; K e y & g t ; M e a s u r e s \ A v e r a g e   o f   B e d s   c l o s e d   n o r o v i r u s \ T a g I n f o \ F o r m u l a & l t ; / K e y & g t ; & l t ; / D i a g r a m O b j e c t K e y & g t ; & l t ; D i a g r a m O b j e c t K e y & g t ; & l t ; K e y & g t ; M e a s u r e s \ A v e r a g e   o f   B e d s   c l o s e d   n o r o v i r u s \ T a g I n f o \ V a l u e & l t ; / K e y & g t ; & l t ; / D i a g r a m O b j e c t K e y & g t ; & l t ; D i a g r a m O b j e c t K e y & g t ; & l t ; K e y & g t ; M e a s u r e s \ S u m   o f   B e d s   c l o s e d   n o r o v i u s   u n o c c & l t ; / K e y & g t ; & l t ; / D i a g r a m O b j e c t K e y & g t ; & l t ; D i a g r a m O b j e c t K e y & g t ; & l t ; K e y & g t ; M e a s u r e s \ S u m   o f   B e d s   c l o s e d   n o r o v i u s   u n o c c \ T a g I n f o \ F o r m u l a & l t ; / K e y & g t ; & l t ; / D i a g r a m O b j e c t K e y & g t ; & l t ; D i a g r a m O b j e c t K e y & g t ; & l t ; K e y & g t ; M e a s u r e s \ S u m   o f   B e d s   c l o s e d   n o r o v i u s   u n o c c \ T a g I n f o \ V a l u e & l t ; / K e y & g t ; & l t ; / D i a g r a m O b j e c t K e y & g t ; & l t ; D i a g r a m O b j e c t K e y & g t ; & l t ; K e y & g t ; M e a s u r e s \ S u m   o f   A m b   a r r i v a l s & l t ; / K e y & g t ; & l t ; / D i a g r a m O b j e c t K e y & g t ; & l t ; D i a g r a m O b j e c t K e y & g t ; & l t ; K e y & g t ; M e a s u r e s \ S u m   o f   A m b   a r r i v a l s \ T a g I n f o \ F o r m u l a & l t ; / K e y & g t ; & l t ; / D i a g r a m O b j e c t K e y & g t ; & l t ; D i a g r a m O b j e c t K e y & g t ; & l t ; K e y & g t ; M e a s u r e s \ S u m   o f   A m b   a r r i v a l s \ T a g I n f o \ V a l u e & l t ; / K e y & g t ; & l t ; / D i a g r a m O b j e c t K e y & g t ; & l t ; D i a g r a m O b j e c t K e y & g t ; & l t ; K e y & g t ; M e a s u r e s \ S u m   o f   A m b   d e l a y s   3 0 - 6 0   m i n s & l t ; / K e y & g t ; & l t ; / D i a g r a m O b j e c t K e y & g t ; & l t ; D i a g r a m O b j e c t K e y & g t ; & l t ; K e y & g t ; M e a s u r e s \ S u m   o f   A m b   d e l a y s   3 0 - 6 0   m i n s \ T a g I n f o \ F o r m u l a & l t ; / K e y & g t ; & l t ; / D i a g r a m O b j e c t K e y & g t ; & l t ; D i a g r a m O b j e c t K e y & g t ; & l t ; K e y & g t ; M e a s u r e s \ S u m   o f   A m b   d e l a y s   3 0 - 6 0   m i n s \ T a g I n f o \ V a l u e & l t ; / K e y & g t ; & l t ; / D i a g r a m O b j e c t K e y & g t ; & l t ; D i a g r a m O b j e c t K e y & g t ; & l t ; K e y & g t ; M e a s u r e s \ S u m   o f   A m b   d e l a y s   o v e r   6 0   m i n s & l t ; / K e y & g t ; & l t ; / D i a g r a m O b j e c t K e y & g t ; & l t ; D i a g r a m O b j e c t K e y & g t ; & l t ; K e y & g t ; M e a s u r e s \ S u m   o f   A m b   d e l a y s   o v e r   6 0   m i n s \ T a g I n f o \ F o r m u l a & l t ; / K e y & g t ; & l t ; / D i a g r a m O b j e c t K e y & g t ; & l t ; D i a g r a m O b j e c t K e y & g t ; & l t ; K e y & g t ; M e a s u r e s \ S u m   o f   A m b   d e l a y s   o v e r   6 0   m i n s \ T a g I n f o \ V a l u e & l t ; / K e y & g t ; & l t ; / D i a g r a m O b j e c t K e y & g t ; & l t ; D i a g r a m O b j e c t K e y & g t ; & l t ; K e y & g t ; M e a s u r e s \ S u m   o f   A d u l t   C C   b e d s   a v a i l & l t ; / K e y & g t ; & l t ; / D i a g r a m O b j e c t K e y & g t ; & l t ; D i a g r a m O b j e c t K e y & g t ; & l t ; K e y & g t ; M e a s u r e s \ S u m   o f   A d u l t   C C   b e d s   a v a i l \ T a g I n f o \ F o r m u l a & l t ; / K e y & g t ; & l t ; / D i a g r a m O b j e c t K e y & g t ; & l t ; D i a g r a m O b j e c t K e y & g t ; & l t ; K e y & g t ; M e a s u r e s \ S u m   o f   A d u l t   C C   b e d s   a v a i l \ T a g I n f o \ V a l u e & l t ; / K e y & g t ; & l t ; / D i a g r a m O b j e c t K e y & g t ; & l t ; D i a g r a m O b j e c t K e y & g t ; & l t ; K e y & g t ; M e a s u r e s \ S u m   o f   A d u l t   C C   b e d s   o c c & l t ; / K e y & g t ; & l t ; / D i a g r a m O b j e c t K e y & g t ; & l t ; D i a g r a m O b j e c t K e y & g t ; & l t ; K e y & g t ; M e a s u r e s \ S u m   o f   A d u l t   C C   b e d s   o c c \ T a g I n f o \ F o r m u l a & l t ; / K e y & g t ; & l t ; / D i a g r a m O b j e c t K e y & g t ; & l t ; D i a g r a m O b j e c t K e y & g t ; & l t ; K e y & g t ; M e a s u r e s \ S u m   o f   A d u l t   C C   b e d s   o c c \ T a g I n f o \ V a l u e & l t ; / K e y & g t ; & l t ; / D i a g r a m O b j e c t K e y & g t ; & l t ; D i a g r a m O b j e c t K e y & g t ; & l t ; K e y & g t ; M e a s u r e s \ S u m   o f   P a e d   I n t   C a r e   A v a i l & l t ; / K e y & g t ; & l t ; / D i a g r a m O b j e c t K e y & g t ; & l t ; D i a g r a m O b j e c t K e y & g t ; & l t ; K e y & g t ; M e a s u r e s \ S u m   o f   P a e d   I n t   C a r e   A v a i l \ T a g I n f o \ F o r m u l a & l t ; / K e y & g t ; & l t ; / D i a g r a m O b j e c t K e y & g t ; & l t ; D i a g r a m O b j e c t K e y & g t ; & l t ; K e y & g t ; M e a s u r e s \ S u m   o f   P a e d   I n t   C a r e   A v a i l \ T a g I n f o \ V a l u e & l t ; / K e y & g t ; & l t ; / D i a g r a m O b j e c t K e y & g t ; & l t ; D i a g r a m O b j e c t K e y & g t ; & l t ; K e y & g t ; M e a s u r e s \ S u m   o f   P a e d   I n t   C a r e   O c c & l t ; / K e y & g t ; & l t ; / D i a g r a m O b j e c t K e y & g t ; & l t ; D i a g r a m O b j e c t K e y & g t ; & l t ; K e y & g t ; M e a s u r e s \ S u m   o f   P a e d   I n t   C a r e   O c c \ T a g I n f o \ F o r m u l a & l t ; / K e y & g t ; & l t ; / D i a g r a m O b j e c t K e y & g t ; & l t ; D i a g r a m O b j e c t K e y & g t ; & l t ; K e y & g t ; M e a s u r e s \ S u m   o f   P a e d   I n t   C a r e   O c c \ T a g I n f o \ V a l u e & l t ; / K e y & g t ; & l t ; / D i a g r a m O b j e c t K e y & g t ; & l t ; D i a g r a m O b j e c t K e y & g t ; & l t ; K e y & g t ; M e a s u r e s \ S u m   o f   N e o   I n t   C a r e   A v a i l & l t ; / K e y & g t ; & l t ; / D i a g r a m O b j e c t K e y & g t ; & l t ; D i a g r a m O b j e c t K e y & g t ; & l t ; K e y & g t ; M e a s u r e s \ S u m   o f   N e o   I n t   C a r e   A v a i l \ T a g I n f o \ F o r m u l a & l t ; / K e y & g t ; & l t ; / D i a g r a m O b j e c t K e y & g t ; & l t ; D i a g r a m O b j e c t K e y & g t ; & l t ; K e y & g t ; M e a s u r e s \ S u m   o f   N e o   I n t   C a r e   A v a i l \ T a g I n f o \ V a l u e & l t ; / K e y & g t ; & l t ; / D i a g r a m O b j e c t K e y & g t ; & l t ; D i a g r a m O b j e c t K e y & g t ; & l t ; K e y & g t ; M e a s u r e s \ S u m   o f   N e o   I n t   C a r e   o c c & l t ; / K e y & g t ; & l t ; / D i a g r a m O b j e c t K e y & g t ; & l t ; D i a g r a m O b j e c t K e y & g t ; & l t ; K e y & g t ; M e a s u r e s \ S u m   o f   N e o   I n t   C a r e   o c c \ T a g I n f o \ F o r m u l a & l t ; / K e y & g t ; & l t ; / D i a g r a m O b j e c t K e y & g t ; & l t ; D i a g r a m O b j e c t K e y & g t ; & l t ; K e y & g t ; M e a s u r e s \ S u m   o f   N e o   I n t   C a r e   o c c \ T a g I n f o \ V a l u e & l t ; / K e y & g t ; & l t ; / D i a g r a m O b j e c t K e y & g t ; & l t ; D i a g r a m O b j e c t K e y & g t ; & l t ; K e y & g t ; M e a s u r e s \ A v e r a g e   o f   N e o   I n t   C a r e   A v a i l & l t ; / K e y & g t ; & l t ; / D i a g r a m O b j e c t K e y & g t ; & l t ; D i a g r a m O b j e c t K e y & g t ; & l t ; K e y & g t ; M e a s u r e s \ A v e r a g e   o f   N e o   I n t   C a r e   A v a i l \ T a g I n f o \ F o r m u l a & l t ; / K e y & g t ; & l t ; / D i a g r a m O b j e c t K e y & g t ; & l t ; D i a g r a m O b j e c t K e y & g t ; & l t ; K e y & g t ; M e a s u r e s \ A v e r a g e   o f   N e o   I n t   C a r e   A v a i l \ T a g I n f o \ V a l u e & l t ; / K e y & g t ; & l t ; / D i a g r a m O b j e c t K e y & g t ; & l t ; D i a g r a m O b j e c t K e y & g t ; & l t ; K e y & g t ; M e a s u r e s \ A v e r a g e   o f   N e o   I n t   C a r e   o c c & l t ; / K e y & g t ; & l t ; / D i a g r a m O b j e c t K e y & g t ; & l t ; D i a g r a m O b j e c t K e y & g t ; & l t ; K e y & g t ; M e a s u r e s \ A v e r a g e   o f   N e o   I n t   C a r e   o c c \ T a g I n f o \ F o r m u l a & l t ; / K e y & g t ; & l t ; / D i a g r a m O b j e c t K e y & g t ; & l t ; D i a g r a m O b j e c t K e y & g t ; & l t ; K e y & g t ; M e a s u r e s \ A v e r a g e   o f   N e o   I n t   C a r e   o c c \ T a g I n f o \ V a l u e & l t ; / K e y & g t ; & l t ; / D i a g r a m O b j e c t K e y & g t ; & l t ; D i a g r a m O b j e c t K e y & g t ; & l t ; K e y & g t ; M e a s u r e s \ S u m   o f   G A   b e d   o c c u p a n c y & l t ; / K e y & g t ; & l t ; / D i a g r a m O b j e c t K e y & g t ; & l t ; D i a g r a m O b j e c t K e y & g t ; & l t ; K e y & g t ; M e a s u r e s \ S u m   o f   G A   b e d   o c c u p a n c y \ T a g I n f o \ F o r m u l a & l t ; / K e y & g t ; & l t ; / D i a g r a m O b j e c t K e y & g t ; & l t ; D i a g r a m O b j e c t K e y & g t ; & l t ; K e y & g t ; M e a s u r e s \ S u m   o f   G A   b e d   o c c u p a n c y \ T a g I n f o \ V a l u e & l t ; / K e y & g t ; & l t ; / D i a g r a m O b j e c t K e y & g t ; & l t ; D i a g r a m O b j e c t K e y & g t ; & l t ; K e y & g t ; M e a s u r e s \ A v e r a g e   o f   G A   b e d   o c c u p a n c y & l t ; / K e y & g t ; & l t ; / D i a g r a m O b j e c t K e y & g t ; & l t ; D i a g r a m O b j e c t K e y & g t ; & l t ; K e y & g t ; M e a s u r e s \ A v e r a g e   o f   G A   b e d   o c c u p a n c y \ T a g I n f o \ F o r m u l a & l t ; / K e y & g t ; & l t ; / D i a g r a m O b j e c t K e y & g t ; & l t ; D i a g r a m O b j e c t K e y & g t ; & l t ; K e y & g t ; M e a s u r e s \ A v e r a g e   o f   G A   b e d   o c c u p a n c y \ T a g I n f o \ V a l u e & l t ; / K e y & g t ; & l t ; / D i a g r a m O b j e c t K e y & g t ; & l t ; D i a g r a m O b j e c t K e y & g t ; & l t ; K e y & g t ; M e a s u r e s \ S u m   o f   G A   c o r e   b e d s   a v a i l & l t ; / K e y & g t ; & l t ; / D i a g r a m O b j e c t K e y & g t ; & l t ; D i a g r a m O b j e c t K e y & g t ; & l t ; K e y & g t ; M e a s u r e s \ S u m   o f   G A   c o r e   b e d s   a v a i l \ T a g I n f o \ F o r m u l a & l t ; / K e y & g t ; & l t ; / D i a g r a m O b j e c t K e y & g t ; & l t ; D i a g r a m O b j e c t K e y & g t ; & l t ; K e y & g t ; M e a s u r e s \ S u m   o f   G A   c o r e   b e d s   a v a i l \ T a g I n f o \ V a l u e & l t ; / K e y & g t ; & l t ; / D i a g r a m O b j e c t K e y & g t ; & l t ; D i a g r a m O b j e c t K e y & g t ; & l t ; K e y & g t ; M e a s u r e s \ S u m   o f   G A   e s c a l a t i o n   b e d s   a v a i l & l t ; / K e y & g t ; & l t ; / D i a g r a m O b j e c t K e y & g t ; & l t ; D i a g r a m O b j e c t K e y & g t ; & l t ; K e y & g t ; M e a s u r e s \ S u m   o f   G A   e s c a l a t i o n   b e d s   a v a i l \ T a g I n f o \ F o r m u l a & l t ; / K e y & g t ; & l t ; / D i a g r a m O b j e c t K e y & g t ; & l t ; D i a g r a m O b j e c t K e y & g t ; & l t ; K e y & g t ; M e a s u r e s \ S u m   o f   G A   e s c a l a t i o n   b e d s   a v a i l \ T a g I n f o \ V a l u e & l t ; / K e y & g t ; & l t ; / D i a g r a m O b j e c t K e y & g t ; & l t ; D i a g r a m O b j e c t K e y & g t ; & l t ; K e y & g t ; C o l u m n s \ I D & l t ; / K e y & g t ; & l t ; / D i a g r a m O b j e c t K e y & g t ; & l t ; D i a g r a m O b j e c t K e y & g t ; & l t ; K e y & g t ; C o l u m n s \ c r i _ i d & l t ; / K e y & g t ; & l t ; / D i a g r a m O b j e c t K e y & g t ; & l t ; D i a g r a m O b j e c t K e y & g t ; & l t ; K e y & g t ; C o l u m n s \ d r _ i d & l t ; / K e y & g t ; & l t ; / D i a g r a m O b j e c t K e y & g t ; & l t ; D i a g r a m O b j e c t K e y & g t ; & l t ; K e y & g t ; C o l u m n s \ o r g _ i d & l t ; / K e y & g t ; & l t ; / D i a g r a m O b j e c t K e y & g t ; & l t ; D i a g r a m O b j e c t K e y & g t ; & l t ; K e y & g t ; C o l u m n s \ c r i _ d a t a p e r i o d s t a r t & l t ; / K e y & g t ; & l t ; / D i a g r a m O b j e c t K e y & g t ; & l t ; D i a g r a m O b j e c t K e y & g t ; & l t ; K e y & g t ; C o l u m n s \ C o d e & l t ; / K e y & g t ; & l t ; / D i a g r a m O b j e c t K e y & g t ; & l t ; D i a g r a m O b j e c t K e y & g t ; & l t ; K e y & g t ; C o l u m n s \ N a m e & l t ; / K e y & g t ; & l t ; / D i a g r a m O b j e c t K e y & g t ; & l t ; D i a g r a m O b j e c t K e y & g t ; & l t ; K e y & g t ; C o l u m n s \ D a t e & l t ; / K e y & g t ; & l t ; / D i a g r a m O b j e c t K e y & g t ; & l t ; D i a g r a m O b j e c t K e y & g t ; & l t ; K e y & g t ; C o l u m n s \ W e e k & l t ; / K e y & g t ; & l t ; / D i a g r a m O b j e c t K e y & g t ; & l t ; D i a g r a m O b j e c t K e y & g t ; & l t ; K e y & g t ; C o l u m n s \ D a y & l t ; / K e y & g t ; & l t ; / D i a g r a m O b j e c t K e y & g t ; & l t ; D i a g r a m O b j e c t K e y & g t ; & l t ; K e y & g t ; C o l u m n s \ B a n k   h o l i d a y & l t ; / K e y & g t ; & l t ; / D i a g r a m O b j e c t K e y & g t ; & l t ; D i a g r a m O b j e c t K e y & g t ; & l t ; K e y & g t ; C o l u m n s \ A E   c l o s u r e s & l t ; / K e y & g t ; & l t ; / D i a g r a m O b j e c t K e y & g t ; & l t ; D i a g r a m O b j e c t K e y & g t ; & l t ; K e y & g t ; C o l u m n s \ A E   d i v e r t s & l t ; / K e y & g t ; & l t ; / D i a g r a m O b j e c t K e y & g t ; & l t ; D i a g r a m O b j e c t K e y & g t ; & l t ; K e y & g t ; C o l u m n s \ A E   t y p e   1   a t t e n d a n c e s & l t ; / K e y & g t ; & l t ; / D i a g r a m O b j e c t K e y & g t ; & l t ; D i a g r a m O b j e c t K e y & g t ; & l t ; K e y & g t ; C o l u m n s \ A E   t y p e   2   a t t e n d a n c e s & l t ; / K e y & g t ; & l t ; / D i a g r a m O b j e c t K e y & g t ; & l t ; D i a g r a m O b j e c t K e y & g t ; & l t ; K e y & g t ; C o l u m n s \ A E   t y p e   3   a t t e n d a n c e s & l t ; / K e y & g t ; & l t ; / D i a g r a m O b j e c t K e y & g t ; & l t ; D i a g r a m O b j e c t K e y & g t ; & l t ; K e y & g t ; C o l u m n s \ A E   t o t a l   a t t e n d a n c e s & l t ; / K e y & g t ; & l t ; / D i a g r a m O b j e c t K e y & g t ; & l t ; D i a g r a m O b j e c t K e y & g t ; & l t ; K e y & g t ; C o l u m n s \ E m e r g e n c y   a d m i s s i o n s & l t ; / K e y & g t ; & l t ; / D i a g r a m O b j e c t K e y & g t ; & l t ; D i a g r a m O b j e c t K e y & g t ; & l t ; K e y & g t ; C o l u m n s \ G A   c o r e   b e d s   a v a i l & l t ; / K e y & g t ; & l t ; / D i a g r a m O b j e c t K e y & g t ; & l t ; D i a g r a m O b j e c t K e y & g t ; & l t ; K e y & g t ; C o l u m n s \ G A   e s c a l a t i o n   b e d s   a v a i l & l t ; / K e y & g t ; & l t ; / D i a g r a m O b j e c t K e y & g t ; & l t ; D i a g r a m O b j e c t K e y & g t ; & l t ; K e y & g t ; C o l u m n s \ G A   t o t a l   b e d s   a v a i l & l t ; / K e y & g t ; & l t ; / D i a g r a m O b j e c t K e y & g t ; & l t ; D i a g r a m O b j e c t K e y & g t ; & l t ; K e y & g t ; C o l u m n s \ G A   t o t a l   b e d s   o c c u p i e d & l t ; / K e y & g t ; & l t ; / D i a g r a m O b j e c t K e y & g t ; & l t ; D i a g r a m O b j e c t K e y & g t ; & l t ; K e y & g t ; C o l u m n s \ B e d s 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 o c c & l t ; / K e y & g t ; & l t ; / D i a g r a m O b j e c t K e y & g t ; & l t ; D i a g r a m O b j e c t K e y & g t ; & l t ; K e y & g t ; C o l u m n s \ O P E L   3   o r   a b o v e & l t ; / K e y & g t ; & l t ; / D i a g r a m O b j e c t K e y & g t ; & l t ; D i a g r a m O b j e c t K e y & g t ; & l t ; K e y & g t ; C o l u m n s \ W e e k e n d & l t ; / K e y & g t ; & l t ; / D i a g r a m O b j e c t K e y & g t ; & l t ; D i a g r a m O b j e c t K e y & g t ; & l t ; K e y & g t ; C o l u m n s \ R e g i o n & l t ; / K e y & g t ; & l t ; / D i a g r a m O b j e c t K e y & g t ; & l t ; D i a g r a m O b j e c t K e y & g t ; & l t ; K e y & g t ; C o l u m n s \ Y e a r & l t ; / K e y & g t ; & l t ; / D i a g r a m O b j e c t K e y & g t ; & l t ; D i a g r a m O b j e c t K e y & g t ; & l t ; K e y & g t ; C o l u m n s \ B e d s   o c c   o v e r   7   d a y s & l t ; / K e y & g t ; & l t ; / D i a g r a m O b j e c t K e y & g t ; & l t ; D i a g r a m O b j e c t K e y & g t ; & l t ; K e y & g t ; C o l u m n s \ B e d s   o c c   o v e r   2 1   d a y s & l t ; / K e y & g t ; & l t ; / D i a g r a m O b j e c t K e y & g t ; & l t ; D i a g r a m O b j e c t K e y & g t ; & l t ; K e y & g t ; C o l u m n s \ A m b 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 m i n s & l t ; / K e y & g t ; & l t ; / D i a g r a m O b j e c t K e y & g t ; & l t ; D i a g r a m O b j e c t K e y & g t ; & l t ; K e y & g t ; C o l u m n s \ W e e k   l o n g & l t ; / K e y & g t ; & l t ; / D i a g r a m O b j e c t K e y & g t ; & l t ; D i a g r a m O b j e c t K e y & g t ; & l t ; K e y & g t ; C o l u m n s \ G A   b e d   o c c u p a n c y & l t ; / K e y & g t ; & l t ; / D i a g r a m O b j e c t K e y & g t ; & l t ; D i a g r a m O b j e c t K e y & g t ; & l t ; K e y & g t ; L i n k s \ & a m p ; l t ; C o l u m n s \ S u m   o f   A E   d i v e r t s & a m p ; g t ; - & a m p ; l t ; M e a s u r e s \ A E   d i v e r t s & a m p ; g t ; & l t ; / K e y & g t ; & l t ; / D i a g r a m O b j e c t K e y & g t ; & l t ; D i a g r a m O b j e c t K e y & g t ; & l t ; K e y & g t ; L i n k s \ & a m p ; l t ; C o l u m n s \ S u m   o f   A E   d i v e r t s & a m p ; g t ; - & a m p ; l t ; M e a s u r e s \ A E   d i v e r t s & a m p ; g t ; \ C O L U M N & l t ; / K e y & g t ; & l t ; / D i a g r a m O b j e c t K e y & g t ; & l t ; D i a g r a m O b j e c t K e y & g t ; & l t ; K e y & g t ; L i n k s \ & a m p ; l t ; C o l u m n s \ S u m   o f   A E   d i v e r t s & a m p ; g t ; - & a m p ; l t ; M e a s u r e s \ A E   d i v e r t s & a m p ; g t ; \ M E A S U R E & l t ; / K e y & g t ; & l t ; / D i a g r a m O b j e c t K e y & g t ; & l t ; D i a g r a m O b j e c t K e y & g t ; & l t ; K e y & g t ; L i n k s \ & a m p ; l t ; C o l u m n s \ S u m   o f   G A   t o t a l   b e d s   o c c u p i e d & a m p ; g t ; - & a m p ; l t ; M e a s u r e s \ G A   t o t a l   b e d s   o c c u p i e d & a m p ; g t ; & l t ; / K e y & g t ; & l t ; / D i a g r a m O b j e c t K e y & g t ; & l t ; D i a g r a m O b j e c t K e y & g t ; & l t ; K e y & g t ; L i n k s \ & a m p ; l t ; C o l u m n s \ S u m   o f   G A   t o t a l   b e d s   o c c u p i e d & a m p ; g t ; - & a m p ; l t ; M e a s u r e s \ G A   t o t a l   b e d s   o c c u p i e d & a m p ; g t ; \ C O L U M N & l t ; / K e y & g t ; & l t ; / D i a g r a m O b j e c t K e y & g t ; & l t ; D i a g r a m O b j e c t K e y & g t ; & l t ; K e y & g t ; L i n k s \ & a m p ; l t ; C o l u m n s \ S u m   o f   G A   t o t a l   b e d s   o c c u p i e d & a m p ; g t ; - & a m p ; l t ; M e a s u r e s \ G A   t o t a l   b e d s   o c c u p i e d & a m p ; g t ; \ M E A S U R E & l t ; / K e y & g t ; & l t ; / D i a g r a m O b j e c t K e y & g t ; & l t ; D i a g r a m O b j e c t K e y & g t ; & l t ; K e y & g t ; L i n k s \ & a m p ; l t ; C o l u m n s \ A v e r a g e   o f   G A   t o t a l   b e d s   o c c u p i e d & a m p ; g t ; - & a m p ; l t ; M e a s u r e s \ G A   t o t a l   b e d s   o c c u p i e d & a m p ; g t ; & l t ; / K e y & g t ; & l t ; / D i a g r a m O b j e c t K e y & g t ; & l t ; D i a g r a m O b j e c t K e y & g t ; & l t ; K e y & g t ; L i n k s \ & a m p ; l t ; C o l u m n s \ A v e r a g e   o f   G A   t o t a l   b e d s   o c c u p i e d & a m p ; g t ; - & a m p ; l t ; M e a s u r e s \ G A   t o t a l   b e d s   o c c u p i e d & a m p ; g t ; \ C O L U M N & l t ; / K e y & g t ; & l t ; / D i a g r a m O b j e c t K e y & g t ; & l t ; D i a g r a m O b j e c t K e y & g t ; & l t ; K e y & g t ; L i n k s \ & a m p ; l t ; C o l u m n s \ A v e r a g e   o f   G A   t o t a l   b e d s   o c c u p i e d & a m p ; g t ; - & a m p ; l t ; M e a s u r e s \ G A   t o t a l   b e d s   o c c u p i e d & a m p ; g t ; \ M E A S U R E & l t ; / K e y & g t ; & l t ; / D i a g r a m O b j e c t K e y & g t ; & l t ; D i a g r a m O b j e c t K e y & g t ; & l t ; K e y & g t ; L i n k s \ & a m p ; l t ; C o l u m n s \ S u m   o f   G A   t o t a l   b e d s   a v a i l & a m p ; g t ; - & a m p ; l t ; M e a s u r e s \ G A   t o t a l   b e d s   a v a i l & a m p ; g t ; & l t ; / K e y & g t ; & l t ; / D i a g r a m O b j e c t K e y & g t ; & l t ; D i a g r a m O b j e c t K e y & g t ; & l t ; K e y & g t ; L i n k s \ & a m p ; l t ; C o l u m n s \ S u m   o f   G A   t o t a l   b e d s   a v a i l & a m p ; g t ; - & a m p ; l t ; M e a s u r e s \ G A   t o t a l   b e d s   a v a i l & a m p ; g t ; \ C O L U M N & l t ; / K e y & g t ; & l t ; / D i a g r a m O b j e c t K e y & g t ; & l t ; D i a g r a m O b j e c t K e y & g t ; & l t ; K e y & g t ; L i n k s \ & a m p ; l t ; C o l u m n s \ S u m   o f   G A   t o t a l   b e d s   a v a i l & a m p ; g t ; - & a m p ; l t ; M e a s u r e s \ G A   t o t a l   b e d s   a v a i l & a m p ; g t ; \ M E A S U R E & l t ; / K e y & g t ; & l t ; / D i a g r a m O b j e c t K e y & g t ; & l t ; D i a g r a m O b j e c t K e y & g t ; & l t ; K e y & g t ; L i n k s \ & a m p ; l t ; C o l u m n s \ S u m   o f   B e d s   o c c   o v e r   7   d a y s & a m p ; g t ; - & a m p ; l t ; M e a s u r e s \ B e d s   o c c   o v e r   7   d a y s & a m p ; g t ; & l t ; / K e y & g t ; & l t ; / D i a g r a m O b j e c t K e y & g t ; & l t ; D i a g r a m O b j e c t K e y & g t ; & l t ; K e y & g t ; L i n k s \ & a m p ; l t ; C o l u m n s \ S u m   o f   B e d s   o c c   o v e r   7   d a y s & a m p ; g t ; - & a m p ; l t ; M e a s u r e s \ B e d s   o c c   o v e r   7   d a y s & a m p ; g t ; \ C O L U M N & l t ; / K e y & g t ; & l t ; / D i a g r a m O b j e c t K e y & g t ; & l t ; D i a g r a m O b j e c t K e y & g t ; & l t ; K e y & g t ; L i n k s \ & a m p ; l t ; C o l u m n s \ S u m   o f   B e d s   o c c   o v e r   7   d a y s & a m p ; g t ; - & a m p ; l t ; M e a s u r e s \ B e d s   o c c   o v e r   7   d a y s & a m p ; g t ; \ M E A S U R E & l t ; / K e y & g t ; & l t ; / D i a g r a m O b j e c t K e y & g t ; & l t ; D i a g r a m O b j e c t K e y & g t ; & l t ; K e y & g t ; L i n k s \ & a m p ; l t ; C o l u m n s \ S u m   o f   B e d s   o c c   o v e r   2 1   d a y s & a m p ; g t ; - & a m p ; l t ; M e a s u r e s \ B e d s   o c c   o v e r   2 1   d a y s & a m p ; g t ; & l t ; / K e y & g t ; & l t ; / D i a g r a m O b j e c t K e y & g t ; & l t ; D i a g r a m O b j e c t K e y & g t ; & l t ; K e y & g t ; L i n k s \ & a m p ; l t ; C o l u m n s \ S u m   o f   B e d s   o c c   o v e r   2 1   d a y s & a m p ; g t ; - & a m p ; l t ; M e a s u r e s \ B e d s   o c c   o v e r   2 1   d a y s & a m p ; g t ; \ C O L U M N & l t ; / K e y & g t ; & l t ; / D i a g r a m O b j e c t K e y & g t ; & l t ; D i a g r a m O b j e c t K e y & g t ; & l t ; K e y & g t ; L i n k s \ & a m p ; l t ; C o l u m n s \ S u m   o f   B e d s   o c c   o v e r   2 1   d a y s & a m p ; g t ; - & a m p ; l t ; M e a s u r e s \ B e d s   o c c   o v e r   2 1   d a y s & a m p ; g t ; \ M E A S U R E & l t ; / K e y & g t ; & l t ; / D i a g r a m O b j e c t K e y & g t ; & l t ; D i a g r a m O b j e c t K e y & g t ; & l t ; K e y & g t ; L i n k s \ & a m p ; l t ; C o l u m n s \ A v e r a g e   o f   B e d s   o c c   o v e r   2 1   d a y s & a m p ; g t ; - & a m p ; l t ; M e a s u r e s \ B e d s   o c c   o v e r   2 1   d a y s & a m p ; g t ; & l t ; / K e y & g t ; & l t ; / D i a g r a m O b j e c t K e y & g t ; & l t ; D i a g r a m O b j e c t K e y & g t ; & l t ; K e y & g t ; L i n k s \ & a m p ; l t ; C o l u m n s \ A v e r a g e   o f   B e d s   o c c   o v e r   2 1   d a y s & a m p ; g t ; - & a m p ; l t ; M e a s u r e s \ B e d s   o c c   o v e r   2 1   d a y s & a m p ; g t ; \ C O L U M N & l t ; / K e y & g t ; & l t ; / D i a g r a m O b j e c t K e y & g t ; & l t ; D i a g r a m O b j e c t K e y & g t ; & l t ; K e y & g t ; L i n k s \ & a m p ; l t ; C o l u m n s \ A v e r a g e   o f   B e d s   o c c   o v e r   2 1   d a y s & a m p ; g t ; - & a m p ; l t ; M e a s u r e s \ B e d s   o c c   o v e r   2 1   d a y s & a m p ; g t ; \ M E A S U R E & l t ; / K e y & g t ; & l t ; / D i a g r a m O b j e c t K e y & g t ; & l t ; D i a g r a m O b j e c t K e y & g t ; & l t ; K e y & g t ; L i n k s \ & a m p ; l t ; C o l u m n s \ S u m   o f   B e d s   c l o s e d   n o r o v i r u s & a m p ; g t ; - & a m p ; l t ; M e a s u r e s \ B e d s   c l o s e d   n o r o v i r u s & a m p ; g t ; & l t ; / K e y & g t ; & l t ; / D i a g r a m O b j e c t K e y & g t ; & l t ; D i a g r a m O b j e c t K e y & g t ; & l t ; K e y & g t ; L i n k s \ & a m p ; l t ; C o l u m n s \ S u m   o f   B e d s   c l o s e d   n o r o v i r u s & a m p ; g t ; - & a m p ; l t ; M e a s u r e s \ B e d s   c l o s e d   n o r o v i r u s & a m p ; g t ; \ C O L U M N & l t ; / K e y & g t ; & l t ; / D i a g r a m O b j e c t K e y & g t ; & l t ; D i a g r a m O b j e c t K e y & g t ; & l t ; K e y & g t ; L i n k s \ & a m p ; l t ; C o l u m n s \ S u m   o f   B e d s   c l o s e d   n o r o v i r u s & a m p ; g t ; - & a m p ; l t ; M e a s u r e s \ B e d s   c l o s e d   n o r o v i r u s & a m p ; g t ; \ M E A S U R E & l t ; / K e y & g t ; & l t ; / D i a g r a m O b j e c t K e y & g t ; & l t ; D i a g r a m O b j e c t K e y & g t ; & l t ; K e y & g t ; L i n k s \ & a m p ; l t ; C o l u m n s \ A v e r a g e   o f   B e d s   c l o s e d   n o r o v i r u s & a m p ; g t ; - & a m p ; l t ; M e a s u r e s \ B e d s   c l o s e d   n o r o v i r u s & a m p ; g t ; & l t ; / K e y & g t ; & l t ; / D i a g r a m O b j e c t K e y & g t ; & l t ; D i a g r a m O b j e c t K e y & g t ; & l t ; K e y & g t ; L i n k s \ & a m p ; l t ; C o l u m n s \ A v e r a g e   o f   B e d s   c l o s e d   n o r o v i r u s & a m p ; g t ; - & a m p ; l t ; M e a s u r e s \ B e d s   c l o s e d   n o r o v i r u s & a m p ; g t ; \ C O L U M N & l t ; / K e y & g t ; & l t ; / D i a g r a m O b j e c t K e y & g t ; & l t ; D i a g r a m O b j e c t K e y & g t ; & l t ; K e y & g t ; L i n k s \ & a m p ; l t ; C o l u m n s \ A v e r a g e   o f   B e d s   c l o s e d   n o r o v i r u s & a m p ; g t ; - & a m p ; l t ; M e a s u r e s \ B e d s   c l o s e d   n o r o v i r u s & a m p ; g t ; \ M E A S U R E & l t ; / K e y & g t ; & l t ; / D i a g r a m O b j e c t K e y & g t ; & l t ; D i a g r a m O b j e c t K e y & g t ; & l t ; K e y & g t ; L i n k s \ & a m p ; l t ; C o l u m n s \ S u m   o f   B e d s   c l o s e d   n o r o v i u s   u n o c c & a m p ; g t ; - & a m p ; l t ; M e a s u r e s \ B e d s   c l o s e d   n o r o v i u s   u n o c c & a m p ; g t ; & l t ; / K e y & g t ; & l t ; / D i a g r a m O b j e c t K e y & g t ; & l t ; D i a g r a m O b j e c t K e y & g t ; & l t ; K e y & g t ; L i n k s \ & a m p ; l t ; C o l u m n s \ S u m   o f   B e d s   c l o s e d   n o r o v i u s   u n o c c & a m p ; g t ; - & a m p ; l t ; M e a s u r e s \ B e d s   c l o s e d   n o r o v i u s   u n o c c & a m p ; g t ; \ C O L U M N & l t ; / K e y & g t ; & l t ; / D i a g r a m O b j e c t K e y & g t ; & l t ; D i a g r a m O b j e c t K e y & g t ; & l t ; K e y & g t ; L i n k s \ & a m p ; l t ; C o l u m n s \ S u m   o f   B e d s   c l o s e d   n o r o v i u s   u n o c c & a m p ; g t ; - & a m p ; l t ; M e a s u r e s \ B e d s   c l o s e d   n o r o v i u s   u n o c c & a m p ; g t ; \ M E A S U R E & l t ; / K e y & g t ; & l t ; / D i a g r a m O b j e c t K e y & g t ; & l t ; D i a g r a m O b j e c t K e y & g t ; & l t ; K e y & g t ; L i n k s \ & a m p ; l t ; C o l u m n s \ S u m   o f   A m b   a r r i v a l s & a m p ; g t ; - & a m p ; l t ; M e a s u r e s \ A m b   a r r i v a l s & a m p ; g t ; & l t ; / K e y & g t ; & l t ; / D i a g r a m O b j e c t K e y & g t ; & l t ; D i a g r a m O b j e c t K e y & g t ; & l t ; K e y & g t ; L i n k s \ & a m p ; l t ; C o l u m n s \ S u m   o f   A m b   a r r i v a l s & a m p ; g t ; - & a m p ; l t ; M e a s u r e s \ A m b   a r r i v a l s & a m p ; g t ; \ C O L U M N & l t ; / K e y & g t ; & l t ; / D i a g r a m O b j e c t K e y & g t ; & l t ; D i a g r a m O b j e c t K e y & g t ; & l t ; K e y & g t ; L i n k s \ & a m p ; l t ; C o l u m n s \ S u m   o f   A m b   a r r i v a l s & a m p ; g t ; - & a m p ; l t ; M e a s u r e s \ A m b   a r r i v a l s & a m p ; g t ; \ M E A S U R E & l t ; / K e y & g t ; & l t ; / D i a g r a m O b j e c t K e y & g t ; & l t ; D i a g r a m O b j e c t K e y & g t ; & l t ; K e y & g t ; L i n k s \ & a m p ; l t ; C o l u m n s \ S u m   o f   A m b   d e l a y s   3 0 - 6 0   m i n s & a m p ; g t ; - & a m p ; l t ; M e a s u r e s \ A m b   d e l a y s   3 0 - 6 0   m i n s & a m p ; g t ; & l t ; / K e y & g t ; & l t ; / D i a g r a m O b j e c t K e y & g t ; & l t ; D i a g r a m O b j e c t K e y & g t ; & l t ; K e y & g t ; L i n k s \ & a m p ; l t ; C o l u m n s \ S u m   o f   A m b   d e l a y s   3 0 - 6 0   m i n s & a m p ; g t ; - & a m p ; l t ; M e a s u r e s \ A m b   d e l a y s   3 0 - 6 0   m i n s & a m p ; g t ; \ C O L U M N & l t ; / K e y & g t ; & l t ; / D i a g r a m O b j e c t K e y & g t ; & l t ; D i a g r a m O b j e c t K e y & g t ; & l t ; K e y & g t ; L i n k s \ & a m p ; l t ; C o l u m n s \ S u m   o f   A m b   d e l a y s   3 0 - 6 0   m i n s & a m p ; g t ; - & a m p ; l t ; M e a s u r e s \ A m b   d e l a y s   3 0 - 6 0   m i n s & a m p ; g t ; \ M E A S U R E & l t ; / K e y & g t ; & l t ; / D i a g r a m O b j e c t K e y & g t ; & l t ; D i a g r a m O b j e c t K e y & g t ; & l t ; K e y & g t ; L i n k s \ & a m p ; l t ; C o l u m n s \ S u m   o f   A m b   d e l a y s   o v e r   6 0   m i n s & a m p ; g t ; - & a m p ; l t ; M e a s u r e s \ A m b   d e l a y s   o v e r   6 0   m i n s & a m p ; g t ; & l t ; / K e y & g t ; & l t ; / D i a g r a m O b j e c t K e y & g t ; & l t ; D i a g r a m O b j e c t K e y & g t ; & l t ; K e y & g t ; L i n k s \ & a m p ; l t ; C o l u m n s \ S u m   o f   A m b   d e l a y s   o v e r   6 0   m i n s & a m p ; g t ; - & a m p ; l t ; M e a s u r e s \ A m b   d e l a y s   o v e r   6 0   m i n s & a m p ; g t ; \ C O L U M N & l t ; / K e y & g t ; & l t ; / D i a g r a m O b j e c t K e y & g t ; & l t ; D i a g r a m O b j e c t K e y & g t ; & l t ; K e y & g t ; L i n k s \ & a m p ; l t ; C o l u m n s \ S u m   o f   A m b   d e l a y s   o v e r   6 0   m i n s & a m p ; g t ; - & a m p ; l t ; M e a s u r e s \ A m b   d e l a y s   o v e r   6 0   m i n s & a m p ; g t ; \ M E A S U R E & l t ; / K e y & g t ; & l t ; / D i a g r a m O b j e c t K e y & g t ; & l t ; D i a g r a m O b j e c t K e y & g t ; & l t ; K e y & g t ; L i n k s \ & a m p ; l t ; C o l u m n s \ S u m   o f   A d u l t   C C   b e d s   a v a i l & a m p ; g t ; - & a m p ; l t ; M e a s u r e s \ A d u l t   C C   b e d s   a v a i l & a m p ; g t ; & l t ; / K e y & g t ; & l t ; / D i a g r a m O b j e c t K e y & g t ; & l t ; D i a g r a m O b j e c t K e y & g t ; & l t ; K e y & g t ; L i n k s \ & a m p ; l t ; C o l u m n s \ S u m   o f   A d u l t   C C   b e d s   a v a i l & a m p ; g t ; - & a m p ; l t ; M e a s u r e s \ A d u l t   C C   b e d s   a v a i l & a m p ; g t ; \ C O L U M N & l t ; / K e y & g t ; & l t ; / D i a g r a m O b j e c t K e y & g t ; & l t ; D i a g r a m O b j e c t K e y & g t ; & l t ; K e y & g t ; L i n k s \ & a m p ; l t ; C o l u m n s \ S u m   o f   A d u l t   C C   b e d s   a v a i l & a m p ; g t ; - & a m p ; l t ; M e a s u r e s \ A d u l t   C C   b e d s   a v a i l & a m p ; g t ; \ M E A S U R E & l t ; / K e y & g t ; & l t ; / D i a g r a m O b j e c t K e y & g t ; & l t ; D i a g r a m O b j e c t K e y & g t ; & l t ; K e y & g t ; L i n k s \ & a m p ; l t ; C o l u m n s \ S u m   o f   A d u l t   C C   b e d s   o c c & a m p ; g t ; - & a m p ; l t ; M e a s u r e s \ A d u l t   C C   b e d s   o c c & a m p ; g t ; & l t ; / K e y & g t ; & l t ; / D i a g r a m O b j e c t K e y & g t ; & l t ; D i a g r a m O b j e c t K e y & g t ; & l t ; K e y & g t ; L i n k s \ & a m p ; l t ; C o l u m n s \ S u m   o f   A d u l t   C C   b e d s   o c c & a m p ; g t ; - & a m p ; l t ; M e a s u r e s \ A d u l t   C C   b e d s   o c c & a m p ; g t ; \ C O L U M N & l t ; / K e y & g t ; & l t ; / D i a g r a m O b j e c t K e y & g t ; & l t ; D i a g r a m O b j e c t K e y & g t ; & l t ; K e y & g t ; L i n k s \ & a m p ; l t ; C o l u m n s \ S u m   o f   A d u l t   C C   b e d s   o c c & a m p ; g t ; - & a m p ; l t ; M e a s u r e s \ A d u l t   C C   b e d s   o c c & a m p ; g t ; \ M E A S U R E & l t ; / K e y & g t ; & l t ; / D i a g r a m O b j e c t K e y & g t ; & l t ; D i a g r a m O b j e c t K e y & g t ; & l t ; K e y & g t ; L i n k s \ & a m p ; l t ; C o l u m n s \ S u m   o f   P a e d   I n t   C a r e   A v a i l & a m p ; g t ; - & a m p ; l t ; M e a s u r e s \ P a e d   I n t   C a r e   A v a i l & a m p ; g t ; & l t ; / K e y & g t ; & l t ; / D i a g r a m O b j e c t K e y & g t ; & l t ; D i a g r a m O b j e c t K e y & g t ; & l t ; K e y & g t ; L i n k s \ & a m p ; l t ; C o l u m n s \ S u m   o f   P a e d   I n t   C a r e   A v a i l & a m p ; g t ; - & a m p ; l t ; M e a s u r e s \ P a e d   I n t   C a r e   A v a i l & a m p ; g t ; \ C O L U M N & l t ; / K e y & g t ; & l t ; / D i a g r a m O b j e c t K e y & g t ; & l t ; D i a g r a m O b j e c t K e y & g t ; & l t ; K e y & g t ; L i n k s \ & a m p ; l t ; C o l u m n s \ S u m   o f   P a e d   I n t   C a r e   A v a i l & a m p ; g t ; - & a m p ; l t ; M e a s u r e s \ P a e d   I n t   C a r e   A v a i l & a m p ; g t ; \ M E A S U R E & l t ; / K e y & g t ; & l t ; / D i a g r a m O b j e c t K e y & g t ; & l t ; D i a g r a m O b j e c t K e y & g t ; & l t ; K e y & g t ; L i n k s \ & a m p ; l t ; C o l u m n s \ S u m   o f   P a e d   I n t   C a r e   O c c & a m p ; g t ; - & a m p ; l t ; M e a s u r e s \ P a e d   I n t   C a r e   O c c & a m p ; g t ; & l t ; / K e y & g t ; & l t ; / D i a g r a m O b j e c t K e y & g t ; & l t ; D i a g r a m O b j e c t K e y & g t ; & l t ; K e y & g t ; L i n k s \ & a m p ; l t ; C o l u m n s \ S u m   o f   P a e d   I n t   C a r e   O c c & a m p ; g t ; - & a m p ; l t ; M e a s u r e s \ P a e d   I n t   C a r e   O c c & a m p ; g t ; \ C O L U M N & l t ; / K e y & g t ; & l t ; / D i a g r a m O b j e c t K e y & g t ; & l t ; D i a g r a m O b j e c t K e y & g t ; & l t ; K e y & g t ; L i n k s \ & a m p ; l t ; C o l u m n s \ S u m   o f   P a e d   I n t   C a r e   O c c & a m p ; g t ; - & a m p ; l t ; M e a s u r e s \ P a e d   I n t   C a r e   O c c & a m p ; g t ; \ M E A S U R E & l t ; / K e y & g t ; & l t ; / D i a g r a m O b j e c t K e y & g t ; & l t ; D i a g r a m O b j e c t K e y & g t ; & l t ; K e y & g t ; L i n k s \ & a m p ; l t ; C o l u m n s \ S u m   o f   N e o   I n t   C a r e   A v a i l & a m p ; g t ; - & a m p ; l t ; M e a s u r e s \ N e o   I n t   C a r e   A v a i l & a m p ; g t ; & l t ; / K e y & g t ; & l t ; / D i a g r a m O b j e c t K e y & g t ; & l t ; D i a g r a m O b j e c t K e y & g t ; & l t ; K e y & g t ; L i n k s \ & a m p ; l t ; C o l u m n s \ S u m   o f   N e o   I n t   C a r e   A v a i l & a m p ; g t ; - & a m p ; l t ; M e a s u r e s \ N e o   I n t   C a r e   A v a i l & a m p ; g t ; \ C O L U M N & l t ; / K e y & g t ; & l t ; / D i a g r a m O b j e c t K e y & g t ; & l t ; D i a g r a m O b j e c t K e y & g t ; & l t ; K e y & g t ; L i n k s \ & a m p ; l t ; C o l u m n s \ S u m   o f   N e o   I n t   C a r e   A v a i l & a m p ; g t ; - & a m p ; l t ; M e a s u r e s \ N e o   I n t   C a r e   A v a i l & a m p ; g t ; \ M E A S U R E & l t ; / K e y & g t ; & l t ; / D i a g r a m O b j e c t K e y & g t ; & l t ; D i a g r a m O b j e c t K e y & g t ; & l t ; K e y & g t ; L i n k s \ & a m p ; l t ; C o l u m n s \ S u m   o f   N e o   I n t   C a r e   o c c & a m p ; g t ; - & a m p ; l t ; M e a s u r e s \ N e o   I n t   C a r e   o c c & a m p ; g t ; & l t ; / K e y & g t ; & l t ; / D i a g r a m O b j e c t K e y & g t ; & l t ; D i a g r a m O b j e c t K e y & g t ; & l t ; K e y & g t ; L i n k s \ & a m p ; l t ; C o l u m n s \ S u m   o f   N e o   I n t   C a r e   o c c & a m p ; g t ; - & a m p ; l t ; M e a s u r e s \ N e o   I n t   C a r e   o c c & a m p ; g t ; \ C O L U M N & l t ; / K e y & g t ; & l t ; / D i a g r a m O b j e c t K e y & g t ; & l t ; D i a g r a m O b j e c t K e y & g t ; & l t ; K e y & g t ; L i n k s \ & a m p ; l t ; C o l u m n s \ S u m   o f   N e o   I n t   C a r e   o c c & a m p ; g t ; - & a m p ; l t ; M e a s u r e s \ N e o   I n t   C a r e   o c c & a m p ; g t ; \ M E A S U R E & l t ; / K e y & g t ; & l t ; / D i a g r a m O b j e c t K e y & g t ; & l t ; D i a g r a m O b j e c t K e y & g t ; & l t ; K e y & g t ; L i n k s \ & a m p ; l t ; C o l u m n s \ A v e r a g e   o f   N e o   I n t   C a r e   A v a i l & a m p ; g t ; - & a m p ; l t ; M e a s u r e s \ N e o   I n t   C a r e   A v a i l & a m p ; g t ; & l t ; / K e y & g t ; & l t ; / D i a g r a m O b j e c t K e y & g t ; & l t ; D i a g r a m O b j e c t K e y & g t ; & l t ; K e y & g t ; L i n k s \ & a m p ; l t ; C o l u m n s \ A v e r a g e   o f   N e o   I n t   C a r e   A v a i l & a m p ; g t ; - & a m p ; l t ; M e a s u r e s \ N e o   I n t   C a r e   A v a i l & a m p ; g t ; \ C O L U M N & l t ; / K e y & g t ; & l t ; / D i a g r a m O b j e c t K e y & g t ; & l t ; D i a g r a m O b j e c t K e y & g t ; & l t ; K e y & g t ; L i n k s \ & a m p ; l t ; C o l u m n s \ A v e r a g e   o f   N e o   I n t   C a r e   A v a i l & a m p ; g t ; - & a m p ; l t ; M e a s u r e s \ N e o   I n t   C a r e   A v a i l & a m p ; g t ; \ M E A S U R E & l t ; / K e y & g t ; & l t ; / D i a g r a m O b j e c t K e y & g t ; & l t ; D i a g r a m O b j e c t K e y & g t ; & l t ; K e y & g t ; L i n k s \ & a m p ; l t ; C o l u m n s \ A v e r a g e   o f   N e o   I n t   C a r e   o c c & a m p ; g t ; - & a m p ; l t ; M e a s u r e s \ N e o   I n t   C a r e   o c c & a m p ; g t ; & l t ; / K e y & g t ; & l t ; / D i a g r a m O b j e c t K e y & g t ; & l t ; D i a g r a m O b j e c t K e y & g t ; & l t ; K e y & g t ; L i n k s \ & a m p ; l t ; C o l u m n s \ A v e r a g e   o f   N e o   I n t   C a r e   o c c & a m p ; g t ; - & a m p ; l t ; M e a s u r e s \ N e o   I n t   C a r e   o c c & a m p ; g t ; \ C O L U M N & l t ; / K e y & g t ; & l t ; / D i a g r a m O b j e c t K e y & g t ; & l t ; D i a g r a m O b j e c t K e y & g t ; & l t ; K e y & g t ; L i n k s \ & a m p ; l t ; C o l u m n s \ A v e r a g e   o f   N e o   I n t   C a r e   o c c & a m p ; g t ; - & a m p ; l t ; M e a s u r e s \ N e o   I n t   C a r e   o c c & a m p ; g t ; \ M E A S U R E & l t ; / K e y & g t ; & l t ; / D i a g r a m O b j e c t K e y & g t ; & l t ; D i a g r a m O b j e c t K e y & g t ; & l t ; K e y & g t ; L i n k s \ & a m p ; l t ; C o l u m n s \ S u m   o f   G A   b e d   o c c u p a n c y & a m p ; g t ; - & a m p ; l t ; M e a s u r e s \ G A   b e d   o c c u p a n c y & a m p ; g t ; & l t ; / K e y & g t ; & l t ; / D i a g r a m O b j e c t K e y & g t ; & l t ; D i a g r a m O b j e c t K e y & g t ; & l t ; K e y & g t ; L i n k s \ & a m p ; l t ; C o l u m n s \ S u m   o f   G A   b e d   o c c u p a n c y & a m p ; g t ; - & a m p ; l t ; M e a s u r e s \ G A   b e d   o c c u p a n c y & a m p ; g t ; \ C O L U M N & l t ; / K e y & g t ; & l t ; / D i a g r a m O b j e c t K e y & g t ; & l t ; D i a g r a m O b j e c t K e y & g t ; & l t ; K e y & g t ; L i n k s \ & a m p ; l t ; C o l u m n s \ S u m   o f   G A   b e d   o c c u p a n c y & a m p ; g t ; - & a m p ; l t ; M e a s u r e s \ G A   b e d   o c c u p a n c y & a m p ; g t ; \ M E A S U R E & l t ; / K e y & g t ; & l t ; / D i a g r a m O b j e c t K e y & g t ; & l t ; D i a g r a m O b j e c t K e y & g t ; & l t ; K e y & g t ; L i n k s \ & a m p ; l t ; C o l u m n s \ A v e r a g e   o f   G A   b e d   o c c u p a n c y & a m p ; g t ; - & a m p ; l t ; M e a s u r e s \ G A   b e d   o c c u p a n c y & a m p ; g t ; & l t ; / K e y & g t ; & l t ; / D i a g r a m O b j e c t K e y & g t ; & l t ; D i a g r a m O b j e c t K e y & g t ; & l t ; K e y & g t ; L i n k s \ & a m p ; l t ; C o l u m n s \ A v e r a g e   o f   G A   b e d   o c c u p a n c y & a m p ; g t ; - & a m p ; l t ; M e a s u r e s \ G A   b e d   o c c u p a n c y & a m p ; g t ; \ C O L U M N & l t ; / K e y & g t ; & l t ; / D i a g r a m O b j e c t K e y & g t ; & l t ; D i a g r a m O b j e c t K e y & g t ; & l t ; K e y & g t ; L i n k s \ & a m p ; l t ; C o l u m n s \ A v e r a g e   o f   G A   b e d   o c c u p a n c y & a m p ; g t ; - & a m p ; l t ; M e a s u r e s \ G A   b e d   o c c u p a n c y & a m p ; g t ; \ M E A S U R E & l t ; / K e y & g t ; & l t ; / D i a g r a m O b j e c t K e y & g t ; & l t ; D i a g r a m O b j e c t K e y & g t ; & l t ; K e y & g t ; L i n k s \ & a m p ; l t ; C o l u m n s \ S u m   o f   G A   c o r e   b e d s   a v a i l & a m p ; g t ; - & a m p ; l t ; M e a s u r e s \ G A   c o r e   b e d s   a v a i l & a m p ; g t ; & l t ; / K e y & g t ; & l t ; / D i a g r a m O b j e c t K e y & g t ; & l t ; D i a g r a m O b j e c t K e y & g t ; & l t ; K e y & g t ; L i n k s \ & a m p ; l t ; C o l u m n s \ S u m   o f   G A   c o r e   b e d s   a v a i l & a m p ; g t ; - & a m p ; l t ; M e a s u r e s \ G A   c o r e   b e d s   a v a i l & a m p ; g t ; \ C O L U M N & l t ; / K e y & g t ; & l t ; / D i a g r a m O b j e c t K e y & g t ; & l t ; D i a g r a m O b j e c t K e y & g t ; & l t ; K e y & g t ; L i n k s \ & a m p ; l t ; C o l u m n s \ S u m   o f   G A   c o r e   b e d s   a v a i l & a m p ; g t ; - & a m p ; l t ; M e a s u r e s \ G A   c o r e   b e d s   a v a i l & a m p ; g t ; \ M E A S U R E & l t ; / K e y & g t ; & l t ; / D i a g r a m O b j e c t K e y & g t ; & l t ; D i a g r a m O b j e c t K e y & g t ; & l t ; K e y & g t ; L i n k s \ & a m p ; l t ; C o l u m n s \ S u m   o f   G A   e s c a l a t i o n   b e d s   a v a i l & a m p ; g t ; - & a m p ; l t ; M e a s u r e s \ G A   e s c a l a t i o n   b e d s   a v a i l & a m p ; g t ; & l t ; / K e y & g t ; & l t ; / D i a g r a m O b j e c t K e y & g t ; & l t ; D i a g r a m O b j e c t K e y & g t ; & l t ; K e y & g t ; L i n k s \ & a m p ; l t ; C o l u m n s \ S u m   o f   G A   e s c a l a t i o n   b e d s   a v a i l & a m p ; g t ; - & a m p ; l t ; M e a s u r e s \ G A   e s c a l a t i o n   b e d s   a v a i l & a m p ; g t ; \ C O L U M N & l t ; / K e y & g t ; & l t ; / D i a g r a m O b j e c t K e y & g t ; & l t ; D i a g r a m O b j e c t K e y & g t ; & l t ; K e y & g t ; L i n k s \ & a m p ; l t ; C o l u m n s \ S u m   o f   G A   e s c a l a t i o n   b e d s   a v a i l & a m p ; g t ; - & a m p ; l t ; M e a s u r e s \ G A   e s c a l a t i o n   b e d s   a v a i l & 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 A E   d i v e r t s & l t ; / K e y & g t ; & l t ; / a : K e y & g t ; & l t ; a : V a l u e   i : t y p e = " M e a s u r e G r i d N o d e V i e w S t a t e " & g t ; & l t ; C o l u m n & g t ; 1 3 & l t ; / C o l u m n & g t ; & l t ; L a y e d O u t & g t ; t r u e & l t ; / L a y e d O u t & g t ; & l t ; W a s U I I n v i s i b l e & g t ; t r u e & l t ; / W a s U I I n v i s i b l e & g t ; & l t ; / a : V a l u e & g t ; & l t ; / a : K e y V a l u e O f D i a g r a m O b j e c t K e y a n y T y p e z b w N T n L X & g t ; & l t ; a : K e y V a l u e O f D i a g r a m O b j e c t K e y a n y T y p e z b w N T n L X & g t ; & l t ; a : K e y & g t ; & l t ; K e y & g t ; M e a s u r e s \ S u m   o f   A E   d i v e r t s \ T a g I n f o \ F o r m u l a & l t ; / K e y & g t ; & l t ; / a : K e y & g t ; & l t ; a : V a l u e   i : t y p e = " M e a s u r e G r i d B a s e V i e w S t a t e \ I D i a g r a m T a g A d d i t i o n a l I n f o " / & g t ; & l t ; / a : K e y V a l u e O f D i a g r a m O b j e c t K e y a n y T y p e z b w N T n L X & g t ; & l t ; a : K e y V a l u e O f D i a g r a m O b j e c t K e y a n y T y p e z b w N T n L X & g t ; & l t ; a : K e y & g t ; & l t ; K e y & g t ; M e a s u r e s \ S u m   o f   A E   d i v e r t s \ T a g I n f o \ V a l u e & l t ; / K e y & g t ; & l t ; / a : K e y & g t ; & l t ; a : V a l u e   i : t y p e = " M e a s u r e G r i d B a s e V i e w S t a t e \ I D i a g r a m T a g A d d i t i o n a l I n f o " / & g t ; & l t ; / a : K e y V a l u e O f D i a g r a m O b j e c t K e y a n y T y p e z b w N T n L X & g t ; & l t ; a : K e y V a l u e O f D i a g r a m O b j e c t K e y a n y T y p e z b w N T n L X & g t ; & l t ; a : K e y & g t ; & l t ; K e y & g t ; M e a s u r e s \ S u m   o f   G A   t o t a l   b e d s   o c c u p i e d & l t ; / K e y & g t ; & l t ; / a : K e y & g t ; & l t ; a : V a l u e   i : t y p e = " M e a s u r e G r i d N o d e V i e w S t a t e " & g t ; & l t ; C o l u m n & g t ; 2 2 & l t ; / C o l u m n & g t ; & l t ; L a y e d O u t & g t ; t r u e & l t ; / L a y e d O u t & g t ; & l t ; W a s U I I n v i s i b l e & g t ; t r u e & l t ; / W a s U I I n v i s i b l e & g t ; & l t ; / a : V a l u e & g t ; & l t ; / a : K e y V a l u e O f D i a g r a m O b j e c t K e y a n y T y p e z b w N T n L X & g t ; & l t ; a : K e y V a l u e O f D i a g r a m O b j e c t K e y a n y T y p e z b w N T n L X & g t ; & l t ; a : K e y & g t ; & l t ; K e y & g t ; M e a s u r e s \ S u m   o f   G A   t o t a l   b e d s   o c c u p i e d \ T a g I n f o \ F o r m u l a & l t ; / K e y & g t ; & l t ; / a : K e y & g t ; & l t ; a : V a l u e   i : t y p e = " M e a s u r e G r i d B a s e V i e w S t a t e \ I D i a g r a m T a g A d d i t i o n a l I n f o " / & g t ; & l t ; / a : K e y V a l u e O f D i a g r a m O b j e c t K e y a n y T y p e z b w N T n L X & g t ; & l t ; a : K e y V a l u e O f D i a g r a m O b j e c t K e y a n y T y p e z b w N T n L X & g t ; & l t ; a : K e y & g t ; & l t ; K e y & g t ; M e a s u r e s \ S u m   o f   G A   t o t a l   b e d s   o c c u p i e d \ T a g I n f o \ V a l u e & l t ; / K e y & g t ; & l t ; / a : K e y & g t ; & l t ; a : V a l u e   i : t y p e = " M e a s u r e G r i d B a s e V i e w S t a t e \ I D i a g r a m T a g A d d i t i o n a l I n f o " / & g t ; & l t ; / a : K e y V a l u e O f D i a g r a m O b j e c t K e y a n y T y p e z b w N T n L X & g t ; & l t ; a : K e y V a l u e O f D i a g r a m O b j e c t K e y a n y T y p e z b w N T n L X & g t ; & l t ; a : K e y & g t ; & l t ; K e y & g t ; M e a s u r e s \ A v e r a g e   o f   G A   t o t a l   b e d s   o c c u p i e d & l t ; / K e y & g t ; & l t ; / a : K e y & g t ; & l t ; a : V a l u e   i : t y p e = " M e a s u r e G r i d N o d e V i e w S t a t e " & g t ; & l t ; C o l u m n & g t ; 2 2 & l t ; / C o l u m n & g t ; & l t ; L a y e d O u t & g t ; t r u e & l t ; / L a y e d O u t & g t ; & l t ; R o w & g t ; 1 & l t ; / R o w & g t ; & l t ; W a s U I I n v i s i b l e & g t ; t r u e & l t ; / W a s U I I n v i s i b l e & g t ; & l t ; / a : V a l u e & g t ; & l t ; / a : K e y V a l u e O f D i a g r a m O b j e c t K e y a n y T y p e z b w N T n L X & g t ; & l t ; a : K e y V a l u e O f D i a g r a m O b j e c t K e y a n y T y p e z b w N T n L X & g t ; & l t ; a : K e y & g t ; & l t ; K e y & g t ; M e a s u r e s \ A v e r a g e   o f   G A   t o t a l   b e d s   o c c u p i e d \ T a g I n f o \ F o r m u l a & l t ; / K e y & g t ; & l t ; / a : K e y & g t ; & l t ; a : V a l u e   i : t y p e = " M e a s u r e G r i d B a s e V i e w S t a t e \ I D i a g r a m T a g A d d i t i o n a l I n f o " / & g t ; & l t ; / a : K e y V a l u e O f D i a g r a m O b j e c t K e y a n y T y p e z b w N T n L X & g t ; & l t ; a : K e y V a l u e O f D i a g r a m O b j e c t K e y a n y T y p e z b w N T n L X & g t ; & l t ; a : K e y & g t ; & l t ; K e y & g t ; M e a s u r e s \ A v e r a g e   o f   G A   t o t a l   b e d s   o c c u p i e d \ T a g I n f o \ V a l u e & l t ; / K e y & g t ; & l t ; / a : K e y & g t ; & l t ; a : V a l u e   i : t y p e = " M e a s u r e G r i d B a s e V i e w S t a t e \ I D i a g r a m T a g A d d i t i o n a l I n f o " / & g t ; & l t ; / a : K e y V a l u e O f D i a g r a m O b j e c t K e y a n y T y p e z b w N T n L X & g t ; & l t ; a : K e y V a l u e O f D i a g r a m O b j e c t K e y a n y T y p e z b w N T n L X & g t ; & l t ; a : K e y & g t ; & l t ; K e y & g t ; M e a s u r e s \ S u m   o f   G A   t o t a l   b e d s   a v a i l & l t ; / K e y & g t ; & l t ; / a : K e y & g t ; & l t ; a : V a l u e   i : t y p e = " M e a s u r e G r i d N o d e V i e w S t a t e " & g t ; & l t ; C o l u m n & g t ; 2 1 & l t ; / C o l u m n & g t ; & l t ; L a y e d O u t & g t ; t r u e & l t ; / L a y e d O u t & g t ; & l t ; W a s U I I n v i s i b l e & g t ; t r u e & l t ; / W a s U I I n v i s i b l e & g t ; & l t ; / a : V a l u e & g t ; & l t ; / a : K e y V a l u e O f D i a g r a m O b j e c t K e y a n y T y p e z b w N T n L X & g t ; & l t ; a : K e y V a l u e O f D i a g r a m O b j e c t K e y a n y T y p e z b w N T n L X & g t ; & l t ; a : K e y & g t ; & l t ; K e y & g t ; M e a s u r e s \ S u m   o f   G A   t o t a l   b e d s   a v a i l \ T a g I n f o \ F o r m u l a & l t ; / K e y & g t ; & l t ; / a : K e y & g t ; & l t ; a : V a l u e   i : t y p e = " M e a s u r e G r i d B a s e V i e w S t a t e \ I D i a g r a m T a g A d d i t i o n a l I n f o " / & g t ; & l t ; / a : K e y V a l u e O f D i a g r a m O b j e c t K e y a n y T y p e z b w N T n L X & g t ; & l t ; a : K e y V a l u e O f D i a g r a m O b j e c t K e y a n y T y p e z b w N T n L X & g t ; & l t ; a : K e y & g t ; & l t ; K e y & g t ; M e a s u r e s \ S u m   o f   G A   t o t a l   b e d s   a v a i l \ T a g I n f o \ V a l u e & l t ; / K e y & g t ; & l t ; / a : K e y & g t ; & l t ; a : V a l u e   i : t y p e = " M e a s u r e G r i d B a s e V i e w S t a t e \ I D i a g r a m T a g A d d i t i o n a l I n f o " / & g t ; & l t ; / a : K e y V a l u e O f D i a g r a m O b j e c t K e y a n y T y p e z b w N T n L X & g t ; & l t ; a : K e y V a l u e O f D i a g r a m O b j e c t K e y a n y T y p e z b w N T n L X & g t ; & l t ; a : K e y & g t ; & l t ; K e y & g t ; M e a s u r e s \ S u m   o f   B e d s   o c c   o v e r   7   d a y s & l t ; / K e y & g t ; & l t ; / a : K e y & g t ; & l t ; a : V a l u e   i : t y p e = " M e a s u r e G r i d N o d e V i e w S t a t e " & g t ; & l t ; C o l u m n & g t ; 3 6 & l t ; / C o l u m n & g t ; & l t ; L a y e d O u t & g t ; t r u e & l t ; / L a y e d O u t & g t ; & l t ; W a s U I I n v i s i b l e & g t ; t r u e & l t ; / W a s U I I n v i s i b l e & g t ; & l t ; / a : V a l u e & g t ; & l t ; / a : K e y V a l u e O f D i a g r a m O b j e c t K e y a n y T y p e z b w N T n L X & g t ; & l t ; a : K e y V a l u e O f D i a g r a m O b j e c t K e y a n y T y p e z b w N T n L X & g t ; & l t ; a : K e y & g t ; & l t ; K e y & g t ; M e a s u r e s \ S u m   o f   B e d s   o c c   o v e r   7   d a y s \ T a g I n f o \ F o r m u l a & l t ; / K e y & g t ; & l t ; / a : K e y & g t ; & l t ; a : V a l u e   i : t y p e = " M e a s u r e G r i d B a s e V i e w S t a t e \ I D i a g r a m T a g A d d i t i o n a l I n f o " / & g t ; & l t ; / a : K e y V a l u e O f D i a g r a m O b j e c t K e y a n y T y p e z b w N T n L X & g t ; & l t ; a : K e y V a l u e O f D i a g r a m O b j e c t K e y a n y T y p e z b w N T n L X & g t ; & l t ; a : K e y & g t ; & l t ; K e y & g t ; M e a s u r e s \ S u m   o f   B e d s   o c c   o v e r   7   d a y s \ T a g I n f o \ V a l u e & l t ; / K e y & g t ; & l t ; / a : K e y & g t ; & l t ; a : V a l u e   i : t y p e = " M e a s u r e G r i d B a s e V i e w S t a t e \ I D i a g r a m T a g A d d i t i o n a l I n f o " / & g t ; & l t ; / a : K e y V a l u e O f D i a g r a m O b j e c t K e y a n y T y p e z b w N T n L X & g t ; & l t ; a : K e y V a l u e O f D i a g r a m O b j e c t K e y a n y T y p e z b w N T n L X & g t ; & l t ; a : K e y & g t ; & l t ; K e y & g t ; M e a s u r e s \ S u m 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S u m   o f   B e d s   o c c   o v e r   2 1   d a y s \ T a g I n f o \ F o r m u l a & l t ; / K e y & g t ; & l t ; / a : K e y & g t ; & l t ; a : V a l u e   i : t y p e = " M e a s u r e G r i d B a s e V i e w S t a t e \ I D i a g r a m T a g A d d i t i o n a l I n f o " / & g t ; & l t ; / a : K e y V a l u e O f D i a g r a m O b j e c t K e y a n y T y p e z b w N T n L X & g t ; & l t ; a : K e y V a l u e O f D i a g r a m O b j e c t K e y a n y T y p e z b w N T n L X & g t ; & l t ; a : K e y & g t ; & l t ; K e y & g t ; M e a s u r e s \ S u m   o f   B e d s   o c c   o v e r   2 1   d a y s \ T a g I n f o \ V a l u e & l t ; / K e y & g t ; & l t ; / a : K e y & g t ; & l t ; a : V a l u e   i : t y p e = " M e a s u r e G r i d B a s e V i e w S t a t e \ I D i a g r a m T a g A d d i t i o n a l I n f o " / & g t ; & l t ; / a : K e y V a l u e O f D i a g r a m O b j e c t K e y a n y T y p e z b w N T n L X & g t ; & l t ; a : K e y V a l u e O f D i a g r a m O b j e c t K e y a n y T y p e z b w N T n L X & g t ; & l t ; a : K e y & g t ; & l t ; K e y & g t ; M e a s u r e s \ A v e r a g e   o f   B e d s   o c c   o v e r   2 1   d a y s & l t ; / K e y & g t ; & l t ; / a : K e y & g t ; & l t ; a : V a l u e   i : t y p e = " M e a s u r e G r i d N o d e V i e w S t a t e " & g t ; & l t ; C o l u m n & g t ; 3 7 & l t ; / C o l u m n & g t ; & l t ; L a y e d O u t & g t ; t r u e & l t ; / L a y e d O u t & g t ; & l t ; W a s U I I n v i s i b l e & g t ; t r u e & l t ; / W a s U I I n v i s i b l e & g t ; & l t ; / a : V a l u e & g t ; & l t ; / a : K e y V a l u e O f D i a g r a m O b j e c t K e y a n y T y p e z b w N T n L X & g t ; & l t ; a : K e y V a l u e O f D i a g r a m O b j e c t K e y a n y T y p e z b w N T n L X & g t ; & l t ; a : K e y & g t ; & l t ; K e y & g t ; M e a s u r e s \ A v e r a g e   o f   B e d s   o c c   o v e r   2 1   d a y s \ T a g I n f o \ F o r m u l a & l t ; / K e y & g t ; & l t ; / a : K e y & g t ; & l t ; a : V a l u e   i : t y p e = " M e a s u r e G r i d B a s e V i e w S t a t e \ I D i a g r a m T a g A d d i t i o n a l I n f o " / & g t ; & l t ; / a : K e y V a l u e O f D i a g r a m O b j e c t K e y a n y T y p e z b w N T n L X & g t ; & l t ; a : K e y V a l u e O f D i a g r a m O b j e c t K e y a n y T y p e z b w N T n L X & g t ; & l t ; a : K e y & g t ; & l t ; K e y & g t ; M e a s u r e s \ A v e r a g e   o f   B e d s   o c c   o v e r   2 1   d a y s \ T a g I n f o \ V a l u e & l t ; / K e y & g t ; & l t ; / a : K e y & g t ; & l t ; a : V a l u e   i : t y p e = " M e a s u r e G r i d B a s e V i e w S t a t e \ I D i a g r a m T a g A d d i t i o n a l I n f o " / & g t ; & l t ; / a : K e y V a l u e O f D i a g r a m O b j e c t K e y a n y T y p e z b w N T n L X & g t ; & l t ; a : K e y V a l u e O f D i a g r a m O b j e c t K e y a n y T y p e z b w N T n L X & g t ; & l t ; a : K e y & g t ; & l t ; K e y & g t ; M e a s u r e s \ S u m 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S u m   o f   B e d s   c l o s e d   n o r o v i r u s \ T a g I n f o \ F o r m u l a & l t ; / K e y & g t ; & l t ; / a : K e y & g t ; & l t ; a : V a l u e   i : t y p e = " M e a s u r e G r i d B a s e V i e w S t a t e \ I D i a g r a m T a g A d d i t i o n a l I n f o " / & g t ; & l t ; / a : K e y V a l u e O f D i a g r a m O b j e c t K e y a n y T y p e z b w N T n L X & g t ; & l t ; a : K e y V a l u e O f D i a g r a m O b j e c t K e y a n y T y p e z b w N T n L X & g t ; & l t ; a : K e y & g t ; & l t ; K e y & g t ; M e a s u r e s \ S u m   o f   B e d s   c l o s e d   n o r o v i r u s \ T a g I n f o \ V a l u e & l t ; / K e y & g t ; & l t ; / a : K e y & g t ; & l t ; a : V a l u e   i : t y p e = " M e a s u r e G r i d B a s e V i e w S t a t e \ I D i a g r a m T a g A d d i t i o n a l I n f o " / & g t ; & l t ; / a : K e y V a l u e O f D i a g r a m O b j e c t K e y a n y T y p e z b w N T n L X & g t ; & l t ; a : K e y V a l u e O f D i a g r a m O b j e c t K e y a n y T y p e z b w N T n L X & g t ; & l t ; a : K e y & g t ; & l t ; K e y & g t ; M e a s u r e s \ A v e r a g e   o f   B e d s   c l o s e d   n o r o v i r u s & l t ; / K e y & g t ; & l t ; / a : K e y & g t ; & l t ; a : V a l u e   i : t y p e = " M e a s u r e G r i d N o d e V i e w S t a t e " & g t ; & l t ; C o l u m n & g t ; 2 4 & l t ; / C o l u m n & g t ; & l t ; L a y e d O u t & g t ; t r u e & l t ; / L a y e d O u t & g t ; & l t ; W a s U I I n v i s i b l e & g t ; t r u e & l t ; / W a s U I I n v i s i b l e & g t ; & l t ; / a : V a l u e & g t ; & l t ; / a : K e y V a l u e O f D i a g r a m O b j e c t K e y a n y T y p e z b w N T n L X & g t ; & l t ; a : K e y V a l u e O f D i a g r a m O b j e c t K e y a n y T y p e z b w N T n L X & g t ; & l t ; a : K e y & g t ; & l t ; K e y & g t ; M e a s u r e s \ A v e r a g e   o f   B e d s   c l o s e d   n o r o v i r u s \ T a g I n f o \ F o r m u l a & l t ; / K e y & g t ; & l t ; / a : K e y & g t ; & l t ; a : V a l u e   i : t y p e = " M e a s u r e G r i d B a s e V i e w S t a t e \ I D i a g r a m T a g A d d i t i o n a l I n f o " / & g t ; & l t ; / a : K e y V a l u e O f D i a g r a m O b j e c t K e y a n y T y p e z b w N T n L X & g t ; & l t ; a : K e y V a l u e O f D i a g r a m O b j e c t K e y a n y T y p e z b w N T n L X & g t ; & l t ; a : K e y & g t ; & l t ; K e y & g t ; M e a s u r e s \ A v e r a g e   o f   B e d s   c l o s e d   n o r o v i r u s \ T a g I n f o \ V a l u e & l t ; / K e y & g t ; & l t ; / a : K e y & g t ; & l t ; a : V a l u e   i : t y p e = " M e a s u r e G r i d B a s e V i e w S t a t e \ I D i a g r a m T a g A d d i t i o n a l I n f o " / & g t ; & l t ; / a : K e y V a l u e O f D i a g r a m O b j e c t K e y a n y T y p e z b w N T n L X & g t ; & l t ; a : K e y V a l u e O f D i a g r a m O b j e c t K e y a n y T y p e z b w N T n L X & g t ; & l t ; a : K e y & g t ; & l t ; K e y & g t ; M e a s u r e s \ S u m   o f   B e d s   c l o s e d   n o r o v i u s   u n o c c & l t ; / K e y & g t ; & l t ; / a : K e y & g t ; & l t ; a : V a l u e   i : t y p e = " M e a s u r e G r i d N o d e V i e w S t a t e " & g t ; & l t ; C o l u m n & g t ; 2 5 & l t ; / C o l u m n & g t ; & l t ; L a y e d O u t & g t ; t r u e & l t ; / L a y e d O u t & g t ; & l t ; W a s U I I n v i s i b l e & g t ; t r u e & l t ; / W a s U I I n v i s i b l e & g t ; & l t ; / a : V a l u e & g t ; & l t ; / a : K e y V a l u e O f D i a g r a m O b j e c t K e y a n y T y p e z b w N T n L X & g t ; & l t ; a : K e y V a l u e O f D i a g r a m O b j e c t K e y a n y T y p e z b w N T n L X & g t ; & l t ; a : K e y & g t ; & l t ; K e y & g t ; M e a s u r e s \ S u m   o f   B e d s   c l o s e d   n o r o v i u s   u n o c c \ T a g I n f o \ F o r m u l a & l t ; / K e y & g t ; & l t ; / a : K e y & g t ; & l t ; a : V a l u e   i : t y p e = " M e a s u r e G r i d B a s e V i e w S t a t e \ I D i a g r a m T a g A d d i t i o n a l I n f o " / & g t ; & l t ; / a : K e y V a l u e O f D i a g r a m O b j e c t K e y a n y T y p e z b w N T n L X & g t ; & l t ; a : K e y V a l u e O f D i a g r a m O b j e c t K e y a n y T y p e z b w N T n L X & g t ; & l t ; a : K e y & g t ; & l t ; K e y & g t ; M e a s u r e s \ S u m   o f   B e d s   c l o s e d   n o r o v i u s   u n o c c \ T a g I n f o \ V a l u e & l t ; / K e y & g t ; & l t ; / a : K e y & g t ; & l t ; a : V a l u e   i : t y p e = " M e a s u r e G r i d B a s e V i e w S t a t e \ I D i a g r a m T a g A d d i t i o n a l I n f o " / & g t ; & l t ; / a : K e y V a l u e O f D i a g r a m O b j e c t K e y a n y T y p e z b w N T n L X & g t ; & l t ; a : K e y V a l u e O f D i a g r a m O b j e c t K e y a n y T y p e z b w N T n L X & g t ; & l t ; a : K e y & g t ; & l t ; K e y & g t ; M e a s u r e s \ S u m   o f   A m b   a r r i v a l s & l t ; / K e y & g t ; & l t ; / a : K e y & g t ; & l t ; a : V a l u e   i : t y p e = " M e a s u r e G r i d N o d e V i e w S t a t e " & g t ; & l t ; C o l u m n & g t ; 3 8 & l t ; / C o l u m n & g t ; & l t ; L a y e d O u t & g t ; t r u e & l t ; / L a y e d O u t & g t ; & l t ; W a s U I I n v i s i b l e & g t ; t r u e & l t ; / W a s U I I n v i s i b l e & g t ; & l t ; / a : V a l u e & g t ; & l t ; / a : K e y V a l u e O f D i a g r a m O b j e c t K e y a n y T y p e z b w N T n L X & g t ; & l t ; a : K e y V a l u e O f D i a g r a m O b j e c t K e y a n y T y p e z b w N T n L X & g t ; & l t ; a : K e y & g t ; & l t ; K e y & g t ; M e a s u r e s \ S u m   o f   A m b   a r r i v a l s \ T a g I n f o \ F o r m u l a & l t ; / K e y & g t ; & l t ; / a : K e y & g t ; & l t ; a : V a l u e   i : t y p e = " M e a s u r e G r i d B a s e V i e w S t a t e \ I D i a g r a m T a g A d d i t i o n a l I n f o " / & g t ; & l t ; / a : K e y V a l u e O f D i a g r a m O b j e c t K e y a n y T y p e z b w N T n L X & g t ; & l t ; a : K e y V a l u e O f D i a g r a m O b j e c t K e y a n y T y p e z b w N T n L X & g t ; & l t ; a : K e y & g t ; & l t ; K e y & g t ; M e a s u r e s \ S u m   o f   A m b   a r r i v a l s \ T a g I n f o \ V a l u e & l t ; / K e y & g t ; & l t ; / a : K e y & g t ; & l t ; a : V a l u e   i : t y p e = " M e a s u r e G r i d B a s e V i e w S t a t e \ I D i a g r a m T a g A d d i t i o n a l I n f o " / & g t ; & l t ; / a : K e y V a l u e O f D i a g r a m O b j e c t K e y a n y T y p e z b w N T n L X & g t ; & l t ; a : K e y V a l u e O f D i a g r a m O b j e c t K e y a n y T y p e z b w N T n L X & g t ; & l t ; a : K e y & g t ; & l t ; K e y & g t ; M e a s u r e s \ S u m   o f   A m b   d e l a y s   3 0 - 6 0   m i n s & l t ; / K e y & g t ; & l t ; / a : K e y & g t ; & l t ; a : V a l u e   i : t y p e = " M e a s u r e G r i d N o d e V i e w S t a t e " & g t ; & l t ; C o l u m n & g t ; 3 9 & l t ; / C o l u m n & g t ; & l t ; L a y e d O u t & g t ; t r u e & l t ; / L a y e d O u t & g t ; & l t ; W a s U I I n v i s i b l e & g t ; t r u e & l t ; / W a s U I I n v i s i b l e & g t ; & l t ; / a : V a l u e & g t ; & l t ; / a : K e y V a l u e O f D i a g r a m O b j e c t K e y a n y T y p e z b w N T n L X & g t ; & l t ; a : K e y V a l u e O f D i a g r a m O b j e c t K e y a n y T y p e z b w N T n L X & g t ; & l t ; a : K e y & g t ; & l t ; K e y & g t ; M e a s u r e s \ S u m   o f   A m b   d e l a y s   3 0 - 6 0   m i n s \ T a g I n f o \ F o r m u l a & l t ; / K e y & g t ; & l t ; / a : K e y & g t ; & l t ; a : V a l u e   i : t y p e = " M e a s u r e G r i d B a s e V i e w S t a t e \ I D i a g r a m T a g A d d i t i o n a l I n f o " / & g t ; & l t ; / a : K e y V a l u e O f D i a g r a m O b j e c t K e y a n y T y p e z b w N T n L X & g t ; & l t ; a : K e y V a l u e O f D i a g r a m O b j e c t K e y a n y T y p e z b w N T n L X & g t ; & l t ; a : K e y & g t ; & l t ; K e y & g t ; M e a s u r e s \ S u m   o f   A m b   d e l a y s   3 0 - 6 0   m i n s \ T a g I n f o \ V a l u e & l t ; / K e y & g t ; & l t ; / a : K e y & g t ; & l t ; a : V a l u e   i : t y p e = " M e a s u r e G r i d B a s e V i e w S t a t e \ I D i a g r a m T a g A d d i t i o n a l I n f o " / & g t ; & l t ; / a : K e y V a l u e O f D i a g r a m O b j e c t K e y a n y T y p e z b w N T n L X & g t ; & l t ; a : K e y V a l u e O f D i a g r a m O b j e c t K e y a n y T y p e z b w N T n L X & g t ; & l t ; a : K e y & g t ; & l t ; K e y & g t ; M e a s u r e s \ S u m   o f   A m b   d e l a y s   o v e r   6 0   m i n s & l t ; / K e y & g t ; & l t ; / a : K e y & g t ; & l t ; a : V a l u e   i : t y p e = " M e a s u r e G r i d N o d e V i e w S t a t e " & g t ; & l t ; C o l u m n & g t ; 4 0 & l t ; / C o l u m n & g t ; & l t ; L a y e d O u t & g t ; t r u e & l t ; / L a y e d O u t & g t ; & l t ; W a s U I I n v i s i b l e & g t ; t r u e & l t ; / W a s U I I n v i s i b l e & g t ; & l t ; / a : V a l u e & g t ; & l t ; / a : K e y V a l u e O f D i a g r a m O b j e c t K e y a n y T y p e z b w N T n L X & g t ; & l t ; a : K e y V a l u e O f D i a g r a m O b j e c t K e y a n y T y p e z b w N T n L X & g t ; & l t ; a : K e y & g t ; & l t ; K e y & g t ; M e a s u r e s \ S u m   o f   A m b   d e l a y s   o v e r   6 0   m i n s \ T a g I n f o \ F o r m u l a & l t ; / K e y & g t ; & l t ; / a : K e y & g t ; & l t ; a : V a l u e   i : t y p e = " M e a s u r e G r i d B a s e V i e w S t a t e \ I D i a g r a m T a g A d d i t i o n a l I n f o " / & g t ; & l t ; / a : K e y V a l u e O f D i a g r a m O b j e c t K e y a n y T y p e z b w N T n L X & g t ; & l t ; a : K e y V a l u e O f D i a g r a m O b j e c t K e y a n y T y p e z b w N T n L X & g t ; & l t ; a : K e y & g t ; & l t ; K e y & g t ; M e a s u r e s \ S u m   o f   A m b   d e l a y s   o v e r   6 0   m i n s \ T a g I n f o \ V a l u e & l t ; / K e y & g t ; & l t ; / a : K e y & g t ; & l t ; a : V a l u e   i : t y p e = " M e a s u r e G r i d B a s e V i e w S t a t e \ I D i a g r a m T a g A d d i t i o n a l I n f o " / & g t ; & l t ; / a : K e y V a l u e O f D i a g r a m O b j e c t K e y a n y T y p e z b w N T n L X & g t ; & l t ; a : K e y V a l u e O f D i a g r a m O b j e c t K e y a n y T y p e z b w N T n L X & g t ; & l t ; a : K e y & g t ; & l t ; K e y & g t ; M e a s u r e s \ S u m   o f   A d u l t   C C   b e d s   a v a i l & l t ; / K e y & g t ; & l t ; / a : K e y & g t ; & l t ; a : V a l u e   i : t y p e = " M e a s u r e G r i d N o d e V i e w S t a t e " & g t ; & l t ; C o l u m n & g t ; 2 6 & l t ; / C o l u m n & g t ; & l t ; L a y e d O u t & g t ; t r u e & l t ; / L a y e d O u t & g t ; & l t ; W a s U I I n v i s i b l e & g t ; t r u e & l t ; / W a s U I I n v i s i b l e & g t ; & l t ; / a : V a l u e & g t ; & l t ; / a : K e y V a l u e O f D i a g r a m O b j e c t K e y a n y T y p e z b w N T n L X & g t ; & l t ; a : K e y V a l u e O f D i a g r a m O b j e c t K e y a n y T y p e z b w N T n L X & g t ; & l t ; a : K e y & g t ; & l t ; K e y & g t ; M e a s u r e s \ S u m   o f   A d u l t   C C   b e d s   a v a i l \ T a g I n f o \ F o r m u l a & l t ; / K e y & g t ; & l t ; / a : K e y & g t ; & l t ; a : V a l u e   i : t y p e = " M e a s u r e G r i d B a s e V i e w S t a t e \ I D i a g r a m T a g A d d i t i o n a l I n f o " / & g t ; & l t ; / a : K e y V a l u e O f D i a g r a m O b j e c t K e y a n y T y p e z b w N T n L X & g t ; & l t ; a : K e y V a l u e O f D i a g r a m O b j e c t K e y a n y T y p e z b w N T n L X & g t ; & l t ; a : K e y & g t ; & l t ; K e y & g t ; M e a s u r e s \ S u m   o f   A d u l t   C C   b e d s   a v a i l \ T a g I n f o \ V a l u e & l t ; / K e y & g t ; & l t ; / a : K e y & g t ; & l t ; a : V a l u e   i : t y p e = " M e a s u r e G r i d B a s e V i e w S t a t e \ I D i a g r a m T a g A d d i t i o n a l I n f o " / & g t ; & l t ; / a : K e y V a l u e O f D i a g r a m O b j e c t K e y a n y T y p e z b w N T n L X & g t ; & l t ; a : K e y V a l u e O f D i a g r a m O b j e c t K e y a n y T y p e z b w N T n L X & g t ; & l t ; a : K e y & g t ; & l t ; K e y & g t ; M e a s u r e s \ S u m   o f   A d u l t   C C   b e d s   o c c & l t ; / K e y & g t ; & l t ; / a : K e y & g t ; & l t ; a : V a l u e   i : t y p e = " M e a s u r e G r i d N o d e V i e w S t a t e " & g t ; & l t ; C o l u m n & g t ; 2 7 & l t ; / C o l u m n & g t ; & l t ; L a y e d O u t & g t ; t r u e & l t ; / L a y e d O u t & g t ; & l t ; W a s U I I n v i s i b l e & g t ; t r u e & l t ; / W a s U I I n v i s i b l e & g t ; & l t ; / a : V a l u e & g t ; & l t ; / a : K e y V a l u e O f D i a g r a m O b j e c t K e y a n y T y p e z b w N T n L X & g t ; & l t ; a : K e y V a l u e O f D i a g r a m O b j e c t K e y a n y T y p e z b w N T n L X & g t ; & l t ; a : K e y & g t ; & l t ; K e y & g t ; M e a s u r e s \ S u m   o f   A d u l t   C C   b e d s   o c c \ T a g I n f o \ F o r m u l a & l t ; / K e y & g t ; & l t ; / a : K e y & g t ; & l t ; a : V a l u e   i : t y p e = " M e a s u r e G r i d B a s e V i e w S t a t e \ I D i a g r a m T a g A d d i t i o n a l I n f o " / & g t ; & l t ; / a : K e y V a l u e O f D i a g r a m O b j e c t K e y a n y T y p e z b w N T n L X & g t ; & l t ; a : K e y V a l u e O f D i a g r a m O b j e c t K e y a n y T y p e z b w N T n L X & g t ; & l t ; a : K e y & g t ; & l t ; K e y & g t ; M e a s u r e s \ S u m   o f   A d u l t   C C   b e d s   o c c \ T a g I n f o \ V a l u e & l t ; / K e y & g t ; & l t ; / a : K e y & g t ; & l t ; a : V a l u e   i : t y p e = " M e a s u r e G r i d B a s e V i e w S t a t e \ I D i a g r a m T a g A d d i t i o n a l I n f o " / & g t ; & l t ; / a : K e y V a l u e O f D i a g r a m O b j e c t K e y a n y T y p e z b w N T n L X & g t ; & l t ; a : K e y V a l u e O f D i a g r a m O b j e c t K e y a n y T y p e z b w N T n L X & g t ; & l t ; a : K e y & g t ; & l t ; K e y & g t ; M e a s u r e s \ S u m   o f   P a e d   I n t   C a r e   A v a i l & l t ; / K e y & g t ; & l t ; / a : K e y & g t ; & l t ; a : V a l u e   i : t y p e = " M e a s u r e G r i d N o d e V i e w S t a t e " & g t ; & l t ; C o l u m n & g t ; 2 8 & l t ; / C o l u m n & g t ; & l t ; L a y e d O u t & g t ; t r u e & l t ; / L a y e d O u t & g t ; & l t ; W a s U I I n v i s i b l e & g t ; t r u e & l t ; / W a s U I I n v i s i b l e & g t ; & l t ; / a : V a l u e & g t ; & l t ; / a : K e y V a l u e O f D i a g r a m O b j e c t K e y a n y T y p e z b w N T n L X & g t ; & l t ; a : K e y V a l u e O f D i a g r a m O b j e c t K e y a n y T y p e z b w N T n L X & g t ; & l t ; a : K e y & g t ; & l t ; K e y & g t ; M e a s u r e s \ S u m   o f   P a e d   I n t   C a r e   A v a i l \ T a g I n f o \ F o r m u l a & l t ; / K e y & g t ; & l t ; / a : K e y & g t ; & l t ; a : V a l u e   i : t y p e = " M e a s u r e G r i d B a s e V i e w S t a t e \ I D i a g r a m T a g A d d i t i o n a l I n f o " / & g t ; & l t ; / a : K e y V a l u e O f D i a g r a m O b j e c t K e y a n y T y p e z b w N T n L X & g t ; & l t ; a : K e y V a l u e O f D i a g r a m O b j e c t K e y a n y T y p e z b w N T n L X & g t ; & l t ; a : K e y & g t ; & l t ; K e y & g t ; M e a s u r e s \ S u m   o f   P a e d   I n t   C a r e   A v a i l \ T a g I n f o \ V a l u e & l t ; / K e y & g t ; & l t ; / a : K e y & g t ; & l t ; a : V a l u e   i : t y p e = " M e a s u r e G r i d B a s e V i e w S t a t e \ I D i a g r a m T a g A d d i t i o n a l I n f o " / & g t ; & l t ; / a : K e y V a l u e O f D i a g r a m O b j e c t K e y a n y T y p e z b w N T n L X & g t ; & l t ; a : K e y V a l u e O f D i a g r a m O b j e c t K e y a n y T y p e z b w N T n L X & g t ; & l t ; a : K e y & g t ; & l t ; K e y & g t ; M e a s u r e s \ S u m   o f   P a e d   I n t   C a r e   O c c & l t ; / K e y & g t ; & l t ; / a : K e y & g t ; & l t ; a : V a l u e   i : t y p e = " M e a s u r e G r i d N o d e V i e w S t a t e " & g t ; & l t ; C o l u m n & g t ; 2 9 & l t ; / C o l u m n & g t ; & l t ; L a y e d O u t & g t ; t r u e & l t ; / L a y e d O u t & g t ; & l t ; W a s U I I n v i s i b l e & g t ; t r u e & l t ; / W a s U I I n v i s i b l e & g t ; & l t ; / a : V a l u e & g t ; & l t ; / a : K e y V a l u e O f D i a g r a m O b j e c t K e y a n y T y p e z b w N T n L X & g t ; & l t ; a : K e y V a l u e O f D i a g r a m O b j e c t K e y a n y T y p e z b w N T n L X & g t ; & l t ; a : K e y & g t ; & l t ; K e y & g t ; M e a s u r e s \ S u m   o f   P a e d   I n t   C a r e   O c c \ T a g I n f o \ F o r m u l a & l t ; / K e y & g t ; & l t ; / a : K e y & g t ; & l t ; a : V a l u e   i : t y p e = " M e a s u r e G r i d B a s e V i e w S t a t e \ I D i a g r a m T a g A d d i t i o n a l I n f o " / & g t ; & l t ; / a : K e y V a l u e O f D i a g r a m O b j e c t K e y a n y T y p e z b w N T n L X & g t ; & l t ; a : K e y V a l u e O f D i a g r a m O b j e c t K e y a n y T y p e z b w N T n L X & g t ; & l t ; a : K e y & g t ; & l t ; K e y & g t ; M e a s u r e s \ S u m   o f   P a e d   I n t   C a r e   O c c \ T a g I n f o \ V a l u e & l t ; / K e y & g t ; & l t ; / a : K e y & g t ; & l t ; a : V a l u e   i : t y p e = " M e a s u r e G r i d B a s e V i e w S t a t e \ I D i a g r a m T a g A d d i t i o n a l I n f o " / & g t ; & l t ; / a : K e y V a l u e O f D i a g r a m O b j e c t K e y a n y T y p e z b w N T n L X & g t ; & l t ; a : K e y V a l u e O f D i a g r a m O b j e c t K e y a n y T y p e z b w N T n L X & g t ; & l t ; a : K e y & g t ; & l t ; K e y & g t ; M e a s u r e s \ S u m 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S u m   o f   N e o   I n t   C a r e   A v a i l \ T a g I n f o \ F o r m u l a & l t ; / K e y & g t ; & l t ; / a : K e y & g t ; & l t ; a : V a l u e   i : t y p e = " M e a s u r e G r i d B a s e V i e w S t a t e \ I D i a g r a m T a g A d d i t i o n a l I n f o " / & g t ; & l t ; / a : K e y V a l u e O f D i a g r a m O b j e c t K e y a n y T y p e z b w N T n L X & g t ; & l t ; a : K e y V a l u e O f D i a g r a m O b j e c t K e y a n y T y p e z b w N T n L X & g t ; & l t ; a : K e y & g t ; & l t ; K e y & g t ; M e a s u r e s \ S u m   o f   N e o   I n t   C a r e   A v a i l \ T a g I n f o \ V a l u e & l t ; / K e y & g t ; & l t ; / a : K e y & g t ; & l t ; a : V a l u e   i : t y p e = " M e a s u r e G r i d B a s e V i e w S t a t e \ I D i a g r a m T a g A d d i t i o n a l I n f o " / & g t ; & l t ; / a : K e y V a l u e O f D i a g r a m O b j e c t K e y a n y T y p e z b w N T n L X & g t ; & l t ; a : K e y V a l u e O f D i a g r a m O b j e c t K e y a n y T y p e z b w N T n L X & g t ; & l t ; a : K e y & g t ; & l t ; K e y & g t ; M e a s u r e s \ S u m 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S u m   o f   N e o   I n t   C a r e   o c c \ T a g I n f o \ F o r m u l a & l t ; / K e y & g t ; & l t ; / a : K e y & g t ; & l t ; a : V a l u e   i : t y p e = " M e a s u r e G r i d B a s e V i e w S t a t e \ I D i a g r a m T a g A d d i t i o n a l I n f o " / & g t ; & l t ; / a : K e y V a l u e O f D i a g r a m O b j e c t K e y a n y T y p e z b w N T n L X & g t ; & l t ; a : K e y V a l u e O f D i a g r a m O b j e c t K e y a n y T y p e z b w N T n L X & g t ; & l t ; a : K e y & g t ; & l t ; K e y & g t ; M e a s u r e s \ S u m   o f   N e o   I n t   C a r e   o c c \ T a g I n f o \ V a l u e & l t ; / K e y & g t ; & l t ; / a : K e y & g t ; & l t ; a : V a l u e   i : t y p e = " M e a s u r e G r i d B a s e V i e w S t a t e \ I D i a g r a m T a g A d d i t i o n a l I n f o " / & g t ; & l t ; / a : K e y V a l u e O f D i a g r a m O b j e c t K e y a n y T y p e z b w N T n L X & g t ; & l t ; a : K e y V a l u e O f D i a g r a m O b j e c t K e y a n y T y p e z b w N T n L X & g t ; & l t ; a : K e y & g t ; & l t ; K e y & g t ; M e a s u r e s \ A v e r a g e   o f   N e o   I n t   C a r e   A v a i l & l t ; / K e y & g t ; & l t ; / a : K e y & g t ; & l t ; a : V a l u e   i : t y p e = " M e a s u r e G r i d N o d e V i e w S t a t e " & g t ; & l t ; C o l u m n & g t ; 3 0 & l t ; / C o l u m n & g t ; & l t ; L a y e d O u t & g t ; t r u e & l t ; / L a y e d O u t & g t ; & l t ; W a s U I I n v i s i b l e & g t ; t r u e & l t ; / W a s U I I n v i s i b l e & g t ; & l t ; / a : V a l u e & g t ; & l t ; / a : K e y V a l u e O f D i a g r a m O b j e c t K e y a n y T y p e z b w N T n L X & g t ; & l t ; a : K e y V a l u e O f D i a g r a m O b j e c t K e y a n y T y p e z b w N T n L X & g t ; & l t ; a : K e y & g t ; & l t ; K e y & g t ; M e a s u r e s \ A v e r a g e   o f   N e o   I n t   C a r e   A v a i l \ T a g I n f o \ F o r m u l a & l t ; / K e y & g t ; & l t ; / a : K e y & g t ; & l t ; a : V a l u e   i : t y p e = " M e a s u r e G r i d B a s e V i e w S t a t e \ I D i a g r a m T a g A d d i t i o n a l I n f o " / & g t ; & l t ; / a : K e y V a l u e O f D i a g r a m O b j e c t K e y a n y T y p e z b w N T n L X & g t ; & l t ; a : K e y V a l u e O f D i a g r a m O b j e c t K e y a n y T y p e z b w N T n L X & g t ; & l t ; a : K e y & g t ; & l t ; K e y & g t ; M e a s u r e s \ A v e r a g e   o f   N e o   I n t   C a r e   A v a i l \ T a g I n f o \ V a l u e & l t ; / K e y & g t ; & l t ; / a : K e y & g t ; & l t ; a : V a l u e   i : t y p e = " M e a s u r e G r i d B a s e V i e w S t a t e \ I D i a g r a m T a g A d d i t i o n a l I n f o " / & g t ; & l t ; / a : K e y V a l u e O f D i a g r a m O b j e c t K e y a n y T y p e z b w N T n L X & g t ; & l t ; a : K e y V a l u e O f D i a g r a m O b j e c t K e y a n y T y p e z b w N T n L X & g t ; & l t ; a : K e y & g t ; & l t ; K e y & g t ; M e a s u r e s \ A v e r a g e   o f   N e o   I n t   C a r e   o c c & l t ; / K e y & g t ; & l t ; / a : K e y & g t ; & l t ; a : V a l u e   i : t y p e = " M e a s u r e G r i d N o d e V i e w S t a t e " & g t ; & l t ; C o l u m n & g t ; 3 1 & l t ; / C o l u m n & g t ; & l t ; L a y e d O u t & g t ; t r u e & l t ; / L a y e d O u t & g t ; & l t ; W a s U I I n v i s i b l e & g t ; t r u e & l t ; / W a s U I I n v i s i b l e & g t ; & l t ; / a : V a l u e & g t ; & l t ; / a : K e y V a l u e O f D i a g r a m O b j e c t K e y a n y T y p e z b w N T n L X & g t ; & l t ; a : K e y V a l u e O f D i a g r a m O b j e c t K e y a n y T y p e z b w N T n L X & g t ; & l t ; a : K e y & g t ; & l t ; K e y & g t ; M e a s u r e s \ A v e r a g e   o f   N e o   I n t   C a r e   o c c \ T a g I n f o \ F o r m u l a & l t ; / K e y & g t ; & l t ; / a : K e y & g t ; & l t ; a : V a l u e   i : t y p e = " M e a s u r e G r i d B a s e V i e w S t a t e \ I D i a g r a m T a g A d d i t i o n a l I n f o " / & g t ; & l t ; / a : K e y V a l u e O f D i a g r a m O b j e c t K e y a n y T y p e z b w N T n L X & g t ; & l t ; a : K e y V a l u e O f D i a g r a m O b j e c t K e y a n y T y p e z b w N T n L X & g t ; & l t ; a : K e y & g t ; & l t ; K e y & g t ; M e a s u r e s \ A v e r a g e   o f   N e o   I n t   C a r e   o c c \ T a g I n f o \ V a l u e & l t ; / K e y & g t ; & l t ; / a : K e y & g t ; & l t ; a : V a l u e   i : t y p e = " M e a s u r e G r i d B a s e V i e w S t a t e \ I D i a g r a m T a g A d d i t i o n a l I n f o " / & g t ; & l t ; / a : K e y V a l u e O f D i a g r a m O b j e c t K e y a n y T y p e z b w N T n L X & g t ; & l t ; a : K e y V a l u e O f D i a g r a m O b j e c t K e y a n y T y p e z b w N T n L X & g t ; & l t ; a : K e y & g t ; & l t ; K e y & g t ; M e a s u r e s \ S u m 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S u m   o f   G A   b e d   o c c u p a n c y \ T a g I n f o \ F o r m u l a & l t ; / K e y & g t ; & l t ; / a : K e y & g t ; & l t ; a : V a l u e   i : t y p e = " M e a s u r e G r i d B a s e V i e w S t a t e \ I D i a g r a m T a g A d d i t i o n a l I n f o " / & g t ; & l t ; / a : K e y V a l u e O f D i a g r a m O b j e c t K e y a n y T y p e z b w N T n L X & g t ; & l t ; a : K e y V a l u e O f D i a g r a m O b j e c t K e y a n y T y p e z b w N T n L X & g t ; & l t ; a : K e y & g t ; & l t ; K e y & g t ; M e a s u r e s \ S u m   o f   G A   b e d   o c c u p a n c y \ T a g I n f o \ V a l u e & l t ; / K e y & g t ; & l t ; / a : K e y & g t ; & l t ; a : V a l u e   i : t y p e = " M e a s u r e G r i d B a s e V i e w S t a t e \ I D i a g r a m T a g A d d i t i o n a l I n f o " / & g t ; & l t ; / a : K e y V a l u e O f D i a g r a m O b j e c t K e y a n y T y p e z b w N T n L X & g t ; & l t ; a : K e y V a l u e O f D i a g r a m O b j e c t K e y a n y T y p e z b w N T n L X & g t ; & l t ; a : K e y & g t ; & l t ; K e y & g t ; M e a s u r e s \ A v e r a g e   o f   G A   b e d   o c c u p a n c y & l t ; / K e y & g t ; & l t ; / a : K e y & g t ; & l t ; a : V a l u e   i : t y p e = " M e a s u r e G r i d N o d e V i e w S t a t e " & g t ; & l t ; C o l u m n & g t ; 2 3 & l t ; / C o l u m n & g t ; & l t ; L a y e d O u t & g t ; t r u e & l t ; / L a y e d O u t & g t ; & l t ; W a s U I I n v i s i b l e & g t ; t r u e & l t ; / W a s U I I n v i s i b l e & g t ; & l t ; / a : V a l u e & g t ; & l t ; / a : K e y V a l u e O f D i a g r a m O b j e c t K e y a n y T y p e z b w N T n L X & g t ; & l t ; a : K e y V a l u e O f D i a g r a m O b j e c t K e y a n y T y p e z b w N T n L X & g t ; & l t ; a : K e y & g t ; & l t ; K e y & g t ; M e a s u r e s \ A v e r a g e   o f   G A   b e d   o c c u p a n c y \ T a g I n f o \ F o r m u l a & l t ; / K e y & g t ; & l t ; / a : K e y & g t ; & l t ; a : V a l u e   i : t y p e = " M e a s u r e G r i d B a s e V i e w S t a t e \ I D i a g r a m T a g A d d i t i o n a l I n f o " / & g t ; & l t ; / a : K e y V a l u e O f D i a g r a m O b j e c t K e y a n y T y p e z b w N T n L X & g t ; & l t ; a : K e y V a l u e O f D i a g r a m O b j e c t K e y a n y T y p e z b w N T n L X & g t ; & l t ; a : K e y & g t ; & l t ; K e y & g t ; M e a s u r e s \ A v e r a g e   o f   G A   b e d   o c c u p a n c y \ T a g I n f o \ V a l u e & l t ; / K e y & g t ; & l t ; / a : K e y & g t ; & l t ; a : V a l u e   i : t y p e = " M e a s u r e G r i d B a s e V i e w S t a t e \ I D i a g r a m T a g A d d i t i o n a l I n f o " / & g t ; & l t ; / a : K e y V a l u e O f D i a g r a m O b j e c t K e y a n y T y p e z b w N T n L X & g t ; & l t ; a : K e y V a l u e O f D i a g r a m O b j e c t K e y a n y T y p e z b w N T n L X & g t ; & l t ; a : K e y & g t ; & l t ; K e y & g t ; M e a s u r e s \ S u m   o f   G A   c o r e   b e d s   a v a i l & l t ; / K e y & g t ; & l t ; / a : K e y & g t ; & l t ; a : V a l u e   i : t y p e = " M e a s u r e G r i d N o d e V i e w S t a t e " & g t ; & l t ; C o l u m n & g t ; 1 9 & l t ; / C o l u m n & g t ; & l t ; L a y e d O u t & g t ; t r u e & l t ; / L a y e d O u t & g t ; & l t ; W a s U I I n v i s i b l e & g t ; t r u e & l t ; / W a s U I I n v i s i b l e & g t ; & l t ; / a : V a l u e & g t ; & l t ; / a : K e y V a l u e O f D i a g r a m O b j e c t K e y a n y T y p e z b w N T n L X & g t ; & l t ; a : K e y V a l u e O f D i a g r a m O b j e c t K e y a n y T y p e z b w N T n L X & g t ; & l t ; a : K e y & g t ; & l t ; K e y & g t ; M e a s u r e s \ S u m   o f   G A   c o r e   b e d s   a v a i l \ T a g I n f o \ F o r m u l a & l t ; / K e y & g t ; & l t ; / a : K e y & g t ; & l t ; a : V a l u e   i : t y p e = " M e a s u r e G r i d B a s e V i e w S t a t e \ I D i a g r a m T a g A d d i t i o n a l I n f o " / & g t ; & l t ; / a : K e y V a l u e O f D i a g r a m O b j e c t K e y a n y T y p e z b w N T n L X & g t ; & l t ; a : K e y V a l u e O f D i a g r a m O b j e c t K e y a n y T y p e z b w N T n L X & g t ; & l t ; a : K e y & g t ; & l t ; K e y & g t ; M e a s u r e s \ S u m   o f   G A   c o r e   b e d s   a v a i l \ T a g I n f o \ V a l u e & l t ; / K e y & g t ; & l t ; / a : K e y & g t ; & l t ; a : V a l u e   i : t y p e = " M e a s u r e G r i d B a s e V i e w S t a t e \ I D i a g r a m T a g A d d i t i o n a l I n f o " / & g t ; & l t ; / a : K e y V a l u e O f D i a g r a m O b j e c t K e y a n y T y p e z b w N T n L X & g t ; & l t ; a : K e y V a l u e O f D i a g r a m O b j e c t K e y a n y T y p e z b w N T n L X & g t ; & l t ; a : K e y & g t ; & l t ; K e y & g t ; M e a s u r e s \ S u m   o f   G A   e s c a l a t i o n   b e d s   a v a i l & l t ; / K e y & g t ; & l t ; / a : K e y & g t ; & l t ; a : V a l u e   i : t y p e = " M e a s u r e G r i d N o d e V i e w S t a t e " & g t ; & l t ; C o l u m n & g t ; 2 0 & l t ; / C o l u m n & g t ; & l t ; L a y e d O u t & g t ; t r u e & l t ; / L a y e d O u t & g t ; & l t ; W a s U I I n v i s i b l e & g t ; t r u e & l t ; / W a s U I I n v i s i b l e & g t ; & l t ; / a : V a l u e & g t ; & l t ; / a : K e y V a l u e O f D i a g r a m O b j e c t K e y a n y T y p e z b w N T n L X & g t ; & l t ; a : K e y V a l u e O f D i a g r a m O b j e c t K e y a n y T y p e z b w N T n L X & g t ; & l t ; a : K e y & g t ; & l t ; K e y & g t ; M e a s u r e s \ S u m   o f   G A   e s c a l a t i o n   b e d s   a v a i l \ T a g I n f o \ F o r m u l a & l t ; / K e y & g t ; & l t ; / a : K e y & g t ; & l t ; a : V a l u e   i : t y p e = " M e a s u r e G r i d B a s e V i e w S t a t e \ I D i a g r a m T a g A d d i t i o n a l I n f o " / & g t ; & l t ; / a : K e y V a l u e O f D i a g r a m O b j e c t K e y a n y T y p e z b w N T n L X & g t ; & l t ; a : K e y V a l u e O f D i a g r a m O b j e c t K e y a n y T y p e z b w N T n L X & g t ; & l t ; a : K e y & g t ; & l t ; K e y & g t ; M e a s u r e s \ S u m   o f   G A   e s c a l a t i o n   b e d s   a v a i l \ T a g I n f o \ V a l u e & l t ; / K e y & g t ; & l t ; / a : K e y & g t ; & l t ; a : V a l u e   i : t y p e = " M e a s u r e G r i d B a s e V i e w S t a t e \ I D i a g r a m T a g A d d i t i o n a l I n f o " / & g t ; & l t ; / a : K e y V a l u e O f D i a g r a m O b j e c t K e y a n y T y p e z b w N T n L X & g t ; & l t ; a : K e y V a l u e O f D i a g r a m O b j e c t K e y a n y T y p e z b w N T n L X & g t ; & l t ; a : K e y & g t ; & l t ; K e y & g t ; C o l u m n s \ I D & l t ; / K e y & g t ; & l t ; / a : K e y & g t ; & l t ; a : V a l u e   i : t y p e = " M e a s u r e G r i d N o d e V i e w S t a t e " & g t ; & l t ; L a y e d O u t & g t ; t r u e & l t ; / L a y e d O u t & g t ; & l t ; / a : V a l u e & g t ; & l t ; / a : K e y V a l u e O f D i a g r a m O b j e c t K e y a n y T y p e z b w N T n L X & g t ; & l t ; a : K e y V a l u e O f D i a g r a m O b j e c t K e y a n y T y p e z b w N T n L X & g t ; & l t ; a : K e y & g t ; & l t ; K e y & g t ; C o l u m n s \ c r i _ i d & l t ; / K e y & g t ; & l t ; / a : K e y & g t ; & l t ; a : V a l u e   i : t y p e = " M e a s u r e G r i d N o d e V i e w S t a t e " & g t ; & l t ; C o l u m n & g t ; 1 & l t ; / C o l u m n & g t ; & l t ; L a y e d O u t & g t ; t r u e & l t ; / L a y e d O u t & g t ; & l t ; / a : V a l u e & g t ; & l t ; / a : K e y V a l u e O f D i a g r a m O b j e c t K e y a n y T y p e z b w N T n L X & g t ; & l t ; a : K e y V a l u e O f D i a g r a m O b j e c t K e y a n y T y p e z b w N T n L X & g t ; & l t ; a : K e y & g t ; & l t ; K e y & g t ; C o l u m n s \ d r _ i d & l t ; / K e y & g t ; & l t ; / a : K e y & g t ; & l t ; a : V a l u e   i : t y p e = " M e a s u r e G r i d N o d e V i e w S t a t e " & g t ; & l t ; C o l u m n & g t ; 2 & l t ; / C o l u m n & g t ; & l t ; L a y e d O u t & g t ; t r u e & l t ; / L a y e d O u t & g t ; & l t ; / a : V a l u e & g t ; & l t ; / a : K e y V a l u e O f D i a g r a m O b j e c t K e y a n y T y p e z b w N T n L X & g t ; & l t ; a : K e y V a l u e O f D i a g r a m O b j e c t K e y a n y T y p e z b w N T n L X & g t ; & l t ; a : K e y & g t ; & l t ; K e y & g t ; C o l u m n s \ o r g _ i d & l t ; / K e y & g t ; & l t ; / a : K e y & g t ; & l t ; a : V a l u e   i : t y p e = " M e a s u r e G r i d N o d e V i e w S t a t e " & g t ; & l t ; C o l u m n & g t ; 3 & l t ; / C o l u m n & g t ; & l t ; L a y e d O u t & g t ; t r u e & l t ; / L a y e d O u t & g t ; & l t ; / a : V a l u e & g t ; & l t ; / a : K e y V a l u e O f D i a g r a m O b j e c t K e y a n y T y p e z b w N T n L X & g t ; & l t ; a : K e y V a l u e O f D i a g r a m O b j e c t K e y a n y T y p e z b w N T n L X & g t ; & l t ; a : K e y & g t ; & l t ; K e y & g t ; C o l u m n s \ c r i _ d a t a p e r i o d s t a r t & l t ; / K e y & g t ; & l t ; / a : K e y & g t ; & l t ; a : V a l u e   i : t y p e = " M e a s u r e G r i d N o d e V i e w S t a t e " & g t ; & l t ; C o l u m n & g t ; 4 & l t ; / C o l u m n & g t ; & l t ; L a y e d O u t & g t ; t r u e & l t ; / L a y e d O u t & g t ; & l t ; / a : V a l u e & g t ; & l t ; / a : K e y V a l u e O f D i a g r a m O b j e c t K e y a n y T y p e z b w N T n L X & g t ; & l t ; a : K e y V a l u e O f D i a g r a m O b j e c t K e y a n y T y p e z b w N T n L X & g t ; & l t ; a : K e y & g t ; & l t ; K e y & g t ; C o l u m n s \ C o d e & l t ; / K e y & g t ; & l t ; / a : K e y & g t ; & l t ; a : V a l u e   i : t y p e = " M e a s u r e G r i d N o d e V i e w S t a t e " & g t ; & l t ; C o l u m n & g t ; 5 & l t ; / C o l u m n & g t ; & l t ; L a y e d O u t & g t ; t r u e & l t ; / L a y e d O u t & g t ; & l t ; / a : V a l u e & g t ; & l t ; / a : K e y V a l u e O f D i a g r a m O b j e c t K e y a n y T y p e z b w N T n L X & g t ; & l t ; a : K e y V a l u e O f D i a g r a m O b j e c t K e y a n y T y p e z b w N T n L X & g t ; & l t ; a : K e y & g t ; & l t ; K e y & g t ; C o l u m n s \ N a m e & l t ; / K e y & g t ; & l t ; / a : K e y & g t ; & l t ; a : V a l u e   i : t y p e = " M e a s u r e G r i d N o d e V i e w S t a t e " & g t ; & l t ; C o l u m n & g t ; 6 & l t ; / C o l u m n & g t ; & l t ; L a y e d O u t & g t ; t r u e & l t ; / L a y e d O u t & g t ; & l t ; / a : V a l u e & g t ; & l t ; / a : K e y V a l u e O f D i a g r a m O b j e c t K e y a n y T y p e z b w N T n L X & g t ; & l t ; a : K e y V a l u e O f D i a g r a m O b j e c t K e y a n y T y p e z b w N T n L X & g t ; & l t ; a : K e y & g t ; & l t ; K e y & g t ; C o l u m n s \ D a t e & l t ; / K e y & g t ; & l t ; / a : K e y & g t ; & l t ; a : V a l u e   i : t y p e = " M e a s u r e G r i d N o d e V i e w S t a t e " & g t ; & l t ; C o l u m n & g t ; 7 & l t ; / C o l u m n & g t ; & l t ; L a y e d O u t & g t ; t r u e & l t ; / L a y e d O u t & g t ; & l t ; / a : V a l u e & g t ; & l t ; / a : K e y V a l u e O f D i a g r a m O b j e c t K e y a n y T y p e z b w N T n L X & g t ; & l t ; a : K e y V a l u e O f D i a g r a m O b j e c t K e y a n y T y p e z b w N T n L X & g t ; & l t ; a : K e y & g t ; & l t ; K e y & g t ; C o l u m n s \ W e e k & l t ; / K e y & g t ; & l t ; / a : K e y & g t ; & l t ; a : V a l u e   i : t y p e = " M e a s u r e G r i d N o d e V i e w S t a t e " & g t ; & l t ; C o l u m n & g t ; 8 & l t ; / C o l u m n & g t ; & l t ; L a y e d O u t & g t ; t r u e & l t ; / L a y e d O u t & g t ; & l t ; / a : V a l u e & g t ; & l t ; / a : K e y V a l u e O f D i a g r a m O b j e c t K e y a n y T y p e z b w N T n L X & g t ; & l t ; a : K e y V a l u e O f D i a g r a m O b j e c t K e y a n y T y p e z b w N T n L X & g t ; & l t ; a : K e y & g t ; & l t ; K e y & g t ; C o l u m n s \ D a y & l t ; / K e y & g t ; & l t ; / a : K e y & g t ; & l t ; a : V a l u e   i : t y p e = " M e a s u r e G r i d N o d e V i e w S t a t e " & g t ; & l t ; C o l u m n & g t ; 1 0 & l t ; / C o l u m n & g t ; & l t ; L a y e d O u t & g t ; t r u e & l t ; / L a y e d O u t & g t ; & l t ; / a : V a l u e & g t ; & l t ; / a : K e y V a l u e O f D i a g r a m O b j e c t K e y a n y T y p e z b w N T n L X & g t ; & l t ; a : K e y V a l u e O f D i a g r a m O b j e c t K e y a n y T y p e z b w N T n L X & g t ; & l t ; a : K e y & g t ; & l t ; K e y & g t ; C o l u m n s \ B a n k   h o l i d a y & l t ; / K e y & g t ; & l t ; / a : K e y & g t ; & l t ; a : V a l u e   i : t y p e = " M e a s u r e G r i d N o d e V i e w S t a t e " & g t ; & l t ; C o l u m n & g t ; 1 1 & l t ; / C o l u m n & g t ; & l t ; L a y e d O u t & g t ; t r u e & l t ; / L a y e d O u t & g t ; & l t ; / a : V a l u e & g t ; & l t ; / a : K e y V a l u e O f D i a g r a m O b j e c t K e y a n y T y p e z b w N T n L X & g t ; & l t ; a : K e y V a l u e O f D i a g r a m O b j e c t K e y a n y T y p e z b w N T n L X & g t ; & l t ; a : K e y & g t ; & l t ; K e y & g t ; C o l u m n s \ A E   c l o s u r e s & l t ; / K e y & g t ; & l t ; / a : K e y & g t ; & l t ; a : V a l u e   i : t y p e = " M e a s u r e G r i d N o d e V i e w S t a t e " & g t ; & l t ; C o l u m n & g t ; 1 2 & l t ; / C o l u m n & g t ; & l t ; L a y e d O u t & g t ; t r u e & l t ; / L a y e d O u t & g t ; & l t ; / a : V a l u e & g t ; & l t ; / a : K e y V a l u e O f D i a g r a m O b j e c t K e y a n y T y p e z b w N T n L X & g t ; & l t ; a : K e y V a l u e O f D i a g r a m O b j e c t K e y a n y T y p e z b w N T n L X & g t ; & l t ; a : K e y & g t ; & l t ; K e y & g t ; C o l u m n s \ A E   d i v e r t s & l t ; / K e y & g t ; & l t ; / a : K e y & g t ; & l t ; a : V a l u e   i : t y p e = " M e a s u r e G r i d N o d e V i e w S t a t e " & g t ; & l t ; C o l u m n & g t ; 1 3 & l t ; / C o l u m n & g t ; & l t ; L a y e d O u t & g t ; t r u e & l t ; / L a y e d O u t & g t ; & l t ; / a : V a l u e & g t ; & l t ; / a : K e y V a l u e O f D i a g r a m O b j e c t K e y a n y T y p e z b w N T n L X & g t ; & l t ; a : K e y V a l u e O f D i a g r a m O b j e c t K e y a n y T y p e z b w N T n L X & g t ; & l t ; a : K e y & g t ; & l t ; K e y & g t ; C o l u m n s \ A E   t y p e   1   a t t e n d a n c e s & l t ; / K e y & g t ; & l t ; / a : K e y & g t ; & l t ; a : V a l u e   i : t y p e = " M e a s u r e G r i d N o d e V i e w S t a t e " & g t ; & l t ; C o l u m n & g t ; 1 4 & l t ; / C o l u m n & g t ; & l t ; L a y e d O u t & g t ; t r u e & l t ; / L a y e d O u t & g t ; & l t ; / a : V a l u e & g t ; & l t ; / a : K e y V a l u e O f D i a g r a m O b j e c t K e y a n y T y p e z b w N T n L X & g t ; & l t ; a : K e y V a l u e O f D i a g r a m O b j e c t K e y a n y T y p e z b w N T n L X & g t ; & l t ; a : K e y & g t ; & l t ; K e y & g t ; C o l u m n s \ A E   t y p e   2   a t t e n d a n c e s & l t ; / K e y & g t ; & l t ; / a : K e y & g t ; & l t ; a : V a l u e   i : t y p e = " M e a s u r e G r i d N o d e V i e w S t a t e " & g t ; & l t ; C o l u m n & g t ; 1 5 & l t ; / C o l u m n & g t ; & l t ; L a y e d O u t & g t ; t r u e & l t ; / L a y e d O u t & g t ; & l t ; / a : V a l u e & g t ; & l t ; / a : K e y V a l u e O f D i a g r a m O b j e c t K e y a n y T y p e z b w N T n L X & g t ; & l t ; a : K e y V a l u e O f D i a g r a m O b j e c t K e y a n y T y p e z b w N T n L X & g t ; & l t ; a : K e y & g t ; & l t ; K e y & g t ; C o l u m n s \ A E   t y p e   3   a t t e n d a n c e s & l t ; / K e y & g t ; & l t ; / a : K e y & g t ; & l t ; a : V a l u e   i : t y p e = " M e a s u r e G r i d N o d e V i e w S t a t e " & g t ; & l t ; C o l u m n & g t ; 1 6 & l t ; / C o l u m n & g t ; & l t ; L a y e d O u t & g t ; t r u e & l t ; / L a y e d O u t & g t ; & l t ; / a : V a l u e & g t ; & l t ; / a : K e y V a l u e O f D i a g r a m O b j e c t K e y a n y T y p e z b w N T n L X & g t ; & l t ; a : K e y V a l u e O f D i a g r a m O b j e c t K e y a n y T y p e z b w N T n L X & g t ; & l t ; a : K e y & g t ; & l t ; K e y & g t ; C o l u m n s \ A E   t o t a l   a t t e n d a n c e s & l t ; / K e y & g t ; & l t ; / a : K e y & g t ; & l t ; a : V a l u e   i : t y p e = " M e a s u r e G r i d N o d e V i e w S t a t e " & g t ; & l t ; C o l u m n & g t ; 1 7 & l t ; / C o l u m n & g t ; & l t ; L a y e d O u t & g t ; t r u e & l t ; / L a y e d O u t & g t ; & l t ; / a : V a l u e & g t ; & l t ; / a : K e y V a l u e O f D i a g r a m O b j e c t K e y a n y T y p e z b w N T n L X & g t ; & l t ; a : K e y V a l u e O f D i a g r a m O b j e c t K e y a n y T y p e z b w N T n L X & g t ; & l t ; a : K e y & g t ; & l t ; K e y & g t ; C o l u m n s \ E m e r g e n c y   a d m i s s i o n s & l t ; / K e y & g t ; & l t ; / a : K e y & g t ; & l t ; a : V a l u e   i : t y p e = " M e a s u r e G r i d N o d e V i e w S t a t e " & g t ; & l t ; C o l u m n & g t ; 1 8 & l t ; / C o l u m n & g t ; & l t ; L a y e d O u t & g t ; t r u e & l t ; / L a y e d O u t & g t ; & l t ; / a : V a l u e & g t ; & l t ; / a : K e y V a l u e O f D i a g r a m O b j e c t K e y a n y T y p e z b w N T n L X & g t ; & l t ; a : K e y V a l u e O f D i a g r a m O b j e c t K e y a n y T y p e z b w N T n L X & g t ; & l t ; a : K e y & g t ; & l t ; K e y & g t ; C o l u m n s \ G A   c o r e   b e d s   a v a i l & l t ; / K e y & g t ; & l t ; / a : K e y & g t ; & l t ; a : V a l u e   i : t y p e = " M e a s u r e G r i d N o d e V i e w S t a t e " & g t ; & l t ; C o l u m n & g t ; 1 9 & l t ; / C o l u m n & g t ; & l t ; L a y e d O u t & g t ; t r u e & l t ; / L a y e d O u t & g t ; & l t ; / a : V a l u e & g t ; & l t ; / a : K e y V a l u e O f D i a g r a m O b j e c t K e y a n y T y p e z b w N T n L X & g t ; & l t ; a : K e y V a l u e O f D i a g r a m O b j e c t K e y a n y T y p e z b w N T n L X & g t ; & l t ; a : K e y & g t ; & l t ; K e y & g t ; C o l u m n s \ G A   e s c a l a t i o n   b e d s   a v a i l & l t ; / K e y & g t ; & l t ; / a : K e y & g t ; & l t ; a : V a l u e   i : t y p e = " M e a s u r e G r i d N o d e V i e w S t a t e " & g t ; & l t ; C o l u m n & g t ; 2 0 & l t ; / C o l u m n & g t ; & l t ; L a y e d O u t & g t ; t r u e & l t ; / L a y e d O u t & g t ; & l t ; / a : V a l u e & g t ; & l t ; / a : K e y V a l u e O f D i a g r a m O b j e c t K e y a n y T y p e z b w N T n L X & g t ; & l t ; a : K e y V a l u e O f D i a g r a m O b j e c t K e y a n y T y p e z b w N T n L X & g t ; & l t ; a : K e y & g t ; & l t ; K e y & g t ; C o l u m n s \ G A   t o t a l   b e d s   a v a i l & l t ; / K e y & g t ; & l t ; / a : K e y & g t ; & l t ; a : V a l u e   i : t y p e = " M e a s u r e G r i d N o d e V i e w S t a t e " & g t ; & l t ; C o l u m n & g t ; 2 1 & l t ; / C o l u m n & g t ; & l t ; L a y e d O u t & g t ; t r u e & l t ; / L a y e d O u t & g t ; & l t ; / a : V a l u e & g t ; & l t ; / a : K e y V a l u e O f D i a g r a m O b j e c t K e y a n y T y p e z b w N T n L X & g t ; & l t ; a : K e y V a l u e O f D i a g r a m O b j e c t K e y a n y T y p e z b w N T n L X & g t ; & l t ; a : K e y & g t ; & l t ; K e y & g t ; C o l u m n s \ G A   t o t a l   b e d s   o c c u p i e d & l t ; / K e y & g t ; & l t ; / a : K e y & g t ; & l t ; a : V a l u e   i : t y p e = " M e a s u r e G r i d N o d e V i e w S t a t e " & g t ; & l t ; C o l u m n & g t ; 2 2 & l t ; / C o l u m n & g t ; & l t ; L a y e d O u t & g t ; t r u e & l t ; / L a y e d O u t & g t ; & l t ; / a : V a l u e & g t ; & l t ; / a : K e y V a l u e O f D i a g r a m O b j e c t K e y a n y T y p e z b w N T n L X & g t ; & l t ; a : K e y V a l u e O f D i a g r a m O b j e c t K e y a n y T y p e z b w N T n L X & g t ; & l t ; a : K e y & g t ; & l t ; K e y & g t ; C o l u m n s \ B e d s   c l o s e d   n o r o v i r u s & l t ; / K e y & g t ; & l t ; / a : K e y & g t ; & l t ; a : V a l u e   i : t y p e = " M e a s u r e G r i d N o d e V i e w S t a t e " & g t ; & l t ; C o l u m n & g t ; 2 4 & l t ; / C o l u m n & g t ; & l t ; L a y e d O u t & g t ; t r u e & l t ; / L a y e d O u t & g t ; & l t ; / a : V a l u e & g t ; & l t ; / a : K e y V a l u e O f D i a g r a m O b j e c t K e y a n y T y p e z b w N T n L X & g t ; & l t ; a : K e y V a l u e O f D i a g r a m O b j e c t K e y a n y T y p e z b w N T n L X & g t ; & l t ; a : K e y & g t ; & l t ; K e y & g t ; C o l u m n s \ B e d s   c l o s e d   n o r o v i u s   u n o c c & l t ; / K e y & g t ; & l t ; / a : K e y & g t ; & l t ; a : V a l u e   i : t y p e = " M e a s u r e G r i d N o d e V i e w S t a t e " & g t ; & l t ; C o l u m n & g t ; 2 5 & l t ; / C o l u m n & g t ; & l t ; L a y e d O u t & g t ; t r u e & l t ; / L a y e d O u t & g t ; & l t ; / a : V a l u e & g t ; & l t ; / a : K e y V a l u e O f D i a g r a m O b j e c t K e y a n y T y p e z b w N T n L X & g t ; & l t ; a : K e y V a l u e O f D i a g r a m O b j e c t K e y a n y T y p e z b w N T n L X & g t ; & l t ; a : K e y & g t ; & l t ; K e y & g t ; C o l u m n s \ A d u l t   C C   b e d s   a v a i l & l t ; / K e y & g t ; & l t ; / a : K e y & g t ; & l t ; a : V a l u e   i : t y p e = " M e a s u r e G r i d N o d e V i e w S t a t e " & g t ; & l t ; C o l u m n & g t ; 2 6 & l t ; / C o l u m n & g t ; & l t ; L a y e d O u t & g t ; t r u e & l t ; / L a y e d O u t & g t ; & l t ; / a : V a l u e & g t ; & l t ; / a : K e y V a l u e O f D i a g r a m O b j e c t K e y a n y T y p e z b w N T n L X & g t ; & l t ; a : K e y V a l u e O f D i a g r a m O b j e c t K e y a n y T y p e z b w N T n L X & g t ; & l t ; a : K e y & g t ; & l t ; K e y & g t ; C o l u m n s \ A d u l t   C C   b e d s   o c c & l t ; / K e y & g t ; & l t ; / a : K e y & g t ; & l t ; a : V a l u e   i : t y p e = " M e a s u r e G r i d N o d e V i e w S t a t e " & g t ; & l t ; C o l u m n & g t ; 2 7 & l t ; / C o l u m n & g t ; & l t ; L a y e d O u t & g t ; t r u e & l t ; / L a y e d O u t & g t ; & l t ; / a : V a l u e & g t ; & l t ; / a : K e y V a l u e O f D i a g r a m O b j e c t K e y a n y T y p e z b w N T n L X & g t ; & l t ; a : K e y V a l u e O f D i a g r a m O b j e c t K e y a n y T y p e z b w N T n L X & g t ; & l t ; a : K e y & g t ; & l t ; K e y & g t ; C o l u m n s \ P a e d   I n t   C a r e   A v a i l & l t ; / K e y & g t ; & l t ; / a : K e y & g t ; & l t ; a : V a l u e   i : t y p e = " M e a s u r e G r i d N o d e V i e w S t a t e " & g t ; & l t ; C o l u m n & g t ; 2 8 & l t ; / C o l u m n & g t ; & l t ; L a y e d O u t & g t ; t r u e & l t ; / L a y e d O u t & g t ; & l t ; / a : V a l u e & g t ; & l t ; / a : K e y V a l u e O f D i a g r a m O b j e c t K e y a n y T y p e z b w N T n L X & g t ; & l t ; a : K e y V a l u e O f D i a g r a m O b j e c t K e y a n y T y p e z b w N T n L X & g t ; & l t ; a : K e y & g t ; & l t ; K e y & g t ; C o l u m n s \ P a e d   I n t   C a r e   O c c & l t ; / K e y & g t ; & l t ; / a : K e y & g t ; & l t ; a : V a l u e   i : t y p e = " M e a s u r e G r i d N o d e V i e w S t a t e " & g t ; & l t ; C o l u m n & g t ; 2 9 & l t ; / C o l u m n & g t ; & l t ; L a y e d O u t & g t ; t r u e & l t ; / L a y e d O u t & g t ; & l t ; / a : V a l u e & g t ; & l t ; / a : K e y V a l u e O f D i a g r a m O b j e c t K e y a n y T y p e z b w N T n L X & g t ; & l t ; a : K e y V a l u e O f D i a g r a m O b j e c t K e y a n y T y p e z b w N T n L X & g t ; & l t ; a : K e y & g t ; & l t ; K e y & g t ; C o l u m n s \ N e o   I n t   C a r e   A v a i l & l t ; / K e y & g t ; & l t ; / a : K e y & g t ; & l t ; a : V a l u e   i : t y p e = " M e a s u r e G r i d N o d e V i e w S t a t e " & g t ; & l t ; C o l u m n & g t ; 3 0 & l t ; / C o l u m n & g t ; & l t ; L a y e d O u t & g t ; t r u e & l t ; / L a y e d O u t & g t ; & l t ; / a : V a l u e & g t ; & l t ; / a : K e y V a l u e O f D i a g r a m O b j e c t K e y a n y T y p e z b w N T n L X & g t ; & l t ; a : K e y V a l u e O f D i a g r a m O b j e c t K e y a n y T y p e z b w N T n L X & g t ; & l t ; a : K e y & g t ; & l t ; K e y & g t ; C o l u m n s \ N e o   I n t   C a r e   o c c & l t ; / K e y & g t ; & l t ; / a : K e y & g t ; & l t ; a : V a l u e   i : t y p e = " M e a s u r e G r i d N o d e V i e w S t a t e " & g t ; & l t ; C o l u m n & g t ; 3 1 & l t ; / C o l u m n & g t ; & l t ; L a y e d O u t & g t ; t r u e & l t ; / L a y e d O u t & g t ; & l t ; / a : V a l u e & g t ; & l t ; / a : K e y V a l u e O f D i a g r a m O b j e c t K e y a n y T y p e z b w N T n L X & g t ; & l t ; a : K e y V a l u e O f D i a g r a m O b j e c t K e y a n y T y p e z b w N T n L X & g t ; & l t ; a : K e y & g t ; & l t ; K e y & g t ; C o l u m n s \ O P E L   3   o r   a b o v e & l t ; / K e y & g t ; & l t ; / a : K e y & g t ; & l t ; a : V a l u e   i : t y p e = " M e a s u r e G r i d N o d e V i e w S t a t e " & g t ; & l t ; C o l u m n & g t ; 3 2 & l t ; / C o l u m n & g t ; & l t ; L a y e d O u t & g t ; t r u e & l t ; / L a y e d O u t & g t ; & l t ; / a : V a l u e & g t ; & l t ; / a : K e y V a l u e O f D i a g r a m O b j e c t K e y a n y T y p e z b w N T n L X & g t ; & l t ; a : K e y V a l u e O f D i a g r a m O b j e c t K e y a n y T y p e z b w N T n L X & g t ; & l t ; a : K e y & g t ; & l t ; K e y & g t ; C o l u m n s \ W e e k e n d & l t ; / K e y & g t ; & l t ; / a : K e y & g t ; & l t ; a : V a l u e   i : t y p e = " M e a s u r e G r i d N o d e V i e w S t a t e " & g t ; & l t ; C o l u m n & g t ; 3 3 & l t ; / C o l u m n & g t ; & l t ; L a y e d O u t & g t ; t r u e & l t ; / L a y e d O u t & g t ; & l t ; / a : V a l u e & g t ; & l t ; / a : K e y V a l u e O f D i a g r a m O b j e c t K e y a n y T y p e z b w N T n L X & g t ; & l t ; a : K e y V a l u e O f D i a g r a m O b j e c t K e y a n y T y p e z b w N T n L X & g t ; & l t ; a : K e y & g t ; & l t ; K e y & g t ; C o l u m n s \ R e g i o n & l t ; / K e y & g t ; & l t ; / a : K e y & g t ; & l t ; a : V a l u e   i : t y p e = " M e a s u r e G r i d N o d e V i e w S t a t e " & g t ; & l t ; C o l u m n & g t ; 3 4 & l t ; / C o l u m n & g t ; & l t ; L a y e d O u t & g t ; t r u e & l t ; / L a y e d O u t & g t ; & l t ; / a : V a l u e & g t ; & l t ; / a : K e y V a l u e O f D i a g r a m O b j e c t K e y a n y T y p e z b w N T n L X & g t ; & l t ; a : K e y V a l u e O f D i a g r a m O b j e c t K e y a n y T y p e z b w N T n L X & g t ; & l t ; a : K e y & g t ; & l t ; K e y & g t ; C o l u m n s \ Y e a r & l t ; / K e y & g t ; & l t ; / a : K e y & g t ; & l t ; a : V a l u e   i : t y p e = " M e a s u r e G r i d N o d e V i e w S t a t e " & g t ; & l t ; C o l u m n & g t ; 3 5 & l t ; / C o l u m n & g t ; & l t ; L a y e d O u t & g t ; t r u e & l t ; / L a y e d O u t & g t ; & l t ; / a : V a l u e & g t ; & l t ; / a : K e y V a l u e O f D i a g r a m O b j e c t K e y a n y T y p e z b w N T n L X & g t ; & l t ; a : K e y V a l u e O f D i a g r a m O b j e c t K e y a n y T y p e z b w N T n L X & g t ; & l t ; a : K e y & g t ; & l t ; K e y & g t ; C o l u m n s \ B e d s   o c c   o v e r   7   d a y s & l t ; / K e y & g t ; & l t ; / a : K e y & g t ; & l t ; a : V a l u e   i : t y p e = " M e a s u r e G r i d N o d e V i e w S t a t e " & g t ; & l t ; C o l u m n & g t ; 3 6 & l t ; / C o l u m n & g t ; & l t ; L a y e d O u t & g t ; t r u e & l t ; / L a y e d O u t & g t ; & l t ; / a : V a l u e & g t ; & l t ; / a : K e y V a l u e O f D i a g r a m O b j e c t K e y a n y T y p e z b w N T n L X & g t ; & l t ; a : K e y V a l u e O f D i a g r a m O b j e c t K e y a n y T y p e z b w N T n L X & g t ; & l t ; a : K e y & g t ; & l t ; K e y & g t ; C o l u m n s \ B e d s   o c c   o v e r   2 1   d a y s & l t ; / K e y & g t ; & l t ; / a : K e y & g t ; & l t ; a : V a l u e   i : t y p e = " M e a s u r e G r i d N o d e V i e w S t a t e " & g t ; & l t ; C o l u m n & g t ; 3 7 & l t ; / C o l u m n & g t ; & l t ; L a y e d O u t & g t ; t r u e & l t ; / L a y e d O u t & g t ; & l t ; / a : V a l u e & g t ; & l t ; / a : K e y V a l u e O f D i a g r a m O b j e c t K e y a n y T y p e z b w N T n L X & g t ; & l t ; a : K e y V a l u e O f D i a g r a m O b j e c t K e y a n y T y p e z b w N T n L X & g t ; & l t ; a : K e y & g t ; & l t ; K e y & g t ; C o l u m n s \ A m b   a r r i v a l s & l t ; / K e y & g t ; & l t ; / a : K e y & g t ; & l t ; a : V a l u e   i : t y p e = " M e a s u r e G r i d N o d e V i e w S t a t e " & g t ; & l t ; C o l u m n & g t ; 3 8 & l t ; / C o l u m n & g t ; & l t ; L a y e d O u t & g t ; t r u e & l t ; / L a y e d O u t & g t ; & l t ; / a : V a l u e & g t ; & l t ; / a : K e y V a l u e O f D i a g r a m O b j e c t K e y a n y T y p e z b w N T n L X & g t ; & l t ; a : K e y V a l u e O f D i a g r a m O b j e c t K e y a n y T y p e z b w N T n L X & g t ; & l t ; a : K e y & g t ; & l t ; K e y & g t ; C o l u m n s \ A m b   d e l a y s   3 0 - 6 0   m i n s & l t ; / K e y & g t ; & l t ; / a : K e y & g t ; & l t ; a : V a l u e   i : t y p e = " M e a s u r e G r i d N o d e V i e w S t a t e " & g t ; & l t ; C o l u m n & g t ; 3 9 & l t ; / C o l u m n & g t ; & l t ; L a y e d O u t & g t ; t r u e & l t ; / L a y e d O u t & g t ; & l t ; / a : V a l u e & g t ; & l t ; / a : K e y V a l u e O f D i a g r a m O b j e c t K e y a n y T y p e z b w N T n L X & g t ; & l t ; a : K e y V a l u e O f D i a g r a m O b j e c t K e y a n y T y p e z b w N T n L X & g t ; & l t ; a : K e y & g t ; & l t ; K e y & g t ; C o l u m n s \ A m b   d e l a y s   o v e r   6 0   m i n s & l t ; / K e y & g t ; & l t ; / a : K e y & g t ; & l t ; a : V a l u e   i : t y p e = " M e a s u r e G r i d N o d e V i e w S t a t e " & g t ; & l t ; C o l u m n & g t ; 4 0 & l t ; / C o l u m n & g t ; & l t ; L a y e d O u t & g t ; t r u e & l t ; / L a y e d O u t & g t ; & l t ; / a : V a l u e & g t ; & l t ; / a : K e y V a l u e O f D i a g r a m O b j e c t K e y a n y T y p e z b w N T n L X & g t ; & l t ; a : K e y V a l u e O f D i a g r a m O b j e c t K e y a n y T y p e z b w N T n L X & g t ; & l t ; a : K e y & g t ; & l t ; K e y & g t ; C o l u m n s \ W e e k   l o n g & l t ; / K e y & g t ; & l t ; / a : K e y & g t ; & l t ; a : V a l u e   i : t y p e = " M e a s u r e G r i d N o d e V i e w S t a t e " & g t ; & l t ; C o l u m n & g t ; 9 & l t ; / C o l u m n & g t ; & l t ; L a y e d O u t & g t ; t r u e & l t ; / L a y e d O u t & g t ; & l t ; / a : V a l u e & g t ; & l t ; / a : K e y V a l u e O f D i a g r a m O b j e c t K e y a n y T y p e z b w N T n L X & g t ; & l t ; a : K e y V a l u e O f D i a g r a m O b j e c t K e y a n y T y p e z b w N T n L X & g t ; & l t ; a : K e y & g t ; & l t ; K e y & g t ; C o l u m n s \ G A   b e d   o c c u p a n c y & l t ; / K e y & g t ; & l t ; / a : K e y & g t ; & l t ; a : V a l u e   i : t y p e = " M e a s u r e G r i d N o d e V i e w S t a t e " & g t ; & l t ; C o l u m n & g t ; 2 3 & l t ; / C o l u m n & g t ; & l t ; L a y e d O u t & g t ; t r u e & l t ; / L a y e d O u t & g t ; & l t ; / a : V a l u e & g t ; & l t ; / a : K e y V a l u e O f D i a g r a m O b j e c t K e y a n y T y p e z b w N T n L X & g t ; & l t ; a : K e y V a l u e O f D i a g r a m O b j e c t K e y a n y T y p e z b w N T n L X & g t ; & l t ; a : K e y & g t ; & l t ; K e y & g t ; L i n k s \ & a m p ; l t ; C o l u m n s \ S u m   o f   A E   d i v e r t s & a m p ; g t ; - & a m p ; l t ; M e a s u r e s \ A E   d i v e r t s & a m p ; g t ; & l t ; / K e y & g t ; & l t ; / a : K e y & g t ; & l t ; a : V a l u e   i : t y p e = " M e a s u r e G r i d B a s e V i e w S t a t e \ I D i a g r a m L i n k " / & g t ; & l t ; / a : K e y V a l u e O f D i a g r a m O b j e c t K e y a n y T y p e z b w N T n L X & g t ; & l t ; a : K e y V a l u e O f D i a g r a m O b j e c t K e y a n y T y p e z b w N T n L X & g t ; & l t ; a : K e y & g t ; & l t ; K e y & g t ; L i n k s \ & a m p ; l t ; C o l u m n s \ S u m   o f   A E   d i v e r t s & a m p ; g t ; - & a m p ; l t ; M e a s u r e s \ A E   d i v e r t s & a m p ; g t ; \ C O L U M N & l t ; / K e y & g t ; & l t ; / a : K e y & g t ; & l t ; a : V a l u e   i : t y p e = " M e a s u r e G r i d B a s e V i e w S t a t e \ I D i a g r a m L i n k E n d p o i n t " / & g t ; & l t ; / a : K e y V a l u e O f D i a g r a m O b j e c t K e y a n y T y p e z b w N T n L X & g t ; & l t ; a : K e y V a l u e O f D i a g r a m O b j e c t K e y a n y T y p e z b w N T n L X & g t ; & l t ; a : K e y & g t ; & l t ; K e y & g t ; L i n k s \ & a m p ; l t ; C o l u m n s \ S u m   o f   A E   d i v e r t s & a m p ; g t ; - & a m p ; l t ; M e a s u r e s \ A E   d i v e r t s & a m p ; g t ; \ M E A S U R E & l t ; / K e y & g t ; & l t ; / a : K e y & g t ; & l t ; a : V a l u e   i : t y p e = " M e a s u r e G r i d B a s e V i e w S t a t e \ I D i a g r a m L i n k E n d p o i n t " / & g t ; & l t ; / a : K e y V a l u e O f D i a g r a m O b j e c t K e y a n y T y p e z b w N T n L X & g t ; & l t ; a : K e y V a l u e O f D i a g r a m O b j e c t K e y a n y T y p e z b w N T n L X & g t ; & l t ; a : K e y & g t ; & l t ; K e y & g t ; L i n k s \ & a m p ; l t ; C o l u m n s \ S u m   o f   G A   t o t a l   b e d s   o c c u p i e d & a m p ; g t ; - & a m p ; l t ; M e a s u r e s \ G A   t o t a l   b e d s   o c c u p i e d & a m p ; g t ; & l t ; / K e y & g t ; & l t ; / a : K e y & g t ; & l t ; a : V a l u e   i : t y p e = " M e a s u r e G r i d B a s e V i e w S t a t e \ I D i a g r a m L i n k " / & g t ; & l t ; / a : K e y V a l u e O f D i a g r a m O b j e c t K e y a n y T y p e z b w N T n L X & g t ; & l t ; a : K e y V a l u e O f D i a g r a m O b j e c t K e y a n y T y p e z b w N T n L X & g t ; & l t ; a : K e y & g t ; & l t ; K e y & g t ; L i n k s \ & a m p ; l t ; C o l u m n s \ S u m   o f   G A   t o t a l   b e d s   o c c u p i e d & a m p ; g t ; - & a m p ; l t ; M e a s u r e s \ G A   t o t a l   b e d s   o c c u p i e d & a m p ; g t ; \ C O L U M N & l t ; / K e y & g t ; & l t ; / a : K e y & g t ; & l t ; a : V a l u e   i : t y p e = " M e a s u r e G r i d B a s e V i e w S t a t e \ I D i a g r a m L i n k E n d p o i n t " / & g t ; & l t ; / a : K e y V a l u e O f D i a g r a m O b j e c t K e y a n y T y p e z b w N T n L X & g t ; & l t ; a : K e y V a l u e O f D i a g r a m O b j e c t K e y a n y T y p e z b w N T n L X & g t ; & l t ; a : K e y & g t ; & l t ; K e y & g t ; L i n k s \ & a m p ; l t ; C o l u m n s \ S u m   o f   G A   t o t a l   b e d s   o c c u p i e d & a m p ; g t ; - & a m p ; l t ; M e a s u r e s \ G A   t o t a l   b e d s   o c c u p i e d & a m p ; g t ; \ M E A S U R E & l t ; / K e y & g t ; & l t ; / a : K e y & g t ; & l t ; a : V a l u e   i : t y p e = " M e a s u r e G r i d B a s e V i e w S t a t e \ I D i a g r a m L i n k E n d p o i n t " / & g t ; & l t ; / a : K e y V a l u e O f D i a g r a m O b j e c t K e y a n y T y p e z b w N T n L X & g t ; & l t ; a : K e y V a l u e O f D i a g r a m O b j e c t K e y a n y T y p e z b w N T n L X & g t ; & l t ; a : K e y & g t ; & l t ; K e y & g t ; L i n k s \ & a m p ; l t ; C o l u m n s \ A v e r a g e   o f   G A   t o t a l   b e d s   o c c u p i e d & a m p ; g t ; - & a m p ; l t ; M e a s u r e s \ G A   t o t a l   b e d s   o c c u p i e d & a m p ; g t ; & l t ; / K e y & g t ; & l t ; / a : K e y & g t ; & l t ; a : V a l u e   i : t y p e = " M e a s u r e G r i d B a s e V i e w S t a t e \ I D i a g r a m L i n k " / & g t ; & l t ; / a : K e y V a l u e O f D i a g r a m O b j e c t K e y a n y T y p e z b w N T n L X & g t ; & l t ; a : K e y V a l u e O f D i a g r a m O b j e c t K e y a n y T y p e z b w N T n L X & g t ; & l t ; a : K e y & g t ; & l t ; K e y & g t ; L i n k s \ & a m p ; l t ; C o l u m n s \ A v e r a g e   o f   G A   t o t a l   b e d s   o c c u p i e d & a m p ; g t ; - & a m p ; l t ; M e a s u r e s \ G A   t o t a l   b e d s   o c c u p i e d & a m p ; g t ; \ C O L U M N & l t ; / K e y & g t ; & l t ; / a : K e y & g t ; & l t ; a : V a l u e   i : t y p e = " M e a s u r e G r i d B a s e V i e w S t a t e \ I D i a g r a m L i n k E n d p o i n t " / & g t ; & l t ; / a : K e y V a l u e O f D i a g r a m O b j e c t K e y a n y T y p e z b w N T n L X & g t ; & l t ; a : K e y V a l u e O f D i a g r a m O b j e c t K e y a n y T y p e z b w N T n L X & g t ; & l t ; a : K e y & g t ; & l t ; K e y & g t ; L i n k s \ & a m p ; l t ; C o l u m n s \ A v e r a g e   o f   G A   t o t a l   b e d s   o c c u p i e d & a m p ; g t ; - & a m p ; l t ; M e a s u r e s \ G A   t o t a l   b e d s   o c c u p i e d & a m p ; g t ; \ M E A S U R E & l t ; / K e y & g t ; & l t ; / a : K e y & g t ; & l t ; a : V a l u e   i : t y p e = " M e a s u r e G r i d B a s e V i e w S t a t e \ I D i a g r a m L i n k E n d p o i n t " / & g t ; & l t ; / a : K e y V a l u e O f D i a g r a m O b j e c t K e y a n y T y p e z b w N T n L X & g t ; & l t ; a : K e y V a l u e O f D i a g r a m O b j e c t K e y a n y T y p e z b w N T n L X & g t ; & l t ; a : K e y & g t ; & l t ; K e y & g t ; L i n k s \ & a m p ; l t ; C o l u m n s \ S u m   o f   G A   t o t a l   b e d s   a v a i l & a m p ; g t ; - & a m p ; l t ; M e a s u r e s \ G A   t o t a l   b e d s   a v a i l & a m p ; g t ; & l t ; / K e y & g t ; & l t ; / a : K e y & g t ; & l t ; a : V a l u e   i : t y p e = " M e a s u r e G r i d B a s e V i e w S t a t e \ I D i a g r a m L i n k " / & g t ; & l t ; / a : K e y V a l u e O f D i a g r a m O b j e c t K e y a n y T y p e z b w N T n L X & g t ; & l t ; a : K e y V a l u e O f D i a g r a m O b j e c t K e y a n y T y p e z b w N T n L X & g t ; & l t ; a : K e y & g t ; & l t ; K e y & g t ; L i n k s \ & a m p ; l t ; C o l u m n s \ S u m   o f   G A   t o t a l   b e d s   a v a i l & a m p ; g t ; - & a m p ; l t ; M e a s u r e s \ G A   t o t a l   b e d s   a v a i l & a m p ; g t ; \ C O L U M N & l t ; / K e y & g t ; & l t ; / a : K e y & g t ; & l t ; a : V a l u e   i : t y p e = " M e a s u r e G r i d B a s e V i e w S t a t e \ I D i a g r a m L i n k E n d p o i n t " / & g t ; & l t ; / a : K e y V a l u e O f D i a g r a m O b j e c t K e y a n y T y p e z b w N T n L X & g t ; & l t ; a : K e y V a l u e O f D i a g r a m O b j e c t K e y a n y T y p e z b w N T n L X & g t ; & l t ; a : K e y & g t ; & l t ; K e y & g t ; L i n k s \ & a m p ; l t ; C o l u m n s \ S u m   o f   G A   t o t a l   b e d s   a v a i l & a m p ; g t ; - & a m p ; l t ; M e a s u r e s \ G A   t o t a l   b e d s   a v a i l & a m p ; g t ; \ M E A S U R E & l t ; / K e y & g t ; & l t ; / a : K e y & g t ; & l t ; a : V a l u e   i : t y p e = " M e a s u r e G r i d B a s e V i e w S t a t e \ I D i a g r a m L i n k E n d p o i n t " / & g t ; & l t ; / a : K e y V a l u e O f D i a g r a m O b j e c t K e y a n y T y p e z b w N T n L X & g t ; & l t ; a : K e y V a l u e O f D i a g r a m O b j e c t K e y a n y T y p e z b w N T n L X & g t ; & l t ; a : K e y & g t ; & l t ; K e y & g t ; L i n k s \ & a m p ; l t ; C o l u m n s \ S u m   o f   B e d s   o c c   o v e r   7   d a y s & a m p ; g t ; - & a m p ; l t ; M e a s u r e s \ B e d s   o c c   o v e r   7   d a y s & a m p ; g t ; & l t ; / K e y & g t ; & l t ; / a : K e y & g t ; & l t ; a : V a l u e   i : t y p e = " M e a s u r e G r i d B a s e V i e w S t a t e \ I D i a g r a m L i n k " / & g t ; & l t ; / a : K e y V a l u e O f D i a g r a m O b j e c t K e y a n y T y p e z b w N T n L X & g t ; & l t ; a : K e y V a l u e O f D i a g r a m O b j e c t K e y a n y T y p e z b w N T n L X & g t ; & l t ; a : K e y & g t ; & l t ; K e y & g t ; L i n k s \ & a m p ; l t ; C o l u m n s \ S u m   o f   B e d s   o c c   o v e r   7   d a y s & a m p ; g t ; - & a m p ; l t ; M e a s u r e s \ B e d s   o c c   o v e r   7   d a y s & a m p ; g t ; \ C O L U M N & l t ; / K e y & g t ; & l t ; / a : K e y & g t ; & l t ; a : V a l u e   i : t y p e = " M e a s u r e G r i d B a s e V i e w S t a t e \ I D i a g r a m L i n k E n d p o i n t " / & g t ; & l t ; / a : K e y V a l u e O f D i a g r a m O b j e c t K e y a n y T y p e z b w N T n L X & g t ; & l t ; a : K e y V a l u e O f D i a g r a m O b j e c t K e y a n y T y p e z b w N T n L X & g t ; & l t ; a : K e y & g t ; & l t ; K e y & g t ; L i n k s \ & a m p ; l t ; C o l u m n s \ S u m   o f   B e d s   o c c   o v e r   7   d a y s & a m p ; g t ; - & a m p ; l t ; M e a s u r e s \ B e d s   o c c   o v e r   7   d a y s & a m p ; g t ; \ M E A S U R E & l t ; / K e y & g t ; & l t ; / a : K e y & g t ; & l t ; a : V a l u e   i : t y p e = " M e a s u r e G r i d B a s e V i e w S t a t e \ I D i a g r a m L i n k E n d p o i n t " / & g t ; & l t ; / a : K e y V a l u e O f D i a g r a m O b j e c t K e y a n y T y p e z b w N T n L X & g t ; & l t ; a : K e y V a l u e O f D i a g r a m O b j e c t K e y a n y T y p e z b w N T n L X & g t ; & l t ; a : K e y & g t ; & l t ; K e y & g t ; L i n k s \ & a m p ; l t ; C o l u m n s \ S u m   o f   B e d s   o c c   o v e r   2 1   d a y s & a m p ; g t ; - & a m p ; l t ; M e a s u r e s \ B e d s   o c c   o v e r   2 1   d a y s & a m p ; g t ; & l t ; / K e y & g t ; & l t ; / a : K e y & g t ; & l t ; a : V a l u e   i : t y p e = " M e a s u r e G r i d B a s e V i e w S t a t e \ I D i a g r a m L i n k " / & g t ; & l t ; / a : K e y V a l u e O f D i a g r a m O b j e c t K e y a n y T y p e z b w N T n L X & g t ; & l t ; a : K e y V a l u e O f D i a g r a m O b j e c t K e y a n y T y p e z b w N T n L X & g t ; & l t ; a : K e y & g t ; & l t ; K e y & g t ; L i n k s \ & a m p ; l t ; C o l u m n s \ S u m   o f   B e d s   o c c   o v e r   2 1   d a y s & a m p ; g t ; - & a m p ; l t ; M e a s u r e s \ B e d s   o c c   o v e r   2 1   d a y s & a m p ; g t ; \ C O L U M N & l t ; / K e y & g t ; & l t ; / a : K e y & g t ; & l t ; a : V a l u e   i : t y p e = " M e a s u r e G r i d B a s e V i e w S t a t e \ I D i a g r a m L i n k E n d p o i n t " / & g t ; & l t ; / a : K e y V a l u e O f D i a g r a m O b j e c t K e y a n y T y p e z b w N T n L X & g t ; & l t ; a : K e y V a l u e O f D i a g r a m O b j e c t K e y a n y T y p e z b w N T n L X & g t ; & l t ; a : K e y & g t ; & l t ; K e y & g t ; L i n k s \ & a m p ; l t ; C o l u m n s \ S u m   o f   B e d s   o c c   o v e r   2 1   d a y s & a m p ; g t ; - & a m p ; l t ; M e a s u r e s \ B e d s   o c c   o v e r   2 1   d a y s & a m p ; g t ; \ M E A S U R E & l t ; / K e y & g t ; & l t ; / a : K e y & g t ; & l t ; a : V a l u e   i : t y p e = " M e a s u r e G r i d B a s e V i e w S t a t e \ I D i a g r a m L i n k E n d p o i n t " / & g t ; & l t ; / a : K e y V a l u e O f D i a g r a m O b j e c t K e y a n y T y p e z b w N T n L X & g t ; & l t ; a : K e y V a l u e O f D i a g r a m O b j e c t K e y a n y T y p e z b w N T n L X & g t ; & l t ; a : K e y & g t ; & l t ; K e y & g t ; L i n k s \ & a m p ; l t ; C o l u m n s \ A v e r a g e   o f   B e d s   o c c   o v e r   2 1   d a y s & a m p ; g t ; - & a m p ; l t ; M e a s u r e s \ B e d s   o c c   o v e r   2 1   d a y s & a m p ; g t ; & l t ; / K e y & g t ; & l t ; / a : K e y & g t ; & l t ; a : V a l u e   i : t y p e = " M e a s u r e G r i d B a s e V i e w S t a t e \ I D i a g r a m L i n k " / & g t ; & l t ; / a : K e y V a l u e O f D i a g r a m O b j e c t K e y a n y T y p e z b w N T n L X & g t ; & l t ; a : K e y V a l u e O f D i a g r a m O b j e c t K e y a n y T y p e z b w N T n L X & g t ; & l t ; a : K e y & g t ; & l t ; K e y & g t ; L i n k s \ & a m p ; l t ; C o l u m n s \ A v e r a g e   o f   B e d s   o c c   o v e r   2 1   d a y s & a m p ; g t ; - & a m p ; l t ; M e a s u r e s \ B e d s   o c c   o v e r   2 1   d a y s & a m p ; g t ; \ C O L U M N & l t ; / K e y & g t ; & l t ; / a : K e y & g t ; & l t ; a : V a l u e   i : t y p e = " M e a s u r e G r i d B a s e V i e w S t a t e \ I D i a g r a m L i n k E n d p o i n t " / & g t ; & l t ; / a : K e y V a l u e O f D i a g r a m O b j e c t K e y a n y T y p e z b w N T n L X & g t ; & l t ; a : K e y V a l u e O f D i a g r a m O b j e c t K e y a n y T y p e z b w N T n L X & g t ; & l t ; a : K e y & g t ; & l t ; K e y & g t ; L i n k s \ & a m p ; l t ; C o l u m n s \ A v e r a g e   o f   B e d s   o c c   o v e r   2 1   d a y s & a m p ; g t ; - & a m p ; l t ; M e a s u r e s \ B e d s   o c c   o v e r   2 1   d a y s & a m p ; g t ; \ M E A S U R E & l t ; / K e y & g t ; & l t ; / a : K e y & g t ; & l t ; a : V a l u e   i : t y p e = " M e a s u r e G r i d B a s e V i e w S t a t e \ I D i a g r a m L i n k E n d p o i n t " / & g t ; & l t ; / a : K e y V a l u e O f D i a g r a m O b j e c t K e y a n y T y p e z b w N T n L X & g t ; & l t ; a : K e y V a l u e O f D i a g r a m O b j e c t K e y a n y T y p e z b w N T n L X & g t ; & l t ; a : K e y & g t ; & l t ; K e y & g t ; L i n k s \ & a m p ; l t ; C o l u m n s \ S u m   o f   B e d s   c l o s e d   n o r o v i r u s & a m p ; g t ; - & a m p ; l t ; M e a s u r e s \ B e d s   c l o s e d   n o r o v i r u s & a m p ; g t ; & l t ; / K e y & g t ; & l t ; / a : K e y & g t ; & l t ; a : V a l u e   i : t y p e = " M e a s u r e G r i d B a s e V i e w S t a t e \ I D i a g r a m L i n k " / & g t ; & l t ; / a : K e y V a l u e O f D i a g r a m O b j e c t K e y a n y T y p e z b w N T n L X & g t ; & l t ; a : K e y V a l u e O f D i a g r a m O b j e c t K e y a n y T y p e z b w N T n L X & g t ; & l t ; a : K e y & g t ; & l t ; K e y & g t ; L i n k s \ & a m p ; l t ; C o l u m n s \ S u m   o f   B e d s   c l o s e d   n o r o v i r u s & a m p ; g t ; - & a m p ; l t ; M e a s u r e s \ B e d s   c l o s e d   n o r o v i r u s & a m p ; g t ; \ C O L U M N & l t ; / K e y & g t ; & l t ; / a : K e y & g t ; & l t ; a : V a l u e   i : t y p e = " M e a s u r e G r i d B a s e V i e w S t a t e \ I D i a g r a m L i n k E n d p o i n t " / & g t ; & l t ; / a : K e y V a l u e O f D i a g r a m O b j e c t K e y a n y T y p e z b w N T n L X & g t ; & l t ; a : K e y V a l u e O f D i a g r a m O b j e c t K e y a n y T y p e z b w N T n L X & g t ; & l t ; a : K e y & g t ; & l t ; K e y & g t ; L i n k s \ & a m p ; l t ; C o l u m n s \ S u m   o f   B e d s   c l o s e d   n o r o v i r u s & a m p ; g t ; - & a m p ; l t ; M e a s u r e s \ B e d s   c l o s e d   n o r o v i r u s & a m p ; g t ; \ M E A S U R E & l t ; / K e y & g t ; & l t ; / a : K e y & g t ; & l t ; a : V a l u e   i : t y p e = " M e a s u r e G r i d B a s e V i e w S t a t e \ I D i a g r a m L i n k E n d p o i n t " / & g t ; & l t ; / a : K e y V a l u e O f D i a g r a m O b j e c t K e y a n y T y p e z b w N T n L X & g t ; & l t ; a : K e y V a l u e O f D i a g r a m O b j e c t K e y a n y T y p e z b w N T n L X & g t ; & l t ; a : K e y & g t ; & l t ; K e y & g t ; L i n k s \ & a m p ; l t ; C o l u m n s \ A v e r a g e   o f   B e d s   c l o s e d   n o r o v i r u s & a m p ; g t ; - & a m p ; l t ; M e a s u r e s \ B e d s   c l o s e d   n o r o v i r u s & a m p ; g t ; & l t ; / K e y & g t ; & l t ; / a : K e y & g t ; & l t ; a : V a l u e   i : t y p e = " M e a s u r e G r i d B a s e V i e w S t a t e \ I D i a g r a m L i n k " / & g t ; & l t ; / a : K e y V a l u e O f D i a g r a m O b j e c t K e y a n y T y p e z b w N T n L X & g t ; & l t ; a : K e y V a l u e O f D i a g r a m O b j e c t K e y a n y T y p e z b w N T n L X & g t ; & l t ; a : K e y & g t ; & l t ; K e y & g t ; L i n k s \ & a m p ; l t ; C o l u m n s \ A v e r a g e   o f   B e d s   c l o s e d   n o r o v i r u s & a m p ; g t ; - & a m p ; l t ; M e a s u r e s \ B e d s   c l o s e d   n o r o v i r u s & a m p ; g t ; \ C O L U M N & l t ; / K e y & g t ; & l t ; / a : K e y & g t ; & l t ; a : V a l u e   i : t y p e = " M e a s u r e G r i d B a s e V i e w S t a t e \ I D i a g r a m L i n k E n d p o i n t " / & g t ; & l t ; / a : K e y V a l u e O f D i a g r a m O b j e c t K e y a n y T y p e z b w N T n L X & g t ; & l t ; a : K e y V a l u e O f D i a g r a m O b j e c t K e y a n y T y p e z b w N T n L X & g t ; & l t ; a : K e y & g t ; & l t ; K e y & g t ; L i n k s \ & a m p ; l t ; C o l u m n s \ A v e r a g e   o f   B e d s   c l o s e d   n o r o v i r u s & a m p ; g t ; - & a m p ; l t ; M e a s u r e s \ B e d s   c l o s e d   n o r o v i r u s & a m p ; g t ; \ M E A S U R E & l t ; / K e y & g t ; & l t ; / a : K e y & g t ; & l t ; a : V a l u e 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 u n o c c & a m p ; g t ; & l t ; / K e y & g t ; & l t ; / a : K e y & g t ; & l t ; a : V a l u e   i : t y p e = " M e a s u r e G r i d B a s e V i e w S t a t e \ I D i a g r a m L i n k " / & g t ; & l t ; / a : K e y V a l u e O f D i a g r a m O b j e c t K e y a n y T y p e z b w N T n L X & g t ; & l t ; a : K e y V a l u e O f D i a g r a m O b j e c t K e y a n y T y p e z b w N T n L X & g t ; & l t ; a : K e y & g t ; & l t ; K e y & g t ; L i n k s \ & a m p ; l t ; C o l u m n s \ S u m   o f   B e d s   c l o s e d   n o r o v i u s   u n o c c & a m p ; g t ; - & a m p ; l t ; M e a s u r e s \ B e d s   c l o s e d   n o r o v i u s   u n o c c & a m p ; g t ; \ C O L U M N & l t ; / K e y & g t ; & l t ; / a : K e y & g t ; & l t ; a : V a l u e   i : t y p e = " M e a s u r e G r i d B a s e V i e w S t a t e \ I D i a g r a m L i n k E n d p o i n t " / & g t ; & l t ; / a : K e y V a l u e O f D i a g r a m O b j e c t K e y a n y T y p e z b w N T n L X & g t ; & l t ; a : K e y V a l u e O f D i a g r a m O b j e c t K e y a n y T y p e z b w N T n L X & g t ; & l t ; a : K e y & g t ; & l t ; K e y & g t ; L i n k s \ & a m p ; l t ; C o l u m n s \ S u m   o f   B e d s   c l o s e d   n o r o v i u s   u n o c c & a m p ; g t ; - & a m p ; l t ; M e a s u r e s \ B e d s   c l o s e d   n o r o v i u s   u n o c c & a m p ; g t ; \ M E A S U R E & l t ; / K e y & g t ; & l t ; / a : K e y & g t ; & l t ; a : V a l u e   i : t y p e = " M e a s u r e G r i d B a s e V i e w S t a t e \ I D i a g r a m L i n k E n d p o i n t " / & g t ; & l t ; / a : K e y V a l u e O f D i a g r a m O b j e c t K e y a n y T y p e z b w N T n L X & g t ; & l t ; a : K e y V a l u e O f D i a g r a m O b j e c t K e y a n y T y p e z b w N T n L X & g t ; & l t ; a : K e y & g t ; & l t ; K e y & g t ; L i n k s \ & a m p ; l t ; C o l u m n s \ S u m   o f   A m b   a r r i v a l s & a m p ; g t ; - & a m p ; l t ; M e a s u r e s \ A m b   a r r i v a l s & a m p ; g t ; & l t ; / K e y & g t ; & l t ; / a : K e y & g t ; & l t ; a : V a l u e   i : t y p e = " M e a s u r e G r i d B a s e V i e w S t a t e \ I D i a g r a m L i n k " / & g t ; & l t ; / a : K e y V a l u e O f D i a g r a m O b j e c t K e y a n y T y p e z b w N T n L X & g t ; & l t ; a : K e y V a l u e O f D i a g r a m O b j e c t K e y a n y T y p e z b w N T n L X & g t ; & l t ; a : K e y & g t ; & l t ; K e y & g t ; L i n k s \ & a m p ; l t ; C o l u m n s \ S u m   o f   A m b   a r r i v a l s & a m p ; g t ; - & a m p ; l t ; M e a s u r e s \ A m b   a r r i v a l s & a m p ; g t ; \ C O L U M N & l t ; / K e y & g t ; & l t ; / a : K e y & g t ; & l t ; a : V a l u e   i : t y p e = " M e a s u r e G r i d B a s e V i e w S t a t e \ I D i a g r a m L i n k E n d p o i n t " / & g t ; & l t ; / a : K e y V a l u e O f D i a g r a m O b j e c t K e y a n y T y p e z b w N T n L X & g t ; & l t ; a : K e y V a l u e O f D i a g r a m O b j e c t K e y a n y T y p e z b w N T n L X & g t ; & l t ; a : K e y & g t ; & l t ; K e y & g t ; L i n k s \ & a m p ; l t ; C o l u m n s \ S u m   o f   A m b   a r r i v a l s & a m p ; g t ; - & a m p ; l t ; M e a s u r e s \ A m b   a r r i v a l s & a m p ; g t ; \ M E A S U R E & l t ; / K e y & g t ; & l t ; / a : K e y & g t ; & l t ; a : V a l u e   i : t y p e = " M e a s u r e G r i d B a s e V i e w S t a t e \ I D i a g r a m L i n k E n d p o i n t " / & g t ; & l t ; / a : K e y V a l u e O f D i a g r a m O b j e c t K e y a n y T y p e z b w N T n L X & g t ; & l t ; a : K e y V a l u e O f D i a g r a m O b j e c t K e y a n y T y p e z b w N T n L X & g t ; & l t ; a : K e y & g t ; & l t ; K e y & g t ; L i n k s \ & a m p ; l t ; C o l u m n s \ S u m   o f   A m b   d e l a y s   3 0 - 6 0   m i n s & a m p ; g t ; - & a m p ; l t ; M e a s u r e s \ A m b   d e l a y s   3 0 - 6 0   m i n s & a m p ; g t ; & l t ; / K e y & g t ; & l t ; / a : K e y & g t ; & l t ; a : V a l u e   i : t y p e = " M e a s u r e G r i d B a s e V i e w S t a t e \ I D i a g r a m L i n k " / & g t ; & l t ; / a : K e y V a l u e O f D i a g r a m O b j e c t K e y a n y T y p e z b w N T n L X & g t ; & l t ; a : K e y V a l u e O f D i a g r a m O b j e c t K e y a n y T y p e z b w N T n L X & g t ; & l t ; a : K e y & g t ; & l t ; K e y & g t ; L i n k s \ & a m p ; l t ; C o l u m n s \ S u m   o f   A m b   d e l a y s   3 0 - 6 0   m i n s & a m p ; g t ; - & a m p ; l t ; M e a s u r e s \ A m b   d e l a y s   3 0 - 6 0   m i n s & a m p ; g t ; \ C O L U M N & l t ; / K e y & g t ; & l t ; / a : K e y & g t ; & l t ; a : V a l u e   i : t y p e = " M e a s u r e G r i d B a s e V i e w S t a t e \ I D i a g r a m L i n k E n d p o i n t " / & g t ; & l t ; / a : K e y V a l u e O f D i a g r a m O b j e c t K e y a n y T y p e z b w N T n L X & g t ; & l t ; a : K e y V a l u e O f D i a g r a m O b j e c t K e y a n y T y p e z b w N T n L X & g t ; & l t ; a : K e y & g t ; & l t ; K e y & g t ; L i n k s \ & a m p ; l t ; C o l u m n s \ S u m   o f   A m b   d e l a y s   3 0 - 6 0   m i n s & a m p ; g t ; - & a m p ; l t ; M e a s u r e s \ A m b   d e l a y s   3 0 - 6 0   m i n s & a m p ; g t ; \ M E A S U R E & l t ; / K e y & g t ; & l t ; / a : K e y & g t ; & l t ; a : V a l u e   i : t y p e = " M e a s u r e G r i d B a s e V i e w S t a t e \ I D i a g r a m L i n k E n d p o i n t " / & g t ; & l t ; / a : K e y V a l u e O f D i a g r a m O b j e c t K e y a n y T y p e z b w N T n L X & g t ; & l t ; a : K e y V a l u e O f D i a g r a m O b j e c t K e y a n y T y p e z b w N T n L X & g t ; & l t ; a : K e y & g t ; & l t ; K e y & g t ; L i n k s \ & a m p ; l t ; C o l u m n s \ S u m   o f   A m b   d e l a y s   o v e r   6 0   m i n s & a m p ; g t ; - & a m p ; l t ; M e a s u r e s \ A m b   d e l a y s   o v e r   6 0   m i n s & a m p ; g t ; & l t ; / K e y & g t ; & l t ; / a : K e y & g t ; & l t ; a : V a l u e   i : t y p e = " M e a s u r e G r i d B a s e V i e w S t a t e \ I D i a g r a m L i n k " / & g t ; & l t ; / a : K e y V a l u e O f D i a g r a m O b j e c t K e y a n y T y p e z b w N T n L X & g t ; & l t ; a : K e y V a l u e O f D i a g r a m O b j e c t K e y a n y T y p e z b w N T n L X & g t ; & l t ; a : K e y & g t ; & l t ; K e y & g t ; L i n k s \ & a m p ; l t ; C o l u m n s \ S u m   o f   A m b   d e l a y s   o v e r   6 0   m i n s & a m p ; g t ; - & a m p ; l t ; M e a s u r e s \ A m b   d e l a y s   o v e r   6 0   m i n s & a m p ; g t ; \ C O L U M N & l t ; / K e y & g t ; & l t ; / a : K e y & g t ; & l t ; a : V a l u e   i : t y p e = " M e a s u r e G r i d B a s e V i e w S t a t e \ I D i a g r a m L i n k E n d p o i n t " / & g t ; & l t ; / a : K e y V a l u e O f D i a g r a m O b j e c t K e y a n y T y p e z b w N T n L X & g t ; & l t ; a : K e y V a l u e O f D i a g r a m O b j e c t K e y a n y T y p e z b w N T n L X & g t ; & l t ; a : K e y & g t ; & l t ; K e y & g t ; L i n k s \ & a m p ; l t ; C o l u m n s \ S u m   o f   A m b   d e l a y s   o v e r   6 0   m i n s & a m p ; g t ; - & a m p ; l t ; M e a s u r e s \ A m b   d e l a y s   o v e r   6 0   m i n s & a m p ; g t ; \ M E A S U R E & l t ; / K e y & g t ; & l t ; / a : K e y & g t ; & l t ; a : V a l u e   i : t y p e = " M e a s u r e G r i d B a s e V i e w S t a t e \ I D i a g r a m L i n k E n d p o i n t " / & g t ; & l t ; / a : K e y V a l u e O f D i a g r a m O b j e c t K e y a n y T y p e z b w N T n L X & g t ; & l t ; a : K e y V a l u e O f D i a g r a m O b j e c t K e y a n y T y p e z b w N T n L X & g t ; & l t ; a : K e y & g t ; & l t ; K e y & g t ; L i n k s \ & a m p ; l t ; C o l u m n s \ S u m   o f   A d u l t   C C   b e d s   a v a i l & a m p ; g t ; - & a m p ; l t ; M e a s u r e s \ A d u l t   C C   b e d s   a v a i l & a m p ; g t ; & l t ; / K e y & g t ; & l t ; / a : K e y & g t ; & l t ; a : V a l u e   i : t y p e = " M e a s u r e G r i d B a s e V i e w S t a t e \ I D i a g r a m L i n k " / & g t ; & l t ; / a : K e y V a l u e O f D i a g r a m O b j e c t K e y a n y T y p e z b w N T n L X & g t ; & l t ; a : K e y V a l u e O f D i a g r a m O b j e c t K e y a n y T y p e z b w N T n L X & g t ; & l t ; a : K e y & g t ; & l t ; K e y & g t ; L i n k s \ & a m p ; l t ; C o l u m n s \ S u m   o f   A d u l t   C C   b e d s   a v a i l & a m p ; g t ; - & a m p ; l t ; M e a s u r e s \ A d u l t   C C   b e d s   a v a i l & a m p ; g t ; \ C O L U M N & l t ; / K e y & g t ; & l t ; / a : K e y & g t ; & l t ; a : V a l u e   i : t y p e = " M e a s u r e G r i d B a s e V i e w S t a t e \ I D i a g r a m L i n k E n d p o i n t " / & g t ; & l t ; / a : K e y V a l u e O f D i a g r a m O b j e c t K e y a n y T y p e z b w N T n L X & g t ; & l t ; a : K e y V a l u e O f D i a g r a m O b j e c t K e y a n y T y p e z b w N T n L X & g t ; & l t ; a : K e y & g t ; & l t ; K e y & g t ; L i n k s \ & a m p ; l t ; C o l u m n s \ S u m   o f   A d u l t   C C   b e d s   a v a i l & a m p ; g t ; - & a m p ; l t ; M e a s u r e s \ A d u l t   C C   b e d s   a v a i l & a m p ; g t ; \ M E A S U R E & l t ; / K e y & g t ; & l t ; / a : K e y & g t ; & l t ; a : V a l u e   i : t y p e = " M e a s u r e G r i d B a s e V i e w S t a t e \ I D i a g r a m L i n k E n d p o i n t " / & g t ; & l t ; / a : K e y V a l u e O f D i a g r a m O b j e c t K e y a n y T y p e z b w N T n L X & g t ; & l t ; a : K e y V a l u e O f D i a g r a m O b j e c t K e y a n y T y p e z b w N T n L X & g t ; & l t ; a : K e y & g t ; & l t ; K e y & g t ; L i n k s \ & a m p ; l t ; C o l u m n s \ S u m   o f   A d u l t   C C   b e d s   o c c & a m p ; g t ; - & a m p ; l t ; M e a s u r e s \ A d u l t   C C   b e d s   o c c & a m p ; g t ; & l t ; / K e y & g t ; & l t ; / a : K e y & g t ; & l t ; a : V a l u e   i : t y p e = " M e a s u r e G r i d B a s e V i e w S t a t e \ I D i a g r a m L i n k " / & g t ; & l t ; / a : K e y V a l u e O f D i a g r a m O b j e c t K e y a n y T y p e z b w N T n L X & g t ; & l t ; a : K e y V a l u e O f D i a g r a m O b j e c t K e y a n y T y p e z b w N T n L X & g t ; & l t ; a : K e y & g t ; & l t ; K e y & g t ; L i n k s \ & a m p ; l t ; C o l u m n s \ S u m   o f   A d u l t   C C   b e d s   o c c & a m p ; g t ; - & a m p ; l t ; M e a s u r e s \ A d u l t   C C   b e d s   o c c & a m p ; g t ; \ C O L U M N & l t ; / K e y & g t ; & l t ; / a : K e y & g t ; & l t ; a : V a l u e   i : t y p e = " M e a s u r e G r i d B a s e V i e w S t a t e \ I D i a g r a m L i n k E n d p o i n t " / & g t ; & l t ; / a : K e y V a l u e O f D i a g r a m O b j e c t K e y a n y T y p e z b w N T n L X & g t ; & l t ; a : K e y V a l u e O f D i a g r a m O b j e c t K e y a n y T y p e z b w N T n L X & g t ; & l t ; a : K e y & g t ; & l t ; K e y & g t ; L i n k s \ & a m p ; l t ; C o l u m n s \ S u m   o f   A d u l t   C C   b e d s   o c c & a m p ; g t ; - & a m p ; l t ; M e a s u r e s \ A d u l t   C C   b e d s   o c c & a m p ; g t ; \ M E A S U R E & l t ; / K e y & g t ; & l t ; / a : K e y & g t ; & l t ; a : V a l u e   i : t y p e = " M e a s u r e G r i d B a s e V i e w S t a t e \ I D i a g r a m L i n k E n d p o i n t " / & g t ; & l t ; / a : K e y V a l u e O f D i a g r a m O b j e c t K e y a n y T y p e z b w N T n L X & g t ; & l t ; a : K e y V a l u e O f D i a g r a m O b j e c t K e y a n y T y p e z b w N T n L X & g t ; & l t ; a : K e y & g t ; & l t ; K e y & g t ; L i n k s \ & a m p ; l t ; C o l u m n s \ S u m   o f   P a e d   I n t   C a r e   A v a i l & a m p ; g t ; - & a m p ; l t ; M e a s u r e s \ P a e d   I n t   C a r e   A v a i l & a m p ; g t ; & l t ; / K e y & g t ; & l t ; / a : K e y & g t ; & l t ; a : V a l u e   i : t y p e = " M e a s u r e G r i d B a s e V i e w S t a t e \ I D i a g r a m L i n k " / & g t ; & l t ; / a : K e y V a l u e O f D i a g r a m O b j e c t K e y a n y T y p e z b w N T n L X & g t ; & l t ; a : K e y V a l u e O f D i a g r a m O b j e c t K e y a n y T y p e z b w N T n L X & g t ; & l t ; a : K e y & g t ; & l t ; K e y & g t ; L i n k s \ & a m p ; l t ; C o l u m n s \ S u m   o f   P a e d   I n t   C a r e   A v a i l & a m p ; g t ; - & a m p ; l t ; M e a s u r e s \ P a e d   I n t   C a r e   A v a i l & a m p ; g t ; \ C O L U M N & l t ; / K e y & g t ; & l t ; / a : K e y & g t ; & l t ; a : V a l u e   i : t y p e = " M e a s u r e G r i d B a s e V i e w S t a t e \ I D i a g r a m L i n k E n d p o i n t " / & g t ; & l t ; / a : K e y V a l u e O f D i a g r a m O b j e c t K e y a n y T y p e z b w N T n L X & g t ; & l t ; a : K e y V a l u e O f D i a g r a m O b j e c t K e y a n y T y p e z b w N T n L X & g t ; & l t ; a : K e y & g t ; & l t ; K e y & g t ; L i n k s \ & a m p ; l t ; C o l u m n s \ S u m   o f   P a e d   I n t   C a r e   A v a i l & a m p ; g t ; - & a m p ; l t ; M e a s u r e s \ P a e d   I n t   C a r e   A v a i l & a m p ; g t ; \ M E A S U R E & l t ; / K e y & g t ; & l t ; / a : K e y & g t ; & l t ; a : V a l u e   i : t y p e = " M e a s u r e G r i d B a s e V i e w S t a t e \ I D i a g r a m L i n k E n d p o i n t " / & g t ; & l t ; / a : K e y V a l u e O f D i a g r a m O b j e c t K e y a n y T y p e z b w N T n L X & g t ; & l t ; a : K e y V a l u e O f D i a g r a m O b j e c t K e y a n y T y p e z b w N T n L X & g t ; & l t ; a : K e y & g t ; & l t ; K e y & g t ; L i n k s \ & a m p ; l t ; C o l u m n s \ S u m   o f   P a e d   I n t   C a r e   O c c & a m p ; g t ; - & a m p ; l t ; M e a s u r e s \ P a e d   I n t   C a r e   O c c & a m p ; g t ; & l t ; / K e y & g t ; & l t ; / a : K e y & g t ; & l t ; a : V a l u e   i : t y p e = " M e a s u r e G r i d B a s e V i e w S t a t e \ I D i a g r a m L i n k " / & g t ; & l t ; / a : K e y V a l u e O f D i a g r a m O b j e c t K e y a n y T y p e z b w N T n L X & g t ; & l t ; a : K e y V a l u e O f D i a g r a m O b j e c t K e y a n y T y p e z b w N T n L X & g t ; & l t ; a : K e y & g t ; & l t ; K e y & g t ; L i n k s \ & a m p ; l t ; C o l u m n s \ S u m   o f   P a e d   I n t   C a r e   O c c & a m p ; g t ; - & a m p ; l t ; M e a s u r e s \ P a e d   I n t   C a r e   O c c & a m p ; g t ; \ C O L U M N & l t ; / K e y & g t ; & l t ; / a : K e y & g t ; & l t ; a : V a l u e   i : t y p e = " M e a s u r e G r i d B a s e V i e w S t a t e \ I D i a g r a m L i n k E n d p o i n t " / & g t ; & l t ; / a : K e y V a l u e O f D i a g r a m O b j e c t K e y a n y T y p e z b w N T n L X & g t ; & l t ; a : K e y V a l u e O f D i a g r a m O b j e c t K e y a n y T y p e z b w N T n L X & g t ; & l t ; a : K e y & g t ; & l t ; K e y & g t ; L i n k s \ & a m p ; l t ; C o l u m n s \ S u m   o f   P a e d   I n t   C a r e   O c c & a m p ; g t ; - & a m p ; l t ; M e a s u r e s \ P a e d   I n t   C a r e   O c c & a m p ; g t ; \ M E A S U R E & l t ; / K e y & g t ; & l t ; / a : K e y & g t ; & l t ; a : V a l u e   i : t y p e = " M e a s u r e G r i d B a s e V i e w S t a t e \ I D i a g r a m L i n k E n d p o i n t " / & g t ; & l t ; / a : K e y V a l u e O f D i a g r a m O b j e c t K e y a n y T y p e z b w N T n L X & g t ; & l t ; a : K e y V a l u e O f D i a g r a m O b j e c t K e y a n y T y p e z b w N T n L X & g t ; & l t ; a : K e y & g t ; & l t ; K e y & g t ; L i n k s \ & a m p ; l t ; C o l u m n s \ S u m   o f   N e o   I n t   C a r e   A v a i l & a m p ; g t ; - & a m p ; l t ; M e a s u r e s \ N e o   I n t   C a r e   A v a i l & a m p ; g t ; & l t ; / K e y & g t ; & l t ; / a : K e y & g t ; & l t ; a : V a l u e   i : t y p e = " M e a s u r e G r i d B a s e V i e w S t a t e \ I D i a g r a m L i n k " / & g t ; & l t ; / a : K e y V a l u e O f D i a g r a m O b j e c t K e y a n y T y p e z b w N T n L X & g t ; & l t ; a : K e y V a l u e O f D i a g r a m O b j e c t K e y a n y T y p e z b w N T n L X & g t ; & l t ; a : K e y & g t ; & l t ; K e y & g t ; L i n k s \ & a m p ; l t ; C o l u m n s \ S u m   o f   N e o   I n t   C a r e   A v a i l & a m p ; g t ; - & a m p ; l t ; M e a s u r e s \ N e o   I n t   C a r e   A v a i l & a m p ; g t ; \ C O L U M N & l t ; / K e y & g t ; & l t ; / a : K e y & g t ; & l t ; a : V a l u e   i : t y p e = " M e a s u r e G r i d B a s e V i e w S t a t e \ I D i a g r a m L i n k E n d p o i n t " / & g t ; & l t ; / a : K e y V a l u e O f D i a g r a m O b j e c t K e y a n y T y p e z b w N T n L X & g t ; & l t ; a : K e y V a l u e O f D i a g r a m O b j e c t K e y a n y T y p e z b w N T n L X & g t ; & l t ; a : K e y & g t ; & l t ; K e y & g t ; L i n k s \ & a m p ; l t ; C o l u m n s \ S u m   o f   N e o   I n t   C a r e   A v a i l & a m p ; g t ; - & a m p ; l t ; M e a s u r e s \ N e o   I n t   C a r e   A v a i l & a m p ; g t ; \ M E A S U R E & l t ; / K e y & g t ; & l t ; / a : K e y & g t ; & l t ; a : V a l u e   i : t y p e = " M e a s u r e G r i d B a s e V i e w S t a t e \ I D i a g r a m L i n k E n d p o i n t " / & g t ; & l t ; / a : K e y V a l u e O f D i a g r a m O b j e c t K e y a n y T y p e z b w N T n L X & g t ; & l t ; a : K e y V a l u e O f D i a g r a m O b j e c t K e y a n y T y p e z b w N T n L X & g t ; & l t ; a : K e y & g t ; & l t ; K e y & g t ; L i n k s \ & a m p ; l t ; C o l u m n s \ S u m   o f   N e o   I n t   C a r e   o c c & a m p ; g t ; - & a m p ; l t ; M e a s u r e s \ N e o   I n t   C a r e   o c c & a m p ; g t ; & l t ; / K e y & g t ; & l t ; / a : K e y & g t ; & l t ; a : V a l u e   i : t y p e = " M e a s u r e G r i d B a s e V i e w S t a t e \ I D i a g r a m L i n k " / & g t ; & l t ; / a : K e y V a l u e O f D i a g r a m O b j e c t K e y a n y T y p e z b w N T n L X & g t ; & l t ; a : K e y V a l u e O f D i a g r a m O b j e c t K e y a n y T y p e z b w N T n L X & g t ; & l t ; a : K e y & g t ; & l t ; K e y & g t ; L i n k s \ & a m p ; l t ; C o l u m n s \ S u m   o f   N e o   I n t   C a r e   o c c & a m p ; g t ; - & a m p ; l t ; M e a s u r e s \ N e o   I n t   C a r e   o c c & a m p ; g t ; \ C O L U M N & l t ; / K e y & g t ; & l t ; / a : K e y & g t ; & l t ; a : V a l u e   i : t y p e = " M e a s u r e G r i d B a s e V i e w S t a t e \ I D i a g r a m L i n k E n d p o i n t " / & g t ; & l t ; / a : K e y V a l u e O f D i a g r a m O b j e c t K e y a n y T y p e z b w N T n L X & g t ; & l t ; a : K e y V a l u e O f D i a g r a m O b j e c t K e y a n y T y p e z b w N T n L X & g t ; & l t ; a : K e y & g t ; & l t ; K e y & g t ; L i n k s \ & a m p ; l t ; C o l u m n s \ S u m   o f   N e o   I n t   C a r e   o c c & a m p ; g t ; - & a m p ; l t ; M e a s u r e s \ N e o   I n t   C a r e   o c c & a m p ; g t ; \ M E A S U R E & l t ; / K e y & g t ; & l t ; / a : K e y & g t ; & l t ; a : V a l u e   i : t y p e = " M e a s u r e G r i d B a s e V i e w S t a t e \ I D i a g r a m L i n k E n d p o i n t " / & g t ; & l t ; / a : K e y V a l u e O f D i a g r a m O b j e c t K e y a n y T y p e z b w N T n L X & g t ; & l t ; a : K e y V a l u e O f D i a g r a m O b j e c t K e y a n y T y p e z b w N T n L X & g t ; & l t ; a : K e y & g t ; & l t ; K e y & g t ; L i n k s \ & a m p ; l t ; C o l u m n s \ A v e r a g e   o f   N e o   I n t   C a r e   A v a i l & a m p ; g t ; - & a m p ; l t ; M e a s u r e s \ N e o   I n t   C a r e   A v a i l & a m p ; g t ; & l t ; / K e y & g t ; & l t ; / a : K e y & g t ; & l t ; a : V a l u e   i : t y p e = " M e a s u r e G r i d B a s e V i e w S t a t e \ I D i a g r a m L i n k " / & g t ; & l t ; / a : K e y V a l u e O f D i a g r a m O b j e c t K e y a n y T y p e z b w N T n L X & g t ; & l t ; a : K e y V a l u e O f D i a g r a m O b j e c t K e y a n y T y p e z b w N T n L X & g t ; & l t ; a : K e y & g t ; & l t ; K e y & g t ; L i n k s \ & a m p ; l t ; C o l u m n s \ A v e r a g e   o f   N e o   I n t   C a r e   A v a i l & a m p ; g t ; - & a m p ; l t ; M e a s u r e s \ N e o   I n t   C a r e   A v a i l & a m p ; g t ; \ C O L U M N & l t ; / K e y & g t ; & l t ; / a : K e y & g t ; & l t ; a : V a l u e   i : t y p e = " M e a s u r e G r i d B a s e V i e w S t a t e \ I D i a g r a m L i n k E n d p o i n t " / & g t ; & l t ; / a : K e y V a l u e O f D i a g r a m O b j e c t K e y a n y T y p e z b w N T n L X & g t ; & l t ; a : K e y V a l u e O f D i a g r a m O b j e c t K e y a n y T y p e z b w N T n L X & g t ; & l t ; a : K e y & g t ; & l t ; K e y & g t ; L i n k s \ & a m p ; l t ; C o l u m n s \ A v e r a g e   o f   N e o   I n t   C a r e   A v a i l & a m p ; g t ; - & a m p ; l t ; M e a s u r e s \ N e o   I n t   C a r e   A v a i l & a m p ; g t ; \ M E A S U R E & l t ; / K e y & g t ; & l t ; / a : K e y & g t ; & l t ; a : V a l u e   i : t y p e = " M e a s u r e G r i d B a s e V i e w S t a t e \ I D i a g r a m L i n k E n d p o i n t " / & g t ; & l t ; / a : K e y V a l u e O f D i a g r a m O b j e c t K e y a n y T y p e z b w N T n L X & g t ; & l t ; a : K e y V a l u e O f D i a g r a m O b j e c t K e y a n y T y p e z b w N T n L X & g t ; & l t ; a : K e y & g t ; & l t ; K e y & g t ; L i n k s \ & a m p ; l t ; C o l u m n s \ A v e r a g e   o f   N e o   I n t   C a r e   o c c & a m p ; g t ; - & a m p ; l t ; M e a s u r e s \ N e o   I n t   C a r e   o c c & a m p ; g t ; & l t ; / K e y & g t ; & l t ; / a : K e y & g t ; & l t ; a : V a l u e   i : t y p e = " M e a s u r e G r i d B a s e V i e w S t a t e \ I D i a g r a m L i n k " / & g t ; & l t ; / a : K e y V a l u e O f D i a g r a m O b j e c t K e y a n y T y p e z b w N T n L X & g t ; & l t ; a : K e y V a l u e O f D i a g r a m O b j e c t K e y a n y T y p e z b w N T n L X & g t ; & l t ; a : K e y & g t ; & l t ; K e y & g t ; L i n k s \ & a m p ; l t ; C o l u m n s \ A v e r a g e   o f   N e o   I n t   C a r e   o c c & a m p ; g t ; - & a m p ; l t ; M e a s u r e s \ N e o   I n t   C a r e   o c c & a m p ; g t ; \ C O L U M N & l t ; / K e y & g t ; & l t ; / a : K e y & g t ; & l t ; a : V a l u e   i : t y p e = " M e a s u r e G r i d B a s e V i e w S t a t e \ I D i a g r a m L i n k E n d p o i n t " / & g t ; & l t ; / a : K e y V a l u e O f D i a g r a m O b j e c t K e y a n y T y p e z b w N T n L X & g t ; & l t ; a : K e y V a l u e O f D i a g r a m O b j e c t K e y a n y T y p e z b w N T n L X & g t ; & l t ; a : K e y & g t ; & l t ; K e y & g t ; L i n k s \ & a m p ; l t ; C o l u m n s \ A v e r a g e   o f   N e o   I n t   C a r e   o c c & a m p ; g t ; - & a m p ; l t ; M e a s u r e s \ N e o   I n t   C a r e   o c c & a m p ; g t ; \ M E A S U R E & l t ; / K e y & g t ; & l t ; / a : K e y & g t ; & l t ; a : V a l u e   i : t y p e = " M e a s u r e G r i d B a s e V i e w S t a t e \ I D i a g r a m L i n k E n d p o i n t " / & g t ; & l t ; / a : K e y V a l u e O f D i a g r a m O b j e c t K e y a n y T y p e z b w N T n L X & g t ; & l t ; a : K e y V a l u e O f D i a g r a m O b j e c t K e y a n y T y p e z b w N T n L X & g t ; & l t ; a : K e y & g t ; & l t ; K e y & g t ; L i n k s \ & a m p ; l t ; C o l u m n s \ S u m   o f   G A   b e d   o c c u p a n c y & a m p ; g t ; - & a m p ; l t ; M e a s u r e s \ G A   b e d   o c c u p a n c y & a m p ; g t ; & l t ; / K e y & g t ; & l t ; / a : K e y & g t ; & l t ; a : V a l u e   i : t y p e = " M e a s u r e G r i d B a s e V i e w S t a t e \ I D i a g r a m L i n k " / & g t ; & l t ; / a : K e y V a l u e O f D i a g r a m O b j e c t K e y a n y T y p e z b w N T n L X & g t ; & l t ; a : K e y V a l u e O f D i a g r a m O b j e c t K e y a n y T y p e z b w N T n L X & g t ; & l t ; a : K e y & g t ; & l t ; K e y & g t ; L i n k s \ & a m p ; l t ; C o l u m n s \ S u m   o f   G A   b e d   o c c u p a n c y & a m p ; g t ; - & a m p ; l t ; M e a s u r e s \ G A   b e d   o c c u p a n c y & a m p ; g t ; \ C O L U M N & l t ; / K e y & g t ; & l t ; / a : K e y & g t ; & l t ; a : V a l u e   i : t y p e = " M e a s u r e G r i d B a s e V i e w S t a t e \ I D i a g r a m L i n k E n d p o i n t " / & g t ; & l t ; / a : K e y V a l u e O f D i a g r a m O b j e c t K e y a n y T y p e z b w N T n L X & g t ; & l t ; a : K e y V a l u e O f D i a g r a m O b j e c t K e y a n y T y p e z b w N T n L X & g t ; & l t ; a : K e y & g t ; & l t ; K e y & g t ; L i n k s \ & a m p ; l t ; C o l u m n s \ S u m   o f   G A   b e d   o c c u p a n c y & a m p ; g t ; - & a m p ; l t ; M e a s u r e s \ G A   b e d   o c c u p a n c y & a m p ; g t ; \ M E A S U R E & l t ; / K e y & g t ; & l t ; / a : K e y & g t ; & l t ; a : V a l u e   i : t y p e = " M e a s u r e G r i d B a s e V i e w S t a t e \ I D i a g r a m L i n k E n d p o i n t " / & g t ; & l t ; / a : K e y V a l u e O f D i a g r a m O b j e c t K e y a n y T y p e z b w N T n L X & g t ; & l t ; a : K e y V a l u e O f D i a g r a m O b j e c t K e y a n y T y p e z b w N T n L X & g t ; & l t ; a : K e y & g t ; & l t ; K e y & g t ; L i n k s \ & a m p ; l t ; C o l u m n s \ A v e r a g e   o f   G A   b e d   o c c u p a n c y & a m p ; g t ; - & a m p ; l t ; M e a s u r e s \ G A   b e d   o c c u p a n c y & a m p ; g t ; & l t ; / K e y & g t ; & l t ; / a : K e y & g t ; & l t ; a : V a l u e   i : t y p e = " M e a s u r e G r i d B a s e V i e w S t a t e \ I D i a g r a m L i n k " / & g t ; & l t ; / a : K e y V a l u e O f D i a g r a m O b j e c t K e y a n y T y p e z b w N T n L X & g t ; & l t ; a : K e y V a l u e O f D i a g r a m O b j e c t K e y a n y T y p e z b w N T n L X & g t ; & l t ; a : K e y & g t ; & l t ; K e y & g t ; L i n k s \ & a m p ; l t ; C o l u m n s \ A v e r a g e   o f   G A   b e d   o c c u p a n c y & a m p ; g t ; - & a m p ; l t ; M e a s u r e s \ G A   b e d   o c c u p a n c y & a m p ; g t ; \ C O L U M N & l t ; / K e y & g t ; & l t ; / a : K e y & g t ; & l t ; a : V a l u e   i : t y p e = " M e a s u r e G r i d B a s e V i e w S t a t e \ I D i a g r a m L i n k E n d p o i n t " / & g t ; & l t ; / a : K e y V a l u e O f D i a g r a m O b j e c t K e y a n y T y p e z b w N T n L X & g t ; & l t ; a : K e y V a l u e O f D i a g r a m O b j e c t K e y a n y T y p e z b w N T n L X & g t ; & l t ; a : K e y & g t ; & l t ; K e y & g t ; L i n k s \ & a m p ; l t ; C o l u m n s \ A v e r a g e   o f   G A   b e d   o c c u p a n c y & a m p ; g t ; - & a m p ; l t ; M e a s u r e s \ G A   b e d   o c c u p a n c y & a m p ; g t ; \ M E A S U R E & l t ; / K e y & g t ; & l t ; / a : K e y & g t ; & l t ; a : V a l u e   i : t y p e = " M e a s u r e G r i d B a s e V i e w S t a t e \ I D i a g r a m L i n k E n d p o i n t " / & g t ; & l t ; / a : K e y V a l u e O f D i a g r a m O b j e c t K e y a n y T y p e z b w N T n L X & g t ; & l t ; a : K e y V a l u e O f D i a g r a m O b j e c t K e y a n y T y p e z b w N T n L X & g t ; & l t ; a : K e y & g t ; & l t ; K e y & g t ; L i n k s \ & a m p ; l t ; C o l u m n s \ S u m   o f   G A   c o r e   b e d s   a v a i l & a m p ; g t ; - & a m p ; l t ; M e a s u r e s \ G A   c o r e   b e d s   a v a i l & a m p ; g t ; & l t ; / K e y & g t ; & l t ; / a : K e y & g t ; & l t ; a : V a l u e   i : t y p e = " M e a s u r e G r i d B a s e V i e w S t a t e \ I D i a g r a m L i n k " / & g t ; & l t ; / a : K e y V a l u e O f D i a g r a m O b j e c t K e y a n y T y p e z b w N T n L X & g t ; & l t ; a : K e y V a l u e O f D i a g r a m O b j e c t K e y a n y T y p e z b w N T n L X & g t ; & l t ; a : K e y & g t ; & l t ; K e y & g t ; L i n k s \ & a m p ; l t ; C o l u m n s \ S u m   o f   G A   c o r e   b e d s   a v a i l & a m p ; g t ; - & a m p ; l t ; M e a s u r e s \ G A   c o r e   b e d s   a v a i l & a m p ; g t ; \ C O L U M N & l t ; / K e y & g t ; & l t ; / a : K e y & g t ; & l t ; a : V a l u e   i : t y p e = " M e a s u r e G r i d B a s e V i e w S t a t e \ I D i a g r a m L i n k E n d p o i n t " / & g t ; & l t ; / a : K e y V a l u e O f D i a g r a m O b j e c t K e y a n y T y p e z b w N T n L X & g t ; & l t ; a : K e y V a l u e O f D i a g r a m O b j e c t K e y a n y T y p e z b w N T n L X & g t ; & l t ; a : K e y & g t ; & l t ; K e y & g t ; L i n k s \ & a m p ; l t ; C o l u m n s \ S u m   o f   G A   c o r e   b e d s   a v a i l & a m p ; g t ; - & a m p ; l t ; M e a s u r e s \ G A   c o r e   b e d s   a v a i l & a m p ; g t ; \ M E A S U R E & l t ; / K e y & g t ; & l t ; / a : K e y & g t ; & l t ; a : V a l u e   i : t y p e = " M e a s u r e G r i d B a s e V i e w S t a t e \ I D i a g r a m L i n k E n d p o i n t " / & g t ; & l t ; / a : K e y V a l u e O f D i a g r a m O b j e c t K e y a n y T y p e z b w N T n L X & g t ; & l t ; a : K e y V a l u e O f D i a g r a m O b j e c t K e y a n y T y p e z b w N T n L X & g t ; & l t ; a : K e y & g t ; & l t ; K e y & g t ; L i n k s \ & a m p ; l t ; C o l u m n s \ S u m   o f   G A   e s c a l a t i o n   b e d s   a v a i l & a m p ; g t ; - & a m p ; l t ; M e a s u r e s \ G A   e s c a l a t i o n   b e d s   a v a i l & a m p ; g t ; & l t ; / K e y & g t ; & l t ; / a : K e y & g t ; & l t ; a : V a l u e   i : t y p e = " M e a s u r e G r i d B a s e V i e w S t a t e \ I D i a g r a m L i n k " / & g t ; & l t ; / a : K e y V a l u e O f D i a g r a m O b j e c t K e y a n y T y p e z b w N T n L X & g t ; & l t ; a : K e y V a l u e O f D i a g r a m O b j e c t K e y a n y T y p e z b w N T n L X & g t ; & l t ; a : K e y & g t ; & l t ; K e y & g t ; L i n k s \ & a m p ; l t ; C o l u m n s \ S u m   o f   G A   e s c a l a t i o n   b e d s   a v a i l & a m p ; g t ; - & a m p ; l t ; M e a s u r e s \ G A   e s c a l a t i o n   b e d s   a v a i l & a m p ; g t ; \ C O L U M N & l t ; / K e y & g t ; & l t ; / a : K e y & g t ; & l t ; a : V a l u e   i : t y p e = " M e a s u r e G r i d B a s e V i e w S t a t e \ I D i a g r a m L i n k E n d p o i n t " / & g t ; & l t ; / a : K e y V a l u e O f D i a g r a m O b j e c t K e y a n y T y p e z b w N T n L X & g t ; & l t ; a : K e y V a l u e O f D i a g r a m O b j e c t K e y a n y T y p e z b w N T n L X & g t ; & l t ; a : K e y & g t ; & l t ; K e y & g t ; L i n k s \ & a m p ; l t ; C o l u m n s \ S u m   o f   G A   e s c a l a t i o n   b e d s   a v a i l & a m p ; g t ; - & a m p ; l t ; M e a s u r e s \ G A   e s c a l a t i o n   b e d s   a v a i l & a m p ; g t ; \ M E A S U R E & l t ; / K e y & g t ; & l t ; / a : K e y & g t ; & l t ; a : V a l u e   i : t y p e = " M e a s u r e G r i d B a s e V i e w S t a t e \ I D i a g r a m L i n k E n d p o i n t " / & g t ; & l t ; / a : K e y V a l u e O f D i a g r a m O b j e c t K e y a n y T y p e z b w N T n L X & g t ; & l t ; / V i e w S t a t e s & g t ; & l t ; / D i a g r a m M a n a g e r . S e r i a l i z a b l e D i a g r a m & g t ; & l t ; D i a g r a m M a n a g e r . S e r i a l i z a b l e D i a g r a m & g t ; & l t ; A d a p t e r   i : t y p e = " M e a s u r e D i a g r a m S a n d b o x A d a p t e r " & g t ; & l t ; T a b l e N a m e & g t ; W i n t e r   b e d   o c c   o v e r   1 4   d a y s & l t ; / T a b l e N a m e & g t ; & l t ; / A d a p t e r & g t ; & l t ; D i a g r a m T y p e & g t ; M e a s u r e D i a g r a m & l t ; / D i a g r a m T y p e & g t ; & l t ; D i s p l a y C o n t e x t 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 T a g s \ M e a s u r e & l t ; / K e y & g t ; & l t ; / M e a s u r e T a g K e y & g t ; & l t ; S h o w H i d d e n & g t ; t r u e & l t ; / S h o w H i d d e n & g t ; & l t ; V a l u e T a g K e y & g t ; & l t ; K e y & g t ; S t a t i c   T a g s \ V a l u e & l t ; / K e y & g t ; & l t ; / V a l u e T a g K e y & g t ; & l t ; / D i s p l a y C o n t e x t & g t ; & l t ; D i s p l a y T y p e & g t ; M e a s u r e G r i d & l t ; / D i s p l a y T y p e & g t ; & l t ; K e y   i : t y p e = " S a n d b o x E d i t o r M e a s u r e G r i d K e y " & g t ; & l t ; T a b l e N a m e & g t ; W i n t e r   b e d   o c c   o v e r   1 4   d a y s & l t ; / T a b l e N a m e & g t ; & l t ; / K e y & g t ; & l t ; M a i n t a i n e r 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 T a g s \ I s   r e a d o n l y & l t ; / K e y & g t ; & l t ; / D i a g r a m O b j e c t K e y & g t ; & l t ; D i a g r a m O b j e c t K e y & g t ; & l t ; K e y & g t ; M e a s u r e s \ S u m   o f   B e d s   o c c   o v e r   1 4   d a y s & l t ; / K e y & g t ; & l t ; / D i a g r a m O b j e c t K e y & g t ; & l t ; D i a g r a m O b j e c t K e y & g t ; & l t ; K e y & g t ; M e a s u r e s \ S u m   o f   B e d s   o c c   o v e r   1 4   d a y s \ T a g I n f o \ F o r m u l a & l t ; / K e y & g t ; & l t ; / D i a g r a m O b j e c t K e y & g t ; & l t ; D i a g r a m O b j e c t K e y & g t ; & l t ; K e y & g t ; M e a s u r e s \ S u m   o f   B e d s   o c c   o v e r   1 4   d a y s \ T a g I n f o \ V a l u e & l t ; / K e y & g t ; & l t ; / D i a g r a m O b j e c t K e y & g t ; & l t ; D i a g r a m O b j e c t K e y & g t ; & l t ; K e y & g t ; C o l u m n s \ R e g i o n & l t ; / K e y & g t ; & l t ; / D i a g r a m O b j e c t K e y & g t ; & l t ; D i a g r a m O b j e c t K e y & g t ; & l t ; K e y & g t ; C o l u m n s \ C o d e & l t ; / K e y & g t ; & l t ; / D i a g r a m O b j e c t K e y & g t ; & l t ; D i a g r a m O b j e c t K e y & g t ; & l t ; K e y & g t ; C o l u m n s \ N a m e & l t ; / K e y & g t ; & l t ; / D i a g r a m O b j e c t K e y & g t ; & l t ; D i a g r a m O b j e c t K e y & g t ; & l t ; K e y & g t ; C o l u m n s \ Y e a r & l t ; / K e y & g t ; & l t ; / D i a g r a m O b j e c t K e y & g t ; & l t ; D i a g r a m O b j e c t K e y & g t ; & l t ; K e y & g t ; C o l u m n s \ D a t e & l t ; / K e y & g t ; & l t ; / D i a g r a m O b j e c t K e y & g t ; & l t ; D i a g r a m O b j e c t K e y & g t ; & l t ; K e y & g t ; C o l u m n s \ W e e k & l t ; / K e y & g t ; & l t ; / D i a g r a m O b j e c t K e y & g t ; & l t ; D i a g r a m O b j e c t K e y & g t ; & l t ; K e y & g t ; C o l u m n s \ D a y & l t ; / K e y & g t ; & l t ; / D i a g r a m O b j e c t K e y & g t ; & l t ; D i a g r a m O b j e c t K e y & g t ; & l t ; K e y & g t ; C o l u m n s \ W e e k e n d & l t ; / K e y & g t ; & l t ; / D i a g r a m O b j e c t K e y & g t ; & l t ; D i a g r a m O b j e c t K e y & g t ; & l t ; K e y & g t ; C o l u m n s \ B a n k   h o l i d a y & l t ; / K e y & g t ; & l t ; / D i a g r a m O b j e c t K e y & g t ; & l t ; D i a g r a m O b j e c t K e y & g t ; & l t ; K e y & g t ; C o l u m n s \ A   E   c l o s u r e s & l t ; / K e y & g t ; & l t ; / D i a g r a m O b j e c t K e y & g t ; & l t ; D i a g r a m O b j e c t K e y & g t ; & l t ; K e y & g t ; C o l u m n s \ A   E   d i v e r t s & l t ; / K e y & g t ; & l t ; / D i a g r a m O b j e c t K e y & g t ; & l t ; D i a g r a m O b j e c t K e y & g t ; & l t ; K e y & g t ; C o l u m n s \ G   A   c o r e   b e d s   a v a i l & l t ; / K e y & g t ; & l t ; / D i a g r a m O b j e c t K e y & g t ; & l t ; D i a g r a m O b j e c t K e y & g t ; & l t ; K e y & g t ; C o l u m n s \ G   A   e s c a l a t i o n   b e d s   a v a i l & l t ; / K e y & g t ; & l t ; / D i a g r a m O b j e c t K e y & g t ; & l t ; D i a g r a m O b j e c t K e y & g t ; & l t ; K e y & g t ; C o l u m n s \ G   A   t o t a l   b e d s   a v a i l & l t ; / K e y & g t ; & l t ; / D i a g r a m O b j e c t K e y & g t ; & l t ; D i a g r a m O b j e c t K e y & g t ; & l t ; K e y & g t ; C o l u m n s \ G   A   t o t a l   b e d s   o c c u p i e d & l t ; / K e y & g t ; & l t ; / D i a g r a m O b j e c t K e y & g t ; & l t ; D i a g r a m O b j e c t K e y & g t ; & l t ; K e y & g t ; C o l u m n s \ B e d s   o c c   o v e r   7   d a y s & l t ; / K e y & g t ; & l t ; / D i a g r a m O b j e c t K e y & g t ; & l t ; D i a g r a m O b j e c t K e y & g t ; & l t ; K e y & g t ; C o l u m n s \ B e d s   o c c   o v e r   2 1   d a y s & l t ; / K e y & g t ; & l t ; / D i a g r a m O b j e c t K e y & g t ; & l t ; D i a g r a m O b j e c t K e y & g t ; & l t ; K e y & g t ; C o l u m n s \ B e d s   c l o s e d   n o r o v i r u s & l t ; / K e y & g t ; & l t ; / D i a g r a m O b j e c t K e y & g t ; & l t ; D i a g r a m O b j e c t K e y & g t ; & l t ; K e y & g t ; C o l u m n s \ B e d s   c l o s e d   n o r o v i u s   u n o c c & l t ; / K e y & g t ; & l t ; / D i a g r a m O b j e c t K e y & g t ; & l t ; D i a g r a m O b j e c t K e y & g t ; & l t ; K e y & g t ; C o l u m n s \ A d u l t   C C   b e d s   a v a i l & l t ; / K e y & g t ; & l t ; / D i a g r a m O b j e c t K e y & g t ; & l t ; D i a g r a m O b j e c t K e y & g t ; & l t ; K e y & g t ; C o l u m n s \ A d u l t   C C   b e d s   o c c & l t ; / K e y & g t ; & l t ; / D i a g r a m O b j e c t K e y & g t ; & l t ; D i a g r a m O b j e c t K e y & g t ; & l t ; K e y & g t ; C o l u m n s \ P a e d   I n t   C a r e   A v a i l & l t ; / K e y & g t ; & l t ; / D i a g r a m O b j e c t K e y & g t ; & l t ; D i a g r a m O b j e c t K e y & g t ; & l t ; K e y & g t ; C o l u m n s \ P a e d   I n t   C a r e   O c c & l t ; / K e y & g t ; & l t ; / D i a g r a m O b j e c t K e y & g t ; & l t ; D i a g r a m O b j e c t K e y & g t ; & l t ; K e y & g t ; C o l u m n s \ N e o   I n t   C a r e   A v a i l & l t ; / K e y & g t ; & l t ; / D i a g r a m O b j e c t K e y & g t ; & l t ; D i a g r a m O b j e c t K e y & g t ; & l t ; K e y & g t ; C o l u m n s \ N e o   I n t   C a r e   o c c & l t ; / K e y & g t ; & l t ; / D i a g r a m O b j e c t K e y & g t ; & l t ; D i a g r a m O b j e c t K e y & g t ; & l t ; K e y & g t ; C o l u m n s \ A m b   a r r i v a l s & l t ; / K e y & g t ; & l t ; / D i a g r a m O b j e c t K e y & g t ; & l t ; D i a g r a m O b j e c t K e y & g t ; & l t ; K e y & g t ; C o l u m n s \ A m b   d e l a y s   3 0 - 6 0   m i n s & l t ; / K e y & g t ; & l t ; / D i a g r a m O b j e c t K e y & g t ; & l t ; D i a g r a m O b j e c t K e y & g t ; & l t ; K e y & g t ; C o l u m n s \ A m b   d e l a y s   o v e r   6 0   m i n s & l t ; / K e y & g t ; & l t ; / D i a g r a m O b j e c t K e y & g t ; & l t ; D i a g r a m O b j e c t K e y & g t ; & l t ; K e y & g t ; C o l u m n s \ B e d s   o c c   o v e r   1 4   d a y s & l t ; / K e y & g t ; & l t ; / D i a g r a m O b j e c t K e y & g t ; & l t ; D i a g r a m O b j e c t K e y & g t ; & l t ; K e y & g t ; L i n k s \ & a m p ; l t ; C o l u m n s \ S u m   o f   B e d s   o c c   o v e r   1 4   d a y s & a m p ; g t ; - & a m p ; l t ; M e a s u r e s \ B e d s   o c c   o v e r   1 4   d a y s & a m p ; g t ; & l t ; / K e y & g t ; & l t ; / D i a g r a m O b j e c t K e y & g t ; & l t ; D i a g r a m O b j e c t K e y & g t ; & l t ; K e y & g t ; L i n k s \ & a m p ; l t ; C o l u m n s \ S u m   o f   B e d s   o c c   o v e r   1 4   d a y s & a m p ; g t ; - & a m p ; l t ; M e a s u r e s \ B e d s   o c c   o v e r   1 4   d a y s & a m p ; g t ; \ C O L U M N & l t ; / K e y & g t ; & l t ; / D i a g r a m O b j e c t K e y & g t ; & l t ; D i a g r a m O b j e c t K e y & g t ; & l t ; K e y & g t ; L i n k s \ & a m p ; l t ; C o l u m n s \ S u m   o f   B e d s   o c c   o v e r   1 4   d a y s & a m p ; g t ; - & a m p ; l t ; M e a s u r e s \ B e d s   o c c   o v e r   1 4   d a y s & 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B a s e V i e w S t a t e \ I D i a g r a m A c t i o n " / & g t ; & l t ; / a : K e y V a l u e O f D i a g r a m O b j e c t K e y a n y T y p e z b w N T n L X & g t ; & l t ; a : K e y V a l u e O f D i a g r a m O b j e c t K e y a n y T y p e z b w N T n L X & g t ; & l t ; a : K e y & g t ; & l t ; K e y & g t ; A c t i o n s \ C o n v e r t   t o   K P I & l t ; / K e y & g t ; & l t ; / a : K e y & g t ; & l t ; a : V a l u e   i : t y p e = " M e a s u r e G r i d B a s e V i e w S t a t e \ I D i a g r a m A c t i o n " / & g t ; & l t ; / a : K e y V a l u e O f D i a g r a m O b j e c t K e y a n y T y p e z b w N T n L X & g t ; & l t ; a : K e y V a l u e O f D i a g r a m O b j e c t K e y a n y T y p e z b w N T n L X & g t ; & l t ; a : K e y & g t ; & l t ; K e y & g t ; A c t i o n s \ E d i t   K P I & l t ; / K e y & g t ; & l t ; / a : K e y & g t ; & l t ; a : V a l u e   i : t y p e = " M e a s u r e G r i d B a s e V i e w S t a t e \ I D i a g r a m A c t i o n " / & g t ; & l t ; / a : K e y V a l u e O f D i a g r a m O b j e c t K e y a n y T y p e z b w N T n L X & g t ; & l t ; a : K e y V a l u e O f D i a g r a m O b j e c t K e y a n y T y p e z b w N T n L X & g t ; & l t ; a : K e y & g t ; & l t ; K e y & g t ; A c t i o n s \ R e m o v e   K P I & l t ; / K e y & g t ; & l t ; / a : K e y & g t ; & l t ; a : V a l u e   i : t y p e = " M e a s u r e G r i d B a s e V i e w S t a t e \ I D i a g r a m A c t i o n " / & g t ; & l t ; / a : K e y V a l u e O f D i a g r a m O b j e c t K e y a n y T y p e z b w N T n L X & g t ; & l t ; a : K e y V a l u e O f D i a g r a m O b j e c t K e y a n y T y p e z b w N T n L X & g t ; & l t ; a : K e y & g t ; & l t ; K e y & g t ; A c t i o n s \ C o p y   M e a s u r e & l t ; / K e y & g t ; & l t ; / a : K e y & g t ; & l t ; a : V a l u e   i : t y p e = " M e a s u r e G r i d B a s e V i e w S t a t e \ I D i a g r a m A c t i o n " / & g t ; & l t ; / a : K e y V a l u e O f D i a g r a m O b j e c t K e y a n y T y p e z b w N T n L X & g t ; & l t ; a : K e y V a l u e O f D i a g r a m O b j e c t K e y a n y T y p e z b w N T n L X & g t ; & l t ; a : K e y & g t ; & l t ; K e y & g t ; A c t i o n s \ A u t o M e a s u r e _ S u m & l t ; / K e y & g t ; & l t ; / a : K e y & g t ; & l t ; a : V a l u e   i : t y p e = " M e a s u r e G r i d B a s e V i e w S t a t e \ I D i a g r a m A c t i o n " / & g t ; & l t ; / a : K e y V a l u e O f D i a g r a m O b j e c t K e y a n y T y p e z b w N T n L X & g t ; & l t ; a : K e y V a l u e O f D i a g r a m O b j e c t K e y a n y T y p e z b w N T n L X & g t ; & l t ; a : K e y & g t ; & l t ; K e y & g t ; A c t i o n s \ A u t o M e a s u r e _ A v e r a g e & l t ; / K e y & g t ; & l t ; / a : K e y & g t ; & l t ; a : V a l u e   i : t y p e = " M e a s u r e G r i d B a s e V i e w S t a t e \ I D i a g r a m A c t i o n " / & g t ; & l t ; / a : K e y V a l u e O f D i a g r a m O b j e c t K e y a n y T y p e z b w N T n L X & g t ; & l t ; a : K e y V a l u e O f D i a g r a m O b j e c t K e y a n y T y p e z b w N T n L X & g t ; & l t ; a : K e y & g t ; & l t ; K e y & g t ; A c t i o n s \ A u t o M e a s u r e _ C o u n t & l t ; / K e y & g t ; & l t ; / a : K e y & g t ; & l t ; a : V a l u e   i : t y p e = " M e a s u r e G r i d B a s e V i e w S t a t e \ I D i a g r a m A c t i o n " / & g t ; & l t ; / a : K e y V a l u e O f D i a g r a m O b j e c t K e y a n y T y p e z b w N T n L X & g t ; & l t ; a : K e y V a l u e O f D i a g r a m O b j e c t K e y a n y T y p e z b w N T n L X & g t ; & l t ; a : K e y & g t ; & l t ; K e y & g t ; A c t i o n s \ A u t o M e a s u r e _ M a x & l t ; / K e y & g t ; & l t ; / a : K e y & g t ; & l t ; a : V a l u e   i : t y p e = " M e a s u r e G r i d B a s e V i e w S t a t e \ I D i a g r a m A c t i o n " / & g t ; & l t ; / a : K e y V a l u e O f D i a g r a m O b j e c t K e y a n y T y p e z b w N T n L X & g t ; & l t ; a : K e y V a l u e O f D i a g r a m O b j e c t K e y a n y T y p e z b w N T n L X & g t ; & l t ; a : K e y & g t ; & l t ; K e y & g t ; A c t i o n s \ A u t o M e a s u r e _ M i n & l t ; / K e y & g t ; & l t ; / a : K e y & g t ; & l t ; a : V a l u e   i : t y p e = " M e a s u r e G r i d B a s e V i e w S t a t e \ I D i a g r a m A c t i o n " / & g t ; & l t ; / a : K e y V a l u e O f D i a g r a m O b j e c t K e y a n y T y p e z b w N T n L X & g t ; & l t ; a : K e y V a l u e O f D i a g r a m O b j e c t K e y a n y T y p e z b w N T n L X & g t ; & l t ; a : K e y & g t ; & l t ; K e y & g t ; A c t i o n s \ A u t o M e a s u r e _ D i s t i n c t C o u n t & l t ; / K e y & g t ; & l t ; / a : K e y & g t ; & l t ; a : V a l u e   i : t y p e = " M e a s u r e G r i d B a s e V i e w S t a t e \ I D i a g r a m A c t i o n " / & g t ; & l t ; / a : K e y V a l u e O f D i a g r a m O b j e c t K e y a n y T y p e z b w N T n L X & g t ; & l t ; a : K e y V a l u e O f D i a g r a m O b j e c t K e y a n y T y p e z b w N T n L X & g t ; & l t ; a : K e y & g t ; & l t ; K e y & g t ; A c t i o n s \ E d i t & l t ; / K e y & g t ; & l t ; / a : K e y & g t ; & l t ; a : V a l u e   i : t y p e = " M e a s u r e G r i d B a s e V i e w S t a t e \ I D i a g r a m A c t i o n " / & g t ; & l t ; / a : K e y V a l u e O f D i a g r a m O b j e c t K e y a n y T y p e z b w N T n L X & g t ; & l t ; a : K e y V a l u e O f D i a g r a m O b j e c t K e y a n y T y p e z b w N T n L X & g t ; & l t ; a : K e y & g t ; & l t ; K e y & g t ; A c t i o n s \ C r e a t e & l t ; / K e y & g t ; & l t ; / a : K e y & g t ; & l t ; a : V a l u e   i : t y p e = " M e a s u r e G r i d B a s e V i e w S t a t e \ I D i a g r a m A c t i o n " / & g t ; & l t ; / a : K e y V a l u e O f D i a g r a m O b j e c t K e y a n y T y p e z b w N T n L X & g t ; & l t ; a : K e y V a l u e O f D i a g r a m O b j e c t K e y a n y T y p e z b w N T n L X & g t ; & l t ; a : K e y & g t ; & l t ; K e y & g t ; A c t i o n s \ F o r m a t & l t ; / K e y & g t ; & l t ; / a : K e y & g t ; & l t ; a : V a l u e   i : t y p e = " M e a s u r e G r i d B a s e V i e w S t a t e \ I D i a g r a m A c t i o n " / & g t ; & l t ; / a : K e y V a l u e O f D i a g r a m O b j e c t K e y a n y T y p e z b w N T n L X & g t ; & l t ; a : K e y V a l u e O f D i a g r a m O b j e c t K e y a n y T y p e z b w N T n L X & g t ; & l t ; a : K e y & g t ; & l t ; K e y & g t ; A c t i o n s \ E d i t   D e s c r i p t i o n & l t ; / K e y & g t ; & l t ; / a : K e y & g t ; & l t ; a : V a l u e   i : t y p e = " M e a s u r e G r i d B a s e V i e w S t a t e \ I D i a g r a m A c t i o n " / & g t ; & l t ; / a : K e y V a l u e O f D i a g r a m O b j e c t K e y a n y T y p e z b w N T n L X & g t ; & l t ; a : K e y V a l u e O f D i a g r a m O b j e c t K e y a n y T y p e z b w N T n L X & g t ; & l t ; a : K e y & g t ; & l t ; K e y & g t ; A c t i o n s \ H i d e   M e a s u r e s & l t ; / K e y & g t ; & l t ; / a : K e y & g t ; & l t ; a : V a l u e   i : t y p e = " M e a s u r e G r i d B a s e V i e w S t a t e \ I D i a g r a m A c t i o n " / & g t ; & l t ; / a : K e y V a l u e O f D i a g r a m O b j e c t K e y a n y T y p e z b w N T n L X & g t ; & l t ; a : K e y V a l u e O f D i a g r a m O b j e c t K e y a n y T y p e z b w N T n L X & g t ; & l t ; a : K e y & g t ; & l t ; K e y & g t ; A c t i o n s \ U n h i d e   M e a s u r e s & l t ; / K e y & g t ; & l t ; / a : K e y & g t ; & l t ; a : V a l u e   i : t y p e = " M e a s u r e G r i d B a s e V i e w S t a t e \ I D i a g r a m A c t i o n " / & g t ; & l t ; / a : K e y V a l u e O f D i a g r a m O b j e c t K e y a n y T y p e z b w N T n L X & g t ; & l t ; a : K e y V a l u e O f D i a g r a m O b j e c t K e y a n y T y p e z b w N T n L X & g t ; & l t ; a : K e y & g t ; & l t ; K e y & g t ; T a g G r o u p s \ T y p e s & l t ; / K e y & g t ; & l t ; / a : K e y & g t ; & l t ; a : V a l u e   i : t y p e = " M e a s u r e G r i d B a s e V i e w S t a t e \ I D i a g r a m T a g G r o u p " / & g t ; & l t ; / a : K e y V a l u e O f D i a g r a m O b j e c t K e y a n y T y p e z b w N T n L X & g t ; & l t ; a : K e y V a l u e O f D i a g r a m O b j e c t K e y a n y T y p e z b w N T n L X & g t ; & l t ; a : K e y & g t ; & l t ; K e y & g t ; T a g G r o u p s \ L i n k   T y p e s & l t ; / K e y & g t ; & l t ; / a : K e y & g t ; & l t ; a : V a l u e   i : t y p e = " M e a s u r e G r i d B a s e V i e w S t a t e \ I D i a g r a m T a g G r o u p " / & g t ; & l t ; / a : K e y V a l u e O f D i a g r a m O b j e c t K e y a n y T y p e z b w N T n L X & g t ; & l t ; a : K e y V a l u e O f D i a g r a m O b j e c t K e y a n y T y p e z b w N T n L X & g t ; & l t ; a : K e y & g t ; & l t ; K e y & g t ; T a g G r o u p s \ K P I & l t ; / K e y & g t ; & l t ; / a : K e y & g t ; & l t ; a : V a l u e   i : t y p e = " M e a s u r e G r i d B a s e V i e w S t a t e \ I D i a g r a m T a g G r o u p " / & g t ; & l t ; / a : K e y V a l u e O f D i a g r a m O b j e c t K e y a n y T y p e z b w N T n L X & g t ; & l t ; a : K e y V a l u e O f D i a g r a m O b j e c t K e y a n y T y p e z b w N T n L X & g t ; & l t ; a : K e y & g t ; & l t ; K e y & g t ; T a g G r o u p s \ E r r o r s & l t ; / K e y & g t ; & l t ; / a : K e y & g t ; & l t ; a : V a l u e   i : t y p e = " M e a s u r e G r i d B a s e V i e w S t a t e \ I D i a g r a m T a g G r o u p " / & g t ; & l t ; / a : K e y V a l u e O f D i a g r a m O b j e c t K e y a n y T y p e z b w N T n L X & g t ; & l t ; a : K e y V a l u e O f D i a g r a m O b j e c t K e y a n y T y p e z b w N T n L X & g t ; & l t ; a : K e y & g t ; & l t ; K e y & g t ; T a g G r o u p s \ V a l u e s   a n d   F o r m u l a s & l t ; / K e y & g t ; & l t ; / a : K e y & g t ; & l t ; a : V a l u e   i : t y p e = " M e a s u r e G r i d B a s e V i e w S t a t e \ I D i a g r a m T a g G r o u p " / & g t ; & l t ; / a : K e y V a l u e O f D i a g r a m O b j e c t K e y a n y T y p e z b w N T n L X & g t ; & l t ; a : K e y V a l u e O f D i a g r a m O b j e c t K e y a n y T y p e z b w N T n L X & g t ; & l t ; a : K e y & g t ; & l t ; K e y & g t ; T a g G r o u p s \ S t a t e & l t ; / K e y & g t ; & l t ; / a : K e y & g t ; & l t ; a : V a l u e   i : t y p e = " M e a s u r e G r i d B a s e V i e w S t a t e \ I D i a g r a m T a g G r o u p " / & g t ; & l t ; / a : K e y V a l u e O f D i a g r a m O b j e c t K e y a n y T y p e z b w N T n L X & g t ; & l t ; a : K e y V a l u e O f D i a g r a m O b j e c t K e y a n y T y p e z b w N T n L X & g t ; & l t ; a : K e y & g t ; & l t ; K e y & g t ; S t a t i c   T a g s \ C o l u m n & l t ; / K e y & g t ; & l t ; / a : K e y & g t ; & l t ; a : V a l u e   i : t y p e = " M e a s u r e G r i d B a s e V i e w S t a t e \ I D i a g r a m T a g " / & g t ; & l t ; / a : K e y V a l u e O f D i a g r a m O b j e c t K e y a n y T y p e z b w N T n L X & g t ; & l t ; a : K e y V a l u e O f D i a g r a m O b j e c t K e y a n y T y p e z b w N T n L X & g t ; & l t ; a : K e y & g t ; & l t ; K e y & g t ; S t a t i c   T a g s \ M e a s u r e & l t ; / K e y & g t ; & l t ; / a : K e y & g t ; & l t ; a : V a l u e   i : t y p e = " M e a s u r e G r i d B a s e V i e w S t a t e \ I D i a g r a m T a g " / & g t ; & l t ; / a : K e y V a l u e O f D i a g r a m O b j e c t K e y a n y T y p e z b w N T n L X & g t ; & l t ; a : K e y V a l u e O f D i a g r a m O b j e c t K e y a n y T y p e z b w N T n L X & g t ; & l t ; a : K e y & g t ; & l t ; K e y & g t ; S t a t i c   T a g s \ I m p l i c i t   M e a s u r e   a n d   S o u r c e   C o l u m n   L i n k & l t ; / K e y & g t ; & l t ; / a : K e y & g t ; & l t ; a : V a l u e   i : t y p e = " M e a s u r e G r i d B a s e V i e w S t a t e \ I D i a g r a m T a g " / & g t ; & l t ; / a : K e y V a l u e O f D i a g r a m O b j e c t K e y a n y T y p e z b w N T n L X & g t ; & l t ; a : K e y V a l u e O f D i a g r a m O b j e c t K e y a n y T y p e z b w N T n L X & g t ; & l t ; a : K e y & g t ; & l t ; K e y & g t ; S t a t i c   T a g s \ K P I & l t ; / K e y & g t ; & l t ; / a : K e y & g t ; & l t ; a : V a l u e   i : t y p e = " M e a s u r e G r i d B a s e V i e w S t a t e \ I D i a g r a m T a g " / & g t ; & l t ; / a : K e y V a l u e O f D i a g r a m O b j e c t K e y a n y T y p e z b w N T n L X & g t ; & l t ; a : K e y V a l u e O f D i a g r a m O b j e c t K e y a n y T y p e z b w N T n L X & g t ; & l t ; a : K e y & g t ; & l t ; K e y & g t ; S t a t i c   T a g s \ S e m a n t i c   E r r o r & l t ; / K e y & g t ; & l t ; / a : K e y & g t ; & l t ; a : V a l u e   i : t y p e = " M e a s u r e G r i d B a s e V i e w S t a t e \ I D i a g r a m T a g " / & g t ; & l t ; / a : K e y V a l u e O f D i a g r a m O b j e c t K e y a n y T y p e z b w N T n L X & g t ; & l t ; a : K e y V a l u e O f D i a g r a m O b j e c t K e y a n y T y p e z b w N T n L X & g t ; & l t ; a : K e y & g t ; & l t ; K e y & g t ; S t a t i c   T a g s \ C a l c u l a t i o n   E r r o r & l t ; / K e y & g t ; & l t ; / a : K e y & g t ; & l t ; a : V a l u e   i : t y p e = " M e a s u r e G r i d B a s e V i e w S t a t e \ I D i a g r a m T a g " / & g t ; & l t ; / a : K e y V a l u e O f D i a g r a m O b j e c t K e y a n y T y p e z b w N T n L X & g t ; & l t ; a : K e y V a l u e O f D i a g r a m O b j e c t K e y a n y T y p e z b w N T n L X & g t ; & l t ; a : K e y & g t ; & l t ; K e y & g t ; S t a t i c   T a g s \ V a l u e & l t ; / K e y & g t ; & l t ; / a : K e y & g t ; & l t ; a : V a l u e   i : t y p e = " M e a s u r e G r i d B a s e V i e w S t a t e \ I D i a g r a m T a g " / & g t ; & l t ; / a : K e y V a l u e O f D i a g r a m O b j e c t K e y a n y T y p e z b w N T n L X & g t ; & l t ; a : K e y V a l u e O f D i a g r a m O b j e c t K e y a n y T y p e z b w N T n L X & g t ; & l t ; a : K e y & g t ; & l t ; K e y & g t ; S t a t i c   T a g s \ F o r m u l a & l t ; / K e y & g t ; & l t ; / a : K e y & g t ; & l t ; a : V a l u e   i : t y p e = " M e a s u r e G r i d B a s e V i e w S t a t e \ I D i a g r a m T a g " / & g t ; & l t ; / a : K e y V a l u e O f D i a g r a m O b j e c t K e y a n y T y p e z b w N T n L X & g t ; & l t ; a : K e y V a l u e O f D i a g r a m O b j e c t K e y a n y T y p e z b w N T n L X & g t ; & l t ; a : K e y & g t ; & l t ; K e y & g t ; S t a t i c   T a g s \ E v a l u a t i o n   i n   p r o g r e s s & l t ; / K e y & g t ; & l t ; / a : K e y & g t ; & l t ; a : V a l u e   i : t y p e = " M e a s u r e G r i d B a s e V i e w S t a t e \ I D i a g r a m T a g " / & g t ; & l t ; / a : K e y V a l u e O f D i a g r a m O b j e c t K e y a n y T y p e z b w N T n L X & g t ; & l t ; a : K e y V a l u e O f D i a g r a m O b j e c t K e y a n y T y p e z b w N T n L X & g t ; & l t ; a : K e y & g t ; & l t ; K e y & g t ; S t a t i c   T a g s \ I s   i m p l i c i t   m e a s u r e & l t ; / K e y & g t ; & l t ; / a : K e y & g t ; & l t ; a : V a l u e   i : t y p e = " M e a s u r e G r i d B a s e V i e w S t a t e \ I D i a g r a m T a g " / & g t ; & l t ; / a : K e y V a l u e O f D i a g r a m O b j e c t K e y a n y T y p e z b w N T n L X & g t ; & l t ; a : K e y V a l u e O f D i a g r a m O b j e c t K e y a n y T y p e z b w N T n L X & g t ; & l t ; a : K e y & g t ; & l t ; K e y & g t ; S t a t i c   T a g s \ H i d d e n & l t ; / K e y & g t ; & l t ; / a : K e y & g t ; & l t ; a : V a l u e   i : t y p e = " M e a s u r e G r i d B a s e V i e w S t a t e \ I D i a g r a m T a g " / & g t ; & l t ; / a : K e y V a l u e O f D i a g r a m O b j e c t K e y a n y T y p e z b w N T n L X & g t ; & l t ; a : K e y V a l u e O f D i a g r a m O b j e c t K e y a n y T y p e z b w N T n L X & g t ; & l t ; a : K e y & g t ; & l t ; K e y & g t ; S t a t i c   T a g s \ I s   r e a d o n l y & l t ; / K e y & g t ; & l t ; / a : K e y & g t ; & l t ; a : V a l u e   i : t y p e = " M e a s u r e G r i d B a s e V i e w S t a t e \ I D i a g r a m T a g " / & g t ; & l t ; / a : K e y V a l u e O f D i a g r a m O b j e c t K e y a n y T y p e z b w N T n L X & g t ; & l t ; a : K e y V a l u e O f D i a g r a m O b j e c t K e y a n y T y p e z b w N T n L X & g t ; & l t ; a : K e y & g t ; & l t ; K e y & g t ; M e a s u r e s \ S u m   o f   B e d s   o c c   o v e r   1 4   d a y s & l t ; / K e y & g t ; & l t ; / a : K e y & g t ; & l t ; a : V a l u e   i : t y p e = " M e a s u r e G r i d N o d e V i e w S t a t e " & g t ; & l t ; C o l u m n & g t ; 2 8 & l t ; / C o l u m n & g t ; & l t ; L a y e d O u t & g t ; t r u e & l t ; / L a y e d O u t & g t ; & l t ; W a s U I I n v i s i b l e & g t ; t r u e & l t ; / W a s U I I n v i s i b l e & g t ; & l t ; / a : V a l u e & g t ; & l t ; / a : K e y V a l u e O f D i a g r a m O b j e c t K e y a n y T y p e z b w N T n L X & g t ; & l t ; a : K e y V a l u e O f D i a g r a m O b j e c t K e y a n y T y p e z b w N T n L X & g t ; & l t ; a : K e y & g t ; & l t ; K e y & g t ; M e a s u r e s \ S u m   o f   B e d s   o c c   o v e r   1 4   d a y s \ T a g I n f o \ F o r m u l a & l t ; / K e y & g t ; & l t ; / a : K e y & g t ; & l t ; a : V a l u e   i : t y p e = " M e a s u r e G r i d B a s e V i e w S t a t e \ I D i a g r a m T a g A d d i t i o n a l I n f o " / & g t ; & l t ; / a : K e y V a l u e O f D i a g r a m O b j e c t K e y a n y T y p e z b w N T n L X & g t ; & l t ; a : K e y V a l u e O f D i a g r a m O b j e c t K e y a n y T y p e z b w N T n L X & g t ; & l t ; a : K e y & g t ; & l t ; K e y & g t ; M e a s u r e s \ S u m   o f   B e d s   o c c   o v e r   1 4   d a y s \ T a g I n f o \ V a l u e & l t ; / K e y & g t ; & l t ; / a : K e y & g t ; & l t ; a : V a l u e   i : t y p e = " M e a s u r e G r i d B a s e V i e w S t a t e \ I D i a g r a m T a g A d d i t i o n a l I n f o " / & g t ; & l t ; / a : K e y V a l u e O f D i a g r a m O b j e c t K e y a n y T y p e z b w N T n L X & g t ; & l t ; a : K e y V a l u e O f D i a g r a m O b j e c t K e y a n y T y p e z b w N T n L X & g t ; & l t ; a : K e y & g t ; & l t ; K e y & g t ; C o l u m n s \ R e g i o n & l t ; / K e y & g t ; & l t ; / a : K e y & g t ; & l t ; a : V a l u e   i : t y p e = " M e a s u r e G r i d N o d e V i e w S t a t e " & g t ; & l t ; L a y e d O u t & g t ; t r u e & l t ; / L a y e d O u t & g t ; & l t ; / a : V a l u e & g t ; & l t ; / a : K e y V a l u e O f D i a g r a m O b j e c t K e y a n y T y p e z b w N T n L X & g t ; & l t ; a : K e y V a l u e O f D i a g r a m O b j e c t K e y a n y T y p e z b w N T n L X & g t ; & l t ; a : K e y & g t ; & l t ; K e y & g t ; C o l u m n s \ C o d e & l t ; / K e y & g t ; & l t ; / a : K e y & g t ; & l t ; a : V a l u e   i : t y p e = " M e a s u r e G r i d N o d e V i e w S t a t e " & g t ; & l t ; C o l u m n & g t ; 1 & l t ; / C o l u m n & g t ; & l t ; L a y e d O u t & g t ; t r u e & l t ; / L a y e d O u t & g t ; & l t ; / a : V a l u e & g t ; & l t ; / a : K e y V a l u e O f D i a g r a m O b j e c t K e y a n y T y p e z b w N T n L X & g t ; & l t ; a : K e y V a l u e O f D i a g r a m O b j e c t K e y a n y T y p e z b w N T n L X & g t ; & l t ; a : K e y & g t ; & l t ; K e y & g t ; C o l u m n s \ N a m e & l t ; / K e y & g t ; & l t ; / a : K e y & g t ; & l t ; a : V a l u e   i : t y p e = " M e a s u r e G r i d N o d e V i e w S t a t e " & g t ; & l t ; C o l u m n & g t ; 2 & l t ; / C o l u m n & g t ; & l t ; L a y e d O u t & g t ; t r u e & l t ; / L a y e d O u t & g t ; & l t ; / a : V a l u e & g t ; & l t ; / a : K e y V a l u e O f D i a g r a m O b j e c t K e y a n y T y p e z b w N T n L X & g t ; & l t ; a : K e y V a l u e O f D i a g r a m O b j e c t K e y a n y T y p e z b w N T n L X & g t ; & l t ; a : K e y & g t ; & l t ; K e y & g t ; C o l u m n s \ Y e a r & l t ; / K e y & g t ; & l t ; / a : K e y & g t ; & l t ; a : V a l u e   i : t y p e = " M e a s u r e G r i d N o d e V i e w S t a t e " & g t ; & l t ; C o l u m n & g t ; 3 & l t ; / C o l u m n & g t ; & l t ; L a y e d O u t & g t ; t r u e & l t ; / L a y e d O u t & g t ; & l t ; / a : V a l u e & g t ; & l t ; / a : K e y V a l u e O f D i a g r a m O b j e c t K e y a n y T y p e z b w N T n L X & g t ; & l t ; a : K e y V a l u e O f D i a g r a m O b j e c t K e y a n y T y p e z b w N T n L X & g t ; & l t ; a : K e y & g t ; & l t ; K e y & g t ; C o l u m n s \ D a t e & l t ; / K e y & g t ; & l t ; / a : K e y & g t ; & l t ; a : V a l u e   i : t y p e = " M e a s u r e G r i d N o d e V i e w S t a t e " & g t ; & l t ; C o l u m n & g t ; 4 & l t ; / C o l u m n & g t ; & l t ; L a y e d O u t & g t ; t r u e & l t ; / L a y e d O u t & g t ; & l t ; / a : V a l u e & g t ; & l t ; / a : K e y V a l u e O f D i a g r a m O b j e c t K e y a n y T y p e z b w N T n L X & g t ; & l t ; a : K e y V a l u e O f D i a g r a m O b j e c t K e y a n y T y p e z b w N T n L X & g t ; & l t ; a : K e y & g t ; & l t ; K e y & g t ; C o l u m n s \ W e e k & l t ; / K e y & g t ; & l t ; / a : K e y & g t ; & l t ; a : V a l u e   i : t y p e = " M e a s u r e G r i d N o d e V i e w S t a t e " & g t ; & l t ; C o l u m n & g t ; 5 & l t ; / C o l u m n & g t ; & l t ; L a y e d O u t & g t ; t r u e & l t ; / L a y e d O u t & g t ; & l t ; / a : V a l u e & g t ; & l t ; / a : K e y V a l u e O f D i a g r a m O b j e c t K e y a n y T y p e z b w N T n L X & g t ; & l t ; a : K e y V a l u e O f D i a g r a m O b j e c t K e y a n y T y p e z b w N T n L X & g t ; & l t ; a : K e y & g t ; & l t ; K e y & g t ; C o l u m n s \ D a y & l t ; / K e y & g t ; & l t ; / a : K e y & g t ; & l t ; a : V a l u e   i : t y p e = " M e a s u r e G r i d N o d e V i e w S t a t e " & g t ; & l t ; C o l u m n & g t ; 6 & l t ; / C o l u m n & g t ; & l t ; L a y e d O u t & g t ; t r u e & l t ; / L a y e d O u t & g t ; & l t ; / a : V a l u e & g t ; & l t ; / a : K e y V a l u e O f D i a g r a m O b j e c t K e y a n y T y p e z b w N T n L X & g t ; & l t ; a : K e y V a l u e O f D i a g r a m O b j e c t K e y a n y T y p e z b w N T n L X & g t ; & l t ; a : K e y & g t ; & l t ; K e y & g t ; C o l u m n s \ W e e k e n d & l t ; / K e y & g t ; & l t ; / a : K e y & g t ; & l t ; a : V a l u e   i : t y p e = " M e a s u r e G r i d N o d e V i e w S t a t e " & g t ; & l t ; C o l u m n & g t ; 7 & l t ; / C o l u m n & g t ; & l t ; L a y e d O u t & g t ; t r u e & l t ; / L a y e d O u t & g t ; & l t ; / a : V a l u e & g t ; & l t ; / a : K e y V a l u e O f D i a g r a m O b j e c t K e y a n y T y p e z b w N T n L X & g t ; & l t ; a : K e y V a l u e O f D i a g r a m O b j e c t K e y a n y T y p e z b w N T n L X & g t ; & l t ; a : K e y & g t ; & l t ; K e y & g t ; C o l u m n s \ B a n k   h o l i d a y & l t ; / K e y & g t ; & l t ; / a : K e y & g t ; & l t ; a : V a l u e   i : t y p e = " M e a s u r e G r i d N o d e V i e w S t a t e " & g t ; & l t ; C o l u m n & g t ; 8 & l t ; / C o l u m n & g t ; & l t ; L a y e d O u t & g t ; t r u e & l t ; / L a y e d O u t & g t ; & l t ; / a : V a l u e & g t ; & l t ; / a : K e y V a l u e O f D i a g r a m O b j e c t K e y a n y T y p e z b w N T n L X & g t ; & l t ; a : K e y V a l u e O f D i a g r a m O b j e c t K e y a n y T y p e z b w N T n L X & g t ; & l t ; a : K e y & g t ; & l t ; K e y & g t ; C o l u m n s \ A   E   c l o s u r e s & l t ; / K e y & g t ; & l t ; / a : K e y & g t ; & l t ; a : V a l u e   i : t y p e = " M e a s u r e G r i d N o d e V i e w S t a t e " & g t ; & l t ; C o l u m n & g t ; 9 & l t ; / C o l u m n & g t ; & l t ; L a y e d O u t & g t ; t r u e & l t ; / L a y e d O u t & g t ; & l t ; / a : V a l u e & g t ; & l t ; / a : K e y V a l u e O f D i a g r a m O b j e c t K e y a n y T y p e z b w N T n L X & g t ; & l t ; a : K e y V a l u e O f D i a g r a m O b j e c t K e y a n y T y p e z b w N T n L X & g t ; & l t ; a : K e y & g t ; & l t ; K e y & g t ; C o l u m n s \ A   E   d i v e r t s & l t ; / K e y & g t ; & l t ; / a : K e y & g t ; & l t ; a : V a l u e   i : t y p e = " M e a s u r e G r i d N o d e V i e w S t a t e " & g t ; & l t ; C o l u m n & g t ; 1 0 & l t ; / C o l u m n & g t ; & l t ; L a y e d O u t & g t ; t r u e & l t ; / L a y e d O u t & g t ; & l t ; / a : V a l u e & g t ; & l t ; / a : K e y V a l u e O f D i a g r a m O b j e c t K e y a n y T y p e z b w N T n L X & g t ; & l t ; a : K e y V a l u e O f D i a g r a m O b j e c t K e y a n y T y p e z b w N T n L X & g t ; & l t ; a : K e y & g t ; & l t ; K e y & g t ; C o l u m n s \ G   A   c o r e   b e d s   a v a i l & l t ; / K e y & g t ; & l t ; / a : K e y & g t ; & l t ; a : V a l u e   i : t y p e = " M e a s u r e G r i d N o d e V i e w S t a t e " & g t ; & l t ; C o l u m n & g t ; 1 1 & l t ; / C o l u m n & g t ; & l t ; L a y e d O u t & g t ; t r u e & l t ; / L a y e d O u t & g t ; & l t ; / a : V a l u e & g t ; & l t ; / a : K e y V a l u e O f D i a g r a m O b j e c t K e y a n y T y p e z b w N T n L X & g t ; & l t ; a : K e y V a l u e O f D i a g r a m O b j e c t K e y a n y T y p e z b w N T n L X & g t ; & l t ; a : K e y & g t ; & l t ; K e y & g t ; C o l u m n s \ G   A   e s c a l a t i o n   b e d s   a v a i l & l t ; / K e y & g t ; & l t ; / a : K e y & g t ; & l t ; a : V a l u e   i : t y p e = " M e a s u r e G r i d N o d e V i e w S t a t e " & g t ; & l t ; C o l u m n & g t ; 1 2 & l t ; / C o l u m n & g t ; & l t ; L a y e d O u t & g t ; t r u e & l t ; / L a y e d O u t & g t ; & l t ; / a : V a l u e & g t ; & l t ; / a : K e y V a l u e O f D i a g r a m O b j e c t K e y a n y T y p e z b w N T n L X & g t ; & l t ; a : K e y V a l u e O f D i a g r a m O b j e c t K e y a n y T y p e z b w N T n L X & g t ; & l t ; a : K e y & g t ; & l t ; K e y & g t ; C o l u m n s \ G   A   t o t a l   b e d s   a v a i l & l t ; / K e y & g t ; & l t ; / a : K e y & g t ; & l t ; a : V a l u e   i : t y p e = " M e a s u r e G r i d N o d e V i e w S t a t e " & g t ; & l t ; C o l u m n & g t ; 1 3 & l t ; / C o l u m n & g t ; & l t ; L a y e d O u t & g t ; t r u e & l t ; / L a y e d O u t & g t ; & l t ; / a : V a l u e & g t ; & l t ; / a : K e y V a l u e O f D i a g r a m O b j e c t K e y a n y T y p e z b w N T n L X & g t ; & l t ; a : K e y V a l u e O f D i a g r a m O b j e c t K e y a n y T y p e z b w N T n L X & g t ; & l t ; a : K e y & g t ; & l t ; K e y & g t ; C o l u m n s \ G   A   t o t a l   b e d s   o c c u p i e d & l t ; / K e y & g t ; & l t ; / a : K e y & g t ; & l t ; a : V a l u e   i : t y p e = " M e a s u r e G r i d N o d e V i e w S t a t e " & g t ; & l t ; C o l u m n & g t ; 1 4 & l t ; / C o l u m n & g t ; & l t ; L a y e d O u t & g t ; t r u e & l t ; / L a y e d O u t & g t ; & l t ; / a : V a l u e & g t ; & l t ; / a : K e y V a l u e O f D i a g r a m O b j e c t K e y a n y T y p e z b w N T n L X & g t ; & l t ; a : K e y V a l u e O f D i a g r a m O b j e c t K e y a n y T y p e z b w N T n L X & g t ; & l t ; a : K e y & g t ; & l t ; K e y & g t ; C o l u m n s \ B e d s   o c c   o v e r   7   d a y s & l t ; / K e y & g t ; & l t ; / a : K e y & g t ; & l t ; a : V a l u e   i : t y p e = " M e a s u r e G r i d N o d e V i e w S t a t e " & g t ; & l t ; C o l u m n & g t ; 1 5 & l t ; / C o l u m n & g t ; & l t ; L a y e d O u t & g t ; t r u e & l t ; / L a y e d O u t & g t ; & l t ; / a : V a l u e & g t ; & l t ; / a : K e y V a l u e O f D i a g r a m O b j e c t K e y a n y T y p e z b w N T n L X & g t ; & l t ; a : K e y V a l u e O f D i a g r a m O b j e c t K e y a n y T y p e z b w N T n L X & g t ; & l t ; a : K e y & g t ; & l t ; K e y & g t ; C o l u m n s \ B e d s   o c c   o v e r   2 1   d a y s & l t ; / K e y & g t ; & l t ; / a : K e y & g t ; & l t ; a : V a l u e   i : t y p e = " M e a s u r e G r i d N o d e V i e w S t a t e " & g t ; & l t ; C o l u m n & g t ; 1 6 & l t ; / C o l u m n & g t ; & l t ; L a y e d O u t & g t ; t r u e & l t ; / L a y e d O u t & g t ; & l t ; / a : V a l u e & g t ; & l t ; / a : K e y V a l u e O f D i a g r a m O b j e c t K e y a n y T y p e z b w N T n L X & g t ; & l t ; a : K e y V a l u e O f D i a g r a m O b j e c t K e y a n y T y p e z b w N T n L X & g t ; & l t ; a : K e y & g t ; & l t ; K e y & g t ; C o l u m n s \ B e d s   c l o s e d   n o r o v i r u s & l t ; / K e y & g t ; & l t ; / a : K e y & g t ; & l t ; a : V a l u e   i : t y p e = " M e a s u r e G r i d N o d e V i e w S t a t e " & g t ; & l t ; C o l u m n & g t ; 1 7 & l t ; / C o l u m n & g t ; & l t ; L a y e d O u t & g t ; t r u e & l t ; / L a y e d O u t & g t ; & l t ; / a : V a l u e & g t ; & l t ; / a : K e y V a l u e O f D i a g r a m O b j e c t K e y a n y T y p e z b w N T n L X & g t ; & l t ; a : K e y V a l u e O f D i a g r a m O b j e c t K e y a n y T y p e z b w N T n L X & g t ; & l t ; a : K e y & g t ; & l t ; K e y & g t ; C o l u m n s \ B e d s   c l o s e d   n o r o v i u s   u n o c c & l t ; / K e y & g t ; & l t ; / a : K e y & g t ; & l t ; a : V a l u e   i : t y p e = " M e a s u r e G r i d N o d e V i e w S t a t e " & g t ; & l t ; C o l u m n & g t ; 1 8 & l t ; / C o l u m n & g t ; & l t ; L a y e d O u t & g t ; t r u e & l t ; / L a y e d O u t & g t ; & l t ; / a : V a l u e & g t ; & l t ; / a : K e y V a l u e O f D i a g r a m O b j e c t K e y a n y T y p e z b w N T n L X & g t ; & l t ; a : K e y V a l u e O f D i a g r a m O b j e c t K e y a n y T y p e z b w N T n L X & g t ; & l t ; a : K e y & g t ; & l t ; K e y & g t ; C o l u m n s \ A d u l t   C C   b e d s   a v a i l & l t ; / K e y & g t ; & l t ; / a : K e y & g t ; & l t ; a : V a l u e   i : t y p e = " M e a s u r e G r i d N o d e V i e w S t a t e " & g t ; & l t ; C o l u m n & g t ; 1 9 & l t ; / C o l u m n & g t ; & l t ; L a y e d O u t & g t ; t r u e & l t ; / L a y e d O u t & g t ; & l t ; / a : V a l u e & g t ; & l t ; / a : K e y V a l u e O f D i a g r a m O b j e c t K e y a n y T y p e z b w N T n L X & g t ; & l t ; a : K e y V a l u e O f D i a g r a m O b j e c t K e y a n y T y p e z b w N T n L X & g t ; & l t ; a : K e y & g t ; & l t ; K e y & g t ; C o l u m n s \ A d u l t   C C   b e d s   o c c & l t ; / K e y & g t ; & l t ; / a : K e y & g t ; & l t ; a : V a l u e   i : t y p e = " M e a s u r e G r i d N o d e V i e w S t a t e " & g t ; & l t ; C o l u m n & g t ; 2 0 & l t ; / C o l u m n & g t ; & l t ; L a y e d O u t & g t ; t r u e & l t ; / L a y e d O u t & g t ; & l t ; / a : V a l u e & g t ; & l t ; / a : K e y V a l u e O f D i a g r a m O b j e c t K e y a n y T y p e z b w N T n L X & g t ; & l t ; a : K e y V a l u e O f D i a g r a m O b j e c t K e y a n y T y p e z b w N T n L X & g t ; & l t ; a : K e y & g t ; & l t ; K e y & g t ; C o l u m n s \ P a e d   I n t   C a r e   A v a i l & l t ; / K e y & g t ; & l t ; / a : K e y & g t ; & l t ; a : V a l u e   i : t y p e = " M e a s u r e G r i d N o d e V i e w S t a t e " & g t ; & l t ; C o l u m n & g t ; 2 1 & l t ; / C o l u m n & g t ; & l t ; L a y e d O u t & g t ; t r u e & l t ; / L a y e d O u t & g t ; & l t ; / a : V a l u e & g t ; & l t ; / a : K e y V a l u e O f D i a g r a m O b j e c t K e y a n y T y p e z b w N T n L X & g t ; & l t ; a : K e y V a l u e O f D i a g r a m O b j e c t K e y a n y T y p e z b w N T n L X & g t ; & l t ; a : K e y & g t ; & l t ; K e y & g t ; C o l u m n s \ P a e d   I n t   C a r e   O c c & l t ; / K e y & g t ; & l t ; / a : K e y & g t ; & l t ; a : V a l u e   i : t y p e = " M e a s u r e G r i d N o d e V i e w S t a t e " & g t ; & l t ; C o l u m n & g t ; 2 2 & l t ; / C o l u m n & g t ; & l t ; L a y e d O u t & g t ; t r u e & l t ; / L a y e d O u t & g t ; & l t ; / a : V a l u e & g t ; & l t ; / a : K e y V a l u e O f D i a g r a m O b j e c t K e y a n y T y p e z b w N T n L X & g t ; & l t ; a : K e y V a l u e O f D i a g r a m O b j e c t K e y a n y T y p e z b w N T n L X & g t ; & l t ; a : K e y & g t ; & l t ; K e y & g t ; C o l u m n s \ N e o   I n t   C a r e   A v a i l & l t ; / K e y & g t ; & l t ; / a : K e y & g t ; & l t ; a : V a l u e   i : t y p e = " M e a s u r e G r i d N o d e V i e w S t a t e " & g t ; & l t ; C o l u m n & g t ; 2 3 & l t ; / C o l u m n & g t ; & l t ; L a y e d O u t & g t ; t r u e & l t ; / L a y e d O u t & g t ; & l t ; / a : V a l u e & g t ; & l t ; / a : K e y V a l u e O f D i a g r a m O b j e c t K e y a n y T y p e z b w N T n L X & g t ; & l t ; a : K e y V a l u e O f D i a g r a m O b j e c t K e y a n y T y p e z b w N T n L X & g t ; & l t ; a : K e y & g t ; & l t ; K e y & g t ; C o l u m n s \ N e o   I n t   C a r e   o c c & l t ; / K e y & g t ; & l t ; / a : K e y & g t ; & l t ; a : V a l u e   i : t y p e = " M e a s u r e G r i d N o d e V i e w S t a t e " & g t ; & l t ; C o l u m n & g t ; 2 4 & l t ; / C o l u m n & g t ; & l t ; L a y e d O u t & g t ; t r u e & l t ; / L a y e d O u t & g t ; & l t ; / a : V a l u e & g t ; & l t ; / a : K e y V a l u e O f D i a g r a m O b j e c t K e y a n y T y p e z b w N T n L X & g t ; & l t ; a : K e y V a l u e O f D i a g r a m O b j e c t K e y a n y T y p e z b w N T n L X & g t ; & l t ; a : K e y & g t ; & l t ; K e y & g t ; C o l u m n s \ A m b   a r r i v a l s & l t ; / K e y & g t ; & l t ; / a : K e y & g t ; & l t ; a : V a l u e   i : t y p e = " M e a s u r e G r i d N o d e V i e w S t a t e " & g t ; & l t ; C o l u m n & g t ; 2 5 & l t ; / C o l u m n & g t ; & l t ; L a y e d O u t & g t ; t r u e & l t ; / L a y e d O u t & g t ; & l t ; / a : V a l u e & g t ; & l t ; / a : K e y V a l u e O f D i a g r a m O b j e c t K e y a n y T y p e z b w N T n L X & g t ; & l t ; a : K e y V a l u e O f D i a g r a m O b j e c t K e y a n y T y p e z b w N T n L X & g t ; & l t ; a : K e y & g t ; & l t ; K e y & g t ; C o l u m n s \ A m b   d e l a y s   3 0 - 6 0   m i n s & l t ; / K e y & g t ; & l t ; / a : K e y & g t ; & l t ; a : V a l u e   i : t y p e = " M e a s u r e G r i d N o d e V i e w S t a t e " & g t ; & l t ; C o l u m n & g t ; 2 6 & l t ; / C o l u m n & g t ; & l t ; L a y e d O u t & g t ; t r u e & l t ; / L a y e d O u t & g t ; & l t ; / a : V a l u e & g t ; & l t ; / a : K e y V a l u e O f D i a g r a m O b j e c t K e y a n y T y p e z b w N T n L X & g t ; & l t ; a : K e y V a l u e O f D i a g r a m O b j e c t K e y a n y T y p e z b w N T n L X & g t ; & l t ; a : K e y & g t ; & l t ; K e y & g t ; C o l u m n s \ A m b   d e l a y s   o v e r   6 0   m i n s & l t ; / K e y & g t ; & l t ; / a : K e y & g t ; & l t ; a : V a l u e   i : t y p e = " M e a s u r e G r i d N o d e V i e w S t a t e " & g t ; & l t ; C o l u m n & g t ; 2 7 & l t ; / C o l u m n & g t ; & l t ; L a y e d O u t & g t ; t r u e & l t ; / L a y e d O u t & g t ; & l t ; / a : V a l u e & g t ; & l t ; / a : K e y V a l u e O f D i a g r a m O b j e c t K e y a n y T y p e z b w N T n L X & g t ; & l t ; a : K e y V a l u e O f D i a g r a m O b j e c t K e y a n y T y p e z b w N T n L X & g t ; & l t ; a : K e y & g t ; & l t ; K e y & g t ; C o l u m n s \ B e d s   o c c   o v e r   1 4   d a y s & l t ; / K e y & g t ; & l t ; / a : K e y & g t ; & l t ; a : V a l u e   i : t y p e = " M e a s u r e G r i d N o d e V i e w S t a t e " & g t ; & l t ; C o l u m n & g t ; 2 8 & l t ; / C o l u m n & g t ; & l t ; L a y e d O u t & g t ; t r u e & l t ; / L a y e d O u t & g t ; & l t ; / a : V a l u e & g t ; & l t ; / a : K e y V a l u e O f D i a g r a m O b j e c t K e y a n y T y p e z b w N T n L X & g t ; & l t ; a : K e y V a l u e O f D i a g r a m O b j e c t K e y a n y T y p e z b w N T n L X & g t ; & l t ; a : K e y & g t ; & l t ; K e y & g t ; L i n k s \ & a m p ; l t ; C o l u m n s \ S u m   o f   B e d s   o c c   o v e r   1 4   d a y s & a m p ; g t ; - & a m p ; l t ; M e a s u r e s \ B e d s   o c c   o v e r   1 4   d a y s & a m p ; g t ; & l t ; / K e y & g t ; & l t ; / a : K e y & g t ; & l t ; a : V a l u e   i : t y p e = " M e a s u r e G r i d B a s e V i e w S t a t e \ I D i a g r a m L i n k " / & g t ; & l t ; / a : K e y V a l u e O f D i a g r a m O b j e c t K e y a n y T y p e z b w N T n L X & g t ; & l t ; a : K e y V a l u e O f D i a g r a m O b j e c t K e y a n y T y p e z b w N T n L X & g t ; & l t ; a : K e y & g t ; & l t ; K e y & g t ; L i n k s \ & a m p ; l t ; C o l u m n s \ S u m   o f   B e d s   o c c   o v e r   1 4   d a y s & a m p ; g t ; - & a m p ; l t ; M e a s u r e s \ B e d s   o c c   o v e r   1 4   d a y s & a m p ; g t ; \ C O L U M N & l t ; / K e y & g t ; & l t ; / a : K e y & g t ; & l t ; a : V a l u e   i : t y p e = " M e a s u r e G r i d B a s e V i e w S t a t e \ I D i a g r a m L i n k E n d p o i n t " / & g t ; & l t ; / a : K e y V a l u e O f D i a g r a m O b j e c t K e y a n y T y p e z b w N T n L X & g t ; & l t ; a : K e y V a l u e O f D i a g r a m O b j e c t K e y a n y T y p e z b w N T n L X & g t ; & l t ; a : K e y & g t ; & l t ; K e y & g t ; L i n k s \ & a m p ; l t ; C o l u m n s \ S u m   o f   B e d s   o c c   o v e r   1 4   d a y s & a m p ; g t ; - & a m p ; l t ; M e a s u r e s \ B e d s   o c c   o v e r   1 4   d a y s & a m p ; g t ; \ M E A S U R E & l t ; / K e y & g t ; & l t ; / a : K e y & g t ; & l t ; a : V a l u e   i : t y p e = " M e a s u r e G r i d B a s e V i e w S t a t e \ I D i a g r a m L i n k E n d p o i n t " / & 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 T a g s \ T a b l e s \ & a m p ; l t ; T a b l e s \ W i n t e r   d a i l y   s i t r e p s & a m p ; g t ; & l t ; / K e y & g t ; & l t ; / D i a g r a m O b j e c t K e y & g t ; & l t ; D i a g r a m O b j e c t K e y & g t ; & l t ; K e y & g t ; D y n a m i c   T a g s \ T a b l e s \ & a m p ; l t ; T a b l e s \ W i n t e r   b e d   o c c   o v e r   1 4   d a y s & a m p ; g t ; & l t ; / K e y & g t ; & l t ; / D i a g r a m O b j e c t K e y & g t ; & l t ; D i a g r a m O b j e c t K e y & g t ; & l t ; K e y & g t ; T a b l e s \ W i n t e r   d a i l y   s i t r e p s & l t ; / K e y & g t ; & l t ; / D i a g r a m O b j e c t K e y & g t ; & l t ; D i a g r a m O b j e c t K e y & g t ; & l t ; K e y & g t ; T a b l e s \ W i n t e r   d a i l y   s i t r e p s \ C o l u m n s \ I D & l t ; / K e y & g t ; & l t ; / D i a g r a m O b j e c t K e y & g t ; & l t ; D i a g r a m O b j e c t K e y & g t ; & l t ; K e y & g t ; T a b l e s \ W i n t e r   d a i l y   s i t r e p s \ C o l u m n s \ c r i _ i d & l t ; / K e y & g t ; & l t ; / D i a g r a m O b j e c t K e y & g t ; & l t ; D i a g r a m O b j e c t K e y & g t ; & l t ; K e y & g t ; T a b l e s \ W i n t e r   d a i l y   s i t r e p s \ C o l u m n s \ d r _ i d & l t ; / K e y & g t ; & l t ; / D i a g r a m O b j e c t K e y & g t ; & l t ; D i a g r a m O b j e c t K e y & g t ; & l t ; K e y & g t ; T a b l e s \ W i n t e r   d a i l y   s i t r e p s \ C o l u m n s \ o r g _ i d & l t ; / K e y & g t ; & l t ; / D i a g r a m O b j e c t K e y & g t ; & l t ; D i a g r a m O b j e c t K e y & g t ; & l t ; K e y & g t ; T a b l e s \ W i n t e r   d a i l y   s i t r e p s \ C o l u m n s \ c r i _ d a t a p e r i o d s t a r t & l t ; / K e y & g t ; & l t ; / D i a g r a m O b j e c t K e y & g t ; & l t ; D i a g r a m O b j e c t K e y & g t ; & l t ; K e y & g t ; T a b l e s \ W i n t e r   d a i l y   s i t r e p s \ C o l u m n s \ C o d e & l t ; / K e y & g t ; & l t ; / D i a g r a m O b j e c t K e y & g t ; & l t ; D i a g r a m O b j e c t K e y & g t ; & l t ; K e y & g t ; T a b l e s \ W i n t e r   d a i l y   s i t r e p s \ C o l u m n s \ N a m e & l t ; / K e y & g t ; & l t ; / D i a g r a m O b j e c t K e y & g t ; & l t ; D i a g r a m O b j e c t K e y & g t ; & l t ; K e y & g t ; T a b l e s \ W i n t e r   d a i l y   s i t r e p s \ C o l u m n s \ D a t e & l t ; / K e y & g t ; & l t ; / D i a g r a m O b j e c t K e y & g t ; & l t ; D i a g r a m O b j e c t K e y & g t ; & l t ; K e y & g t ; T a b l e s \ W i n t e r   d a i l y   s i t r e p s \ C o l u m n s \ W e e k & l t ; / K e y & g t ; & l t ; / D i a g r a m O b j e c t K e y & g t ; & l t ; D i a g r a m O b j e c t K e y & g t ; & l t ; K e y & g t ; T a b l e s \ W i n t e r   d a i l y   s i t r e p s \ C o l u m n s \ D a y & l t ; / K e y & g t ; & l t ; / D i a g r a m O b j e c t K e y & g t ; & l t ; D i a g r a m O b j e c t K e y & g t ; & l t ; K e y & g t ; T a b l e s \ W i n t e r   d a i l y   s i t r e p s \ C o l u m n s \ B a n k   h o l i d a y & l t ; / K e y & g t ; & l t ; / D i a g r a m O b j e c t K e y & g t ; & l t ; D i a g r a m O b j e c t K e y & g t ; & l t ; K e y & g t ; T a b l e s \ W i n t e r   d a i l y   s i t r e p s \ C o l u m n s \ A E   c l o s u r e s & l t ; / K e y & g t ; & l t ; / D i a g r a m O b j e c t K e y & g t ; & l t ; D i a g r a m O b j e c t K e y & g t ; & l t ; K e y & g t ; T a b l e s \ W i n t e r   d a i l y   s i t r e p s \ C o l u m n s \ A E   d i v e r t s & l t ; / K e y & g t ; & l t ; / D i a g r a m O b j e c t K e y & g t ; & l t ; D i a g r a m O b j e c t K e y & g t ; & l t ; K e y & g t ; T a b l e s \ W i n t e r   d a i l y   s i t r e p s \ C o l u m n s \ A E   t y p e   1   a t t e n d a n c e s & l t ; / K e y & g t ; & l t ; / D i a g r a m O b j e c t K e y & g t ; & l t ; D i a g r a m O b j e c t K e y & g t ; & l t ; K e y & g t ; T a b l e s \ W i n t e r   d a i l y   s i t r e p s \ C o l u m n s \ A E   t y p e   2   a t t e n d a n c e s & l t ; / K e y & g t ; & l t ; / D i a g r a m O b j e c t K e y & g t ; & l t ; D i a g r a m O b j e c t K e y & g t ; & l t ; K e y & g t ; T a b l e s \ W i n t e r   d a i l y   s i t r e p s \ C o l u m n s \ A E   t y p e   3   a t t e n d a n c e s & l t ; / K e y & g t ; & l t ; / D i a g r a m O b j e c t K e y & g t ; & l t ; D i a g r a m O b j e c t K e y & g t ; & l t ; K e y & g t ; T a b l e s \ W i n t e r   d a i l y   s i t r e p s \ C o l u m n s \ A E   t o t a l   a t t e n d a n c e s & l t ; / K e y & g t ; & l t ; / D i a g r a m O b j e c t K e y & g t ; & l t ; D i a g r a m O b j e c t K e y & g t ; & l t ; K e y & g t ; T a b l e s \ W i n t e r   d a i l y   s i t r e p s \ C o l u m n s \ E m e r g e n c y   a d m i s s i o n s & l t ; / K e y & g t ; & l t ; / D i a g r a m O b j e c t K e y & g t ; & l t ; D i a g r a m O b j e c t K e y & g t ; & l t ; K e y & g t ; T a b l e s \ W i n t e r   d a i l y   s i t r e p s \ C o l u m n s \ G A   c o r e   b e d s   a v a i l & l t ; / K e y & g t ; & l t ; / D i a g r a m O b j e c t K e y & g t ; & l t ; D i a g r a m O b j e c t K e y & g t ; & l t ; K e y & g t ; T a b l e s \ W i n t e r   d a i l y   s i t r e p s \ C o l u m n s \ G A   e s c a l a t i o n   b e d s   a v a i l & l t ; / K e y & g t ; & l t ; / D i a g r a m O b j e c t K e y & g t ; & l t ; D i a g r a m O b j e c t K e y & g t ; & l t ; K e y & g t ; T a b l e s \ W i n t e r   d a i l y   s i t r e p s \ C o l u m n s \ G A   t o t a l   b e d s   a v a i l & l t ; / K e y & g t ; & l t ; / D i a g r a m O b j e c t K e y & g t ; & l t ; D i a g r a m O b j e c t K e y & g t ; & l t ; K e y & g t ; T a b l e s \ W i n t e r   d a i l y   s i t r e p s \ C o l u m n s \ G A   t o t a l   b e d s   o c c u p i e d & l t ; / K e y & g t ; & l t ; / D i a g r a m O b j e c t K e y & g t ; & l t ; D i a g r a m O b j e c t K e y & g t ; & l t ; K e y & g t ; T a b l e s \ W i n t e r   d a i l y   s i t r e p s \ C o l u m n s \ B e d s   c l o s e d   n o r o v i r u s & l t ; / K e y & g t ; & l t ; / D i a g r a m O b j e c t K e y & g t ; & l t ; D i a g r a m O b j e c t K e y & g t ; & l t ; K e y & g t ; T a b l e s \ W i n t e r   d a i l y   s i t r e p s \ C o l u m n s \ B e d s   c l o s e d   n o r o v i u s   u n o c c & l t ; / K e y & g t ; & l t ; / D i a g r a m O b j e c t K e y & g t ; & l t ; D i a g r a m O b j e c t K e y & g t ; & l t ; K e y & g t ; T a b l e s \ W i n t e r   d a i l y   s i t r e p s \ C o l u m n s \ A d u l t   C C   b e d s   a v a i l & l t ; / K e y & g t ; & l t ; / D i a g r a m O b j e c t K e y & g t ; & l t ; D i a g r a m O b j e c t K e y & g t ; & l t ; K e y & g t ; T a b l e s \ W i n t e r   d a i l y   s i t r e p s \ C o l u m n s \ A d u l t   C C   b e d s   o c c & l t ; / K e y & g t ; & l t ; / D i a g r a m O b j e c t K e y & g t ; & l t ; D i a g r a m O b j e c t K e y & g t ; & l t ; K e y & g t ; T a b l e s \ W i n t e r   d a i l y   s i t r e p s \ C o l u m n s \ P a e d   I n t   C a r e   A v a i l & l t ; / K e y & g t ; & l t ; / D i a g r a m O b j e c t K e y & g t ; & l t ; D i a g r a m O b j e c t K e y & g t ; & l t ; K e y & g t ; T a b l e s \ W i n t e r   d a i l y   s i t r e p s \ C o l u m n s \ P a e d   I n t   C a r e   O c c & l t ; / K e y & g t ; & l t ; / D i a g r a m O b j e c t K e y & g t ; & l t ; D i a g r a m O b j e c t K e y & g t ; & l t ; K e y & g t ; T a b l e s \ W i n t e r   d a i l y   s i t r e p s \ C o l u m n s \ N e o   I n t   C a r e   A v a i l & l t ; / K e y & g t ; & l t ; / D i a g r a m O b j e c t K e y & g t ; & l t ; D i a g r a m O b j e c t K e y & g t ; & l t ; K e y & g t ; T a b l e s \ W i n t e r   d a i l y   s i t r e p s \ C o l u m n s \ N e o   I n t   C a r e   o c c & l t ; / K e y & g t ; & l t ; / D i a g r a m O b j e c t K e y & g t ; & l t ; D i a g r a m O b j e c t K e y & g t ; & l t ; K e y & g t ; T a b l e s \ W i n t e r   d a i l y   s i t r e p s \ C o l u m n s \ O P E L   3   o r   a b o v e & l t ; / K e y & g t ; & l t ; / D i a g r a m O b j e c t K e y & g t ; & l t ; D i a g r a m O b j e c t K e y & g t ; & l t ; K e y & g t ; T a b l e s \ W i n t e r   d a i l y   s i t r e p s \ C o l u m n s \ W e e k e n d & l t ; / K e y & g t ; & l t ; / D i a g r a m O b j e c t K e y & g t ; & l t ; D i a g r a m O b j e c t K e y & g t ; & l t ; K e y & g t ; T a b l e s \ W i n t e r   d a i l y   s i t r e p s \ C o l u m n s \ R e g i o n & l t ; / K e y & g t ; & l t ; / D i a g r a m O b j e c t K e y & g t ; & l t ; D i a g r a m O b j e c t K e y & g t ; & l t ; K e y & g t ; T a b l e s \ W i n t e r   d a i l y   s i t r e p s \ C o l u m n s \ Y e a r & l t ; / K e y & g t ; & l t ; / D i a g r a m O b j e c t K e y & g t ; & l t ; D i a g r a m O b j e c t K e y & g t ; & l t ; K e y & g t ; T a b l e s \ W i n t e r   d a i l y   s i t r e p s \ C o l u m n s \ B e d s   o c c   o v e r   7   d a y s & l t ; / K e y & g t ; & l t ; / D i a g r a m O b j e c t K e y & g t ; & l t ; D i a g r a m O b j e c t K e y & g t ; & l t ; K e y & g t ; T a b l e s \ W i n t e r   d a i l y   s i t r e p s \ C o l u m n s \ B e d s   o c c   o v e r   2 1   d a y s & l t ; / K e y & g t ; & l t ; / D i a g r a m O b j e c t K e y & g t ; & l t ; D i a g r a m O b j e c t K e y & g t ; & l t ; K e y & g t ; T a b l e s \ W i n t e r   d a i l y   s i t r e p s \ C o l u m n s \ A m b   a r r i v a l s & l t ; / K e y & g t ; & l t ; / D i a g r a m O b j e c t K e y & g t ; & l t ; D i a g r a m O b j e c t K e y & g t ; & l t ; K e y & g t ; T a b l e s \ W i n t e r   d a i l y   s i t r e p s \ C o l u m n s \ A m b   d e l a y s   3 0 - 6 0   m i n s & l t ; / K e y & g t ; & l t ; / D i a g r a m O b j e c t K e y & g t ; & l t ; D i a g r a m O b j e c t K e y & g t ; & l t ; K e y & g t ; T a b l e s \ W i n t e r   d a i l y   s i t r e p s \ C o l u m n s \ A m b   d e l a y s   o v e r   6 0   m i n s & l t ; / K e y & g t ; & l t ; / D i a g r a m O b j e c t K e y & g t ; & l t ; D i a g r a m O b j e c t K e y & g t ; & l t ; K e y & g t ; T a b l e s \ W i n t e r   d a i l y   s i t r e p s \ C o l u m n s \ W e e k   l o n g & l t ; / K e y & g t ; & l t ; / D i a g r a m O b j e c t K e y & g t ; & l t ; D i a g r a m O b j e c t K e y & g t ; & l t ; K e y & g t ; T a b l e s \ W i n t e r   d a i l y   s i t r e p s \ C o l u m n s \ G A   b e d   o c c u p a n c y & l t ; / K e y & g t ; & l t ; / D i a g r a m O b j e c t K e y & g t ; & l t ; D i a g r a m O b j e c t K e y & g t ; & l t ; K e y & g t ; T a b l e s \ W i n t e r   d a i l y   s i t r e p s \ M e a s u r e s \ S u m   o f   A E   d i v e r t s & l t ; / K e y & g t ; & l t ; / D i a g r a m O b j e c t K e y & g t ; & l t ; D i a g r a m O b j e c t K e y & g t ; & l t ; K e y & g t ; T a b l e s \ W i n t e r   d a i l y   s i t r e p s \ S u m   o f   A E   d i v e r t s \ A d d i t i o n a l   I n f o \ I m p l i c i t   M e a s u r e & l t ; / K e y & g t ; & l t ; / D i a g r a m O b j e c t K e y & g t ; & l t ; D i a g r a m O b j e c t K e y & g t ; & l t ; K e y & g t ; T a b l e s \ W i n t e r   d a i l y   s i t r e p s \ M e a s u r e s \ S u m   o f   G A   t o t a l   b e d s   o c c u p i e d & l t ; / K e y & g t ; & l t ; / D i a g r a m O b j e c t K e y & g t ; & l t ; D i a g r a m O b j e c t K e y & g t ; & l t ; K e y & g t ; T a b l e s \ W i n t e r   d a i l y   s i t r e p s \ S u m   o f   G A   t o t a l   b e d s   o c c u p i e d \ A d d i t i o n a l   I n f o \ I m p l i c i t   M e a s u r e & l t ; / K e y & g t ; & l t ; / D i a g r a m O b j e c t K e y & g t ; & l t ; D i a g r a m O b j e c t K e y & g t ; & l t ; K e y & g t ; T a b l e s \ W i n t e r   d a i l y   s i t r e p s \ M e a s u r e s \ A v e r a g e   o f   G A   t o t a l   b e d s   o c c u p i e d & l t ; / K e y & g t ; & l t ; / D i a g r a m O b j e c t K e y & g t ; & l t ; D i a g r a m O b j e c t K e y & g t ; & l t ; K e y & g t ; T a b l e s \ W i n t e r   d a i l y   s i t r e p s \ A v e r a g e   o f   G A   t o t a l   b e d s   o c c u p i e d \ A d d i t i o n a l   I n f o \ I m p l i c i t   M e a s u r e & l t ; / K e y & g t ; & l t ; / D i a g r a m O b j e c t K e y & g t ; & l t ; D i a g r a m O b j e c t K e y & g t ; & l t ; K e y & g t ; T a b l e s \ W i n t e r   d a i l y   s i t r e p s \ M e a s u r e s \ S u m   o f   G A   t o t a l   b e d s   a v a i l & l t ; / K e y & g t ; & l t ; / D i a g r a m O b j e c t K e y & g t ; & l t ; D i a g r a m O b j e c t K e y & g t ; & l t ; K e y & g t ; T a b l e s \ W i n t e r   d a i l y   s i t r e p s \ S u m   o f   G A   t o t a l   b e d s   a v a i l \ A d d i t i o n a l   I n f o \ I m p l i c i t   M e a s u r e & l t ; / K e y & g t ; & l t ; / D i a g r a m O b j e c t K e y & g t ; & l t ; D i a g r a m O b j e c t K e y & g t ; & l t ; K e y & g t ; T a b l e s \ W i n t e r   d a i l y   s i t r e p s \ M e a s u r e s \ S u m   o f   B e d s   o c c   o v e r   7   d a y s & l t ; / K e y & g t ; & l t ; / D i a g r a m O b j e c t K e y & g t ; & l t ; D i a g r a m O b j e c t K e y & g t ; & l t ; K e y & g t ; T a b l e s \ W i n t e r   d a i l y   s i t r e p s \ S u m   o f   B e d s   o c c   o v e r   7   d a y s \ A d d i t i o n a l   I n f o \ I m p l i c i t   M e a s u r e & l t ; / K e y & g t ; & l t ; / D i a g r a m O b j e c t K e y & g t ; & l t ; D i a g r a m O b j e c t K e y & g t ; & l t ; K e y & g t ; T a b l e s \ W i n t e r   d a i l y   s i t r e p s \ M e a s u r e s \ S u m   o f   B e d s   o c c   o v e r   2 1   d a y s & l t ; / K e y & g t ; & l t ; / D i a g r a m O b j e c t K e y & g t ; & l t ; D i a g r a m O b j e c t K e y & g t ; & l t ; K e y & g t ; T a b l e s \ W i n t e r   d a i l y   s i t r e p s \ S u m   o f   B e d s   o c c   o v e r   2 1   d a y s \ A d d i t i o n a l   I n f o \ I m p l i c i t   M e a s u r e & l t ; / K e y & g t ; & l t ; / D i a g r a m O b j e c t K e y & g t ; & l t ; D i a g r a m O b j e c t K e y & g t ; & l t ; K e y & g t ; T a b l e s \ W i n t e r   d a i l y   s i t r e p s \ M e a s u r e s \ A v e r a g e   o f   B e d s   o c c   o v e r   2 1   d a y s & l t ; / K e y & g t ; & l t ; / D i a g r a m O b j e c t K e y & g t ; & l t ; D i a g r a m O b j e c t K e y & g t ; & l t ; K e y & g t ; T a b l e s \ W i n t e r   d a i l y   s i t r e p s \ A v e r a g e   o f   B e d s   o c c   o v e r   2 1   d a y s \ A d d i t i o n a l   I n f o \ I m p l i c i t   M e a s u r e & l t ; / K e y & g t ; & l t ; / D i a g r a m O b j e c t K e y & g t ; & l t ; D i a g r a m O b j e c t K e y & g t ; & l t ; K e y & g t ; T a b l e s \ W i n t e r   d a i l y   s i t r e p s \ M e a s u r e s \ S u m   o f   B e d s   c l o s e d   n o r o v i r u s & l t ; / K e y & g t ; & l t ; / D i a g r a m O b j e c t K e y & g t ; & l t ; D i a g r a m O b j e c t K e y & g t ; & l t ; K e y & g t ; T a b l e s \ W i n t e r   d a i l y   s i t r e p s \ S u m   o f   B e d s   c l o s e d   n o r o v i r u s \ A d d i t i o n a l   I n f o \ I m p l i c i t   M e a s u r e & l t ; / K e y & g t ; & l t ; / D i a g r a m O b j e c t K e y & g t ; & l t ; D i a g r a m O b j e c t K e y & g t ; & l t ; K e y & g t ; T a b l e s \ W i n t e r   d a i l y   s i t r e p s \ M e a s u r e s \ A v e r a g e   o f   B e d s   c l o s e d   n o r o v i r u s & l t ; / K e y & g t ; & l t ; / D i a g r a m O b j e c t K e y & g t ; & l t ; D i a g r a m O b j e c t K e y & g t ; & l t ; K e y & g t ; T a b l e s \ W i n t e r   d a i l y   s i t r e p s \ A v e r a g e   o f   B e d s   c l o s e d   n o r o v i r u s \ A d d i t i o n a l   I n f o \ I m p l i c i t   M e a s u r e & l t ; / K e y & g t ; & l t ; / D i a g r a m O b j e c t K e y & g t ; & l t ; D i a g r a m O b j e c t K e y & g t ; & l t ; K e y & g t ; T a b l e s \ W i n t e r   d a i l y   s i t r e p s \ M e a s u r e s \ S u m   o f   B e d s   c l o s e d   n o r o v i u s   u n o c c & l t ; / K e y & g t ; & l t ; / D i a g r a m O b j e c t K e y & g t ; & l t ; D i a g r a m O b j e c t K e y & g t ; & l t ; K e y & g t ; T a b l e s \ W i n t e r   d a i l y   s i t r e p s \ S u m   o f   B e d s   c l o s e d   n o r o v i u s   u n o c c \ A d d i t i o n a l   I n f o \ I m p l i c i t   M e a s u r e & l t ; / K e y & g t ; & l t ; / D i a g r a m O b j e c t K e y & g t ; & l t ; D i a g r a m O b j e c t K e y & g t ; & l t ; K e y & g t ; T a b l e s \ W i n t e r   d a i l y   s i t r e p s \ M e a s u r e s \ S u m   o f   A m b   a r r i v a l s & l t ; / K e y & g t ; & l t ; / D i a g r a m O b j e c t K e y & g t ; & l t ; D i a g r a m O b j e c t K e y & g t ; & l t ; K e y & g t ; T a b l e s \ W i n t e r   d a i l y   s i t r e p s \ S u m   o f   A m b   a r r i v a l s \ A d d i t i o n a l   I n f o \ I m p l i c i t   M e a s u r e & l t ; / K e y & g t ; & l t ; / D i a g r a m O b j e c t K e y & g t ; & l t ; D i a g r a m O b j e c t K e y & g t ; & l t ; K e y & g t ; T a b l e s \ W i n t e r   d a i l y   s i t r e p s \ M e a s u r e s \ S u m   o f   A m b   d e l a y s   3 0 - 6 0   m i n s & l t ; / K e y & g t ; & l t ; / D i a g r a m O b j e c t K e y & g t ; & l t ; D i a g r a m O b j e c t K e y & g t ; & l t ; K e y & g t ; T a b l e s \ W i n t e r   d a i l y   s i t r e p s \ S u m   o f   A m b   d e l a y s   3 0 - 6 0   m i n s \ A d d i t i o n a l   I n f o \ I m p l i c i t   M e a s u r e & l t ; / K e y & g t ; & l t ; / D i a g r a m O b j e c t K e y & g t ; & l t ; D i a g r a m O b j e c t K e y & g t ; & l t ; K e y & g t ; T a b l e s \ W i n t e r   d a i l y   s i t r e p s \ M e a s u r e s \ S u m   o f   A m b   d e l a y s   o v e r   6 0   m i n s & l t ; / K e y & g t ; & l t ; / D i a g r a m O b j e c t K e y & g t ; & l t ; D i a g r a m O b j e c t K e y & g t ; & l t ; K e y & g t ; T a b l e s \ W i n t e r   d a i l y   s i t r e p s \ S u m   o f   A m b   d e l a y s   o v e r   6 0   m i n s \ A d d i t i o n a l   I n f o \ I m p l i c i t   M e a s u r e & l t ; / K e y & g t ; & l t ; / D i a g r a m O b j e c t K e y & g t ; & l t ; D i a g r a m O b j e c t K e y & g t ; & l t ; K e y & g t ; T a b l e s \ W i n t e r   d a i l y   s i t r e p s \ M e a s u r e s \ S u m   o f   A d u l t   C C   b e d s   a v a i l & l t ; / K e y & g t ; & l t ; / D i a g r a m O b j e c t K e y & g t ; & l t ; D i a g r a m O b j e c t K e y & g t ; & l t ; K e y & g t ; T a b l e s \ W i n t e r   d a i l y   s i t r e p s \ S u m   o f   A d u l t   C C   b e d s   a v a i l \ A d d i t i o n a l   I n f o \ I m p l i c i t   M e a s u r e & l t ; / K e y & g t ; & l t ; / D i a g r a m O b j e c t K e y & g t ; & l t ; D i a g r a m O b j e c t K e y & g t ; & l t ; K e y & g t ; T a b l e s \ W i n t e r   d a i l y   s i t r e p s \ M e a s u r e s \ S u m   o f   A d u l t   C C   b e d s   o c c & l t ; / K e y & g t ; & l t ; / D i a g r a m O b j e c t K e y & g t ; & l t ; D i a g r a m O b j e c t K e y & g t ; & l t ; K e y & g t ; T a b l e s \ W i n t e r   d a i l y   s i t r e p s \ S u m   o f   A d u l t   C C   b e d s   o c c \ A d d i t i o n a l   I n f o \ I m p l i c i t   M e a s u r e & l t ; / K e y & g t ; & l t ; / D i a g r a m O b j e c t K e y & g t ; & l t ; D i a g r a m O b j e c t K e y & g t ; & l t ; K e y & g t ; T a b l e s \ W i n t e r   d a i l y   s i t r e p s \ M e a s u r e s \ S u m   o f   P a e d   I n t   C a r e   A v a i l & l t ; / K e y & g t ; & l t ; / D i a g r a m O b j e c t K e y & g t ; & l t ; D i a g r a m O b j e c t K e y & g t ; & l t ; K e y & g t ; T a b l e s \ W i n t e r   d a i l y   s i t r e p s \ S u m   o f   P a e d   I n t   C a r e   A v a i l \ A d d i t i o n a l   I n f o \ I m p l i c i t   M e a s u r e & l t ; / K e y & g t ; & l t ; / D i a g r a m O b j e c t K e y & g t ; & l t ; D i a g r a m O b j e c t K e y & g t ; & l t ; K e y & g t ; T a b l e s \ W i n t e r   d a i l y   s i t r e p s \ M e a s u r e s \ S u m   o f   P a e d   I n t   C a r e   O c c & l t ; / K e y & g t ; & l t ; / D i a g r a m O b j e c t K e y & g t ; & l t ; D i a g r a m O b j e c t K e y & g t ; & l t ; K e y & g t ; T a b l e s \ W i n t e r   d a i l y   s i t r e p s \ S u m   o f   P a e d   I n t   C a r e   O c c \ A d d i t i o n a l   I n f o \ I m p l i c i t   M e a s u r e & l t ; / K e y & g t ; & l t ; / D i a g r a m O b j e c t K e y & g t ; & l t ; D i a g r a m O b j e c t K e y & g t ; & l t ; K e y & g t ; T a b l e s \ W i n t e r   d a i l y   s i t r e p s \ M e a s u r e s \ S u m   o f   N e o   I n t   C a r e   A v a i l & l t ; / K e y & g t ; & l t ; / D i a g r a m O b j e c t K e y & g t ; & l t ; D i a g r a m O b j e c t K e y & g t ; & l t ; K e y & g t ; T a b l e s \ W i n t e r   d a i l y   s i t r e p s \ S u m   o f   N e o   I n t   C a r e   A v a i l \ A d d i t i o n a l   I n f o \ I m p l i c i t   M e a s u r e & l t ; / K e y & g t ; & l t ; / D i a g r a m O b j e c t K e y & g t ; & l t ; D i a g r a m O b j e c t K e y & g t ; & l t ; K e y & g t ; T a b l e s \ W i n t e r   d a i l y   s i t r e p s \ M e a s u r e s \ S u m   o f   N e o   I n t   C a r e   o c c & l t ; / K e y & g t ; & l t ; / D i a g r a m O b j e c t K e y & g t ; & l t ; D i a g r a m O b j e c t K e y & g t ; & l t ; K e y & g t ; T a b l e s \ W i n t e r   d a i l y   s i t r e p s \ S u m   o f   N e o   I n t   C a r e   o c c \ A d d i t i o n a l   I n f o \ I m p l i c i t   M e a s u r e & l t ; / K e y & g t ; & l t ; / D i a g r a m O b j e c t K e y & g t ; & l t ; D i a g r a m O b j e c t K e y & g t ; & l t ; K e y & g t ; T a b l e s \ W i n t e r   d a i l y   s i t r e p s \ M e a s u r e s \ A v e r a g e   o f   N e o   I n t   C a r e   A v a i l & l t ; / K e y & g t ; & l t ; / D i a g r a m O b j e c t K e y & g t ; & l t ; D i a g r a m O b j e c t K e y & g t ; & l t ; K e y & g t ; T a b l e s \ W i n t e r   d a i l y   s i t r e p s \ A v e r a g e   o f   N e o   I n t   C a r e   A v a i l \ A d d i t i o n a l   I n f o \ I m p l i c i t   M e a s u r e & l t ; / K e y & g t ; & l t ; / D i a g r a m O b j e c t K e y & g t ; & l t ; D i a g r a m O b j e c t K e y & g t ; & l t ; K e y & g t ; T a b l e s \ W i n t e r   d a i l y   s i t r e p s \ M e a s u r e s \ A v e r a g e   o f   N e o   I n t   C a r e   o c c & l t ; / K e y & g t ; & l t ; / D i a g r a m O b j e c t K e y & g t ; & l t ; D i a g r a m O b j e c t K e y & g t ; & l t ; K e y & g t ; T a b l e s \ W i n t e r   d a i l y   s i t r e p s \ A v e r a g e   o f   N e o   I n t   C a r e   o c c \ A d d i t i o n a l   I n f o \ I m p l i c i t   M e a s u r e & l t ; / K e y & g t ; & l t ; / D i a g r a m O b j e c t K e y & g t ; & l t ; D i a g r a m O b j e c t K e y & g t ; & l t ; K e y & g t ; T a b l e s \ W i n t e r   d a i l y   s i t r e p s \ M e a s u r e s \ S u m   o f   G A   b e d   o c c u p a n c y & l t ; / K e y & g t ; & l t ; / D i a g r a m O b j e c t K e y & g t ; & l t ; D i a g r a m O b j e c t K e y & g t ; & l t ; K e y & g t ; T a b l e s \ W i n t e r   d a i l y   s i t r e p s \ S u m   o f   G A   b e d   o c c u p a n c y \ A d d i t i o n a l   I n f o \ I m p l i c i t   M e a s u r e & l t ; / K e y & g t ; & l t ; / D i a g r a m O b j e c t K e y & g t ; & l t ; D i a g r a m O b j e c t K e y & g t ; & l t ; K e y & g t ; T a b l e s \ W i n t e r   d a i l y   s i t r e p s \ M e a s u r e s \ A v e r a g e   o f   G A   b e d   o c c u p a n c y & l t ; / K e y & g t ; & l t ; / D i a g r a m O b j e c t K e y & g t ; & l t ; D i a g r a m O b j e c t K e y & g t ; & l t ; K e y & g t ; T a b l e s \ W i n t e r   d a i l y   s i t r e p s \ A v e r a g e   o f   G A   b e d   o c c u p a n c y \ A d d i t i o n a l   I n f o \ I m p l i c i t   M e a s u r e & l t ; / K e y & g t ; & l t ; / D i a g r a m O b j e c t K e y & g t ; & l t ; D i a g r a m O b j e c t K e y & g t ; & l t ; K e y & g t ; T a b l e s \ W i n t e r   d a i l y   s i t r e p s \ M e a s u r e s \ S u m   o f   G A   c o r e   b e d s   a v a i l & l t ; / K e y & g t ; & l t ; / D i a g r a m O b j e c t K e y & g t ; & l t ; D i a g r a m O b j e c t K e y & g t ; & l t ; K e y & g t ; T a b l e s \ W i n t e r   d a i l y   s i t r e p s \ S u m   o f   G A   c o r e   b e d s   a v a i l \ A d d i t i o n a l   I n f o \ I m p l i c i t   M e a s u r e & l t ; / K e y & g t ; & l t ; / D i a g r a m O b j e c t K e y & g t ; & l t ; D i a g r a m O b j e c t K e y & g t ; & l t ; K e y & g t ; T a b l e s \ W i n t e r   d a i l y   s i t r e p s \ M e a s u r e s \ S u m   o f   G A   e s c a l a t i o n   b e d s   a v a i l & l t ; / K e y & g t ; & l t ; / D i a g r a m O b j e c t K e y & g t ; & l t ; D i a g r a m O b j e c t K e y & g t ; & l t ; K e y & g t ; T a b l e s \ W i n t e r   d a i l y   s i t r e p s \ S u m   o f   G A   e s c a l a t i o n   b e d s   a v a i l \ A d d i t i o n a l   I n f o \ I m p l i c i t   M e a s u r e & l t ; / K e y & g t ; & l t ; / D i a g r a m O b j e c t K e y & g t ; & l t ; D i a g r a m O b j e c t K e y & g t ; & l t ; K e y & g t ; T a b l e s \ W i n t e r   b e d   o c c   o v e r   1 4   d a y s & l t ; / K e y & g t ; & l t ; / D i a g r a m O b j e c t K e y & g t ; & l t ; D i a g r a m O b j e c t K e y & g t ; & l t ; K e y & g t ; T a b l e s \ W i n t e r   b e d   o c c   o v e r   1 4   d a y s \ C o l u m n s \ R e g i o n & l t ; / K e y & g t ; & l t ; / D i a g r a m O b j e c t K e y & g t ; & l t ; D i a g r a m O b j e c t K e y & g t ; & l t ; K e y & g t ; T a b l e s \ W i n t e r   b e d   o c c   o v e r   1 4   d a y s \ C o l u m n s \ C o d e & l t ; / K e y & g t ; & l t ; / D i a g r a m O b j e c t K e y & g t ; & l t ; D i a g r a m O b j e c t K e y & g t ; & l t ; K e y & g t ; T a b l e s \ W i n t e r   b e d   o c c   o v e r   1 4   d a y s \ C o l u m n s \ N a m e & l t ; / K e y & g t ; & l t ; / D i a g r a m O b j e c t K e y & g t ; & l t ; D i a g r a m O b j e c t K e y & g t ; & l t ; K e y & g t ; T a b l e s \ W i n t e r   b e d   o c c   o v e r   1 4   d a y s \ C o l u m n s \ Y e a r & l t ; / K e y & g t ; & l t ; / D i a g r a m O b j e c t K e y & g t ; & l t ; D i a g r a m O b j e c t K e y & g t ; & l t ; K e y & g t ; T a b l e s \ W i n t e r   b e d   o c c   o v e r   1 4   d a y s \ C o l u m n s \ D a t e & l t ; / K e y & g t ; & l t ; / D i a g r a m O b j e c t K e y & g t ; & l t ; D i a g r a m O b j e c t K e y & g t ; & l t ; K e y & g t ; T a b l e s \ W i n t e r   b e d   o c c   o v e r   1 4   d a y s \ C o l u m n s \ W e e k & l t ; / K e y & g t ; & l t ; / D i a g r a m O b j e c t K e y & g t ; & l t ; D i a g r a m O b j e c t K e y & g t ; & l t ; K e y & g t ; T a b l e s \ W i n t e r   b e d   o c c   o v e r   1 4   d a y s \ C o l u m n s \ D a y & l t ; / K e y & g t ; & l t ; / D i a g r a m O b j e c t K e y & g t ; & l t ; D i a g r a m O b j e c t K e y & g t ; & l t ; K e y & g t ; T a b l e s \ W i n t e r   b e d   o c c   o v e r   1 4   d a y s \ C o l u m n s \ W e e k e n d & l t ; / K e y & g t ; & l t ; / D i a g r a m O b j e c t K e y & g t ; & l t ; D i a g r a m O b j e c t K e y & g t ; & l t ; K e y & g t ; T a b l e s \ W i n t e r   b e d   o c c   o v e r   1 4   d a y s \ C o l u m n s \ B a n k   h o l i d a y & l t ; / K e y & g t ; & l t ; / D i a g r a m O b j e c t K e y & g t ; & l t ; D i a g r a m O b j e c t K e y & g t ; & l t ; K e y & g t ; T a b l e s \ W i n t e r   b e d   o c c   o v e r   1 4   d a y s \ C o l u m n s \ A   E   c l o s u r e s & l t ; / K e y & g t ; & l t ; / D i a g r a m O b j e c t K e y & g t ; & l t ; D i a g r a m O b j e c t K e y & g t ; & l t ; K e y & g t ; T a b l e s \ W i n t e r   b e d   o c c   o v e r   1 4   d a y s \ C o l u m n s \ A   E   d i v e r t s & l t ; / K e y & g t ; & l t ; / D i a g r a m O b j e c t K e y & g t ; & l t ; D i a g r a m O b j e c t K e y & g t ; & l t ; K e y & g t ; T a b l e s \ W i n t e r   b e d   o c c   o v e r   1 4   d a y s \ C o l u m n s \ G   A   c o r e   b e d s   a v a i l & l t ; / K e y & g t ; & l t ; / D i a g r a m O b j e c t K e y & g t ; & l t ; D i a g r a m O b j e c t K e y & g t ; & l t ; K e y & g t ; T a b l e s \ W i n t e r   b e d   o c c   o v e r   1 4   d a y s \ C o l u m n s \ G   A   e s c a l a t i o n   b e d s   a v a i l & l t ; / K e y & g t ; & l t ; / D i a g r a m O b j e c t K e y & g t ; & l t ; D i a g r a m O b j e c t K e y & g t ; & l t ; K e y & g t ; T a b l e s \ W i n t e r   b e d   o c c   o v e r   1 4   d a y s \ C o l u m n s \ G   A   t o t a l   b e d s   a v a i l & l t ; / K e y & g t ; & l t ; / D i a g r a m O b j e c t K e y & g t ; & l t ; D i a g r a m O b j e c t K e y & g t ; & l t ; K e y & g t ; T a b l e s \ W i n t e r   b e d   o c c   o v e r   1 4   d a y s \ C o l u m n s \ G   A   t o t a l   b e d s   o c c u p i e d & l t ; / K e y & g t ; & l t ; / D i a g r a m O b j e c t K e y & g t ; & l t ; D i a g r a m O b j e c t K e y & g t ; & l t ; K e y & g t ; T a b l e s \ W i n t e r   b e d   o c c   o v e r   1 4   d a y s \ C o l u m n s \ B e d s   o c c   o v e r   7   d a y s & l t ; / K e y & g t ; & l t ; / D i a g r a m O b j e c t K e y & g t ; & l t ; D i a g r a m O b j e c t K e y & g t ; & l t ; K e y & g t ; T a b l e s \ W i n t e r   b e d   o c c   o v e r   1 4   d a y s \ C o l u m n s \ B e d s   o c c   o v e r   2 1   d a y s & l t ; / K e y & g t ; & l t ; / D i a g r a m O b j e c t K e y & g t ; & l t ; D i a g r a m O b j e c t K e y & g t ; & l t ; K e y & g t ; T a b l e s \ W i n t e r   b e d   o c c   o v e r   1 4   d a y s \ C o l u m n s \ B e d s   c l o s e d   n o r o v i r u s & l t ; / K e y & g t ; & l t ; / D i a g r a m O b j e c t K e y & g t ; & l t ; D i a g r a m O b j e c t K e y & g t ; & l t ; K e y & g t ; T a b l e s \ W i n t e r   b e d   o c c   o v e r   1 4   d a y s \ C o l u m n s \ B e d s   c l o s e d   n o r o v i u s   u n o c c & l t ; / K e y & g t ; & l t ; / D i a g r a m O b j e c t K e y & g t ; & l t ; D i a g r a m O b j e c t K e y & g t ; & l t ; K e y & g t ; T a b l e s \ W i n t e r   b e d   o c c   o v e r   1 4   d a y s \ C o l u m n s \ A d u l t   C C   b e d s   a v a i l & l t ; / K e y & g t ; & l t ; / D i a g r a m O b j e c t K e y & g t ; & l t ; D i a g r a m O b j e c t K e y & g t ; & l t ; K e y & g t ; T a b l e s \ W i n t e r   b e d   o c c   o v e r   1 4   d a y s \ C o l u m n s \ A d u l t   C C   b e d s   o c c & l t ; / K e y & g t ; & l t ; / D i a g r a m O b j e c t K e y & g t ; & l t ; D i a g r a m O b j e c t K e y & g t ; & l t ; K e y & g t ; T a b l e s \ W i n t e r   b e d   o c c   o v e r   1 4   d a y s \ C o l u m n s \ P a e d   I n t   C a r e   A v a i l & l t ; / K e y & g t ; & l t ; / D i a g r a m O b j e c t K e y & g t ; & l t ; D i a g r a m O b j e c t K e y & g t ; & l t ; K e y & g t ; T a b l e s \ W i n t e r   b e d   o c c   o v e r   1 4   d a y s \ C o l u m n s \ P a e d   I n t   C a r e   O c c & l t ; / K e y & g t ; & l t ; / D i a g r a m O b j e c t K e y & g t ; & l t ; D i a g r a m O b j e c t K e y & g t ; & l t ; K e y & g t ; T a b l e s \ W i n t e r   b e d   o c c   o v e r   1 4   d a y s \ C o l u m n s \ N e o   I n t   C a r e   A v a i l & l t ; / K e y & g t ; & l t ; / D i a g r a m O b j e c t K e y & g t ; & l t ; D i a g r a m O b j e c t K e y & g t ; & l t ; K e y & g t ; T a b l e s \ W i n t e r   b e d   o c c   o v e r   1 4   d a y s \ C o l u m n s \ N e o   I n t   C a r e   o c c & l t ; / K e y & g t ; & l t ; / D i a g r a m O b j e c t K e y & g t ; & l t ; D i a g r a m O b j e c t K e y & g t ; & l t ; K e y & g t ; T a b l e s \ W i n t e r   b e d   o c c   o v e r   1 4   d a y s \ C o l u m n s \ A m b   a r r i v a l s & l t ; / K e y & g t ; & l t ; / D i a g r a m O b j e c t K e y & g t ; & l t ; D i a g r a m O b j e c t K e y & g t ; & l t ; K e y & g t ; T a b l e s \ W i n t e r   b e d   o c c   o v e r   1 4   d a y s \ C o l u m n s \ A m b   d e l a y s   3 0 - 6 0   m i n s & l t ; / K e y & g t ; & l t ; / D i a g r a m O b j e c t K e y & g t ; & l t ; D i a g r a m O b j e c t K e y & g t ; & l t ; K e y & g t ; T a b l e s \ W i n t e r   b e d   o c c   o v e r   1 4   d a y s \ C o l u m n s \ A m b   d e l a y s   o v e r   6 0   m i n s & l t ; / K e y & g t ; & l t ; / D i a g r a m O b j e c t K e y & g t ; & l t ; D i a g r a m O b j e c t K e y & g t ; & l t ; K e y & g t ; T a b l e s \ W i n t e r   b e d   o c c   o v e r   1 4   d a y s \ C o l u m n s \ B e d s   o c c   o v e r   1 4   d a y s & l t ; / K e y & g t ; & l t ; / D i a g r a m O b j e c t K e y & g t ; & l t ; D i a g r a m O b j e c t K e y & g t ; & l t ; K e y & g t ; T a b l e s \ W i n t e r   b e d   o c c   o v e r   1 4   d a y s \ M e a s u r e s \ S u m   o f   B e d s   o c c   o v e r   1 4   d a y s & l t ; / K e y & g t ; & l t ; / D i a g r a m O b j e c t K e y & g t ; & l t ; D i a g r a m O b j e c t K e y & g t ; & l t ; K e y & g t ; T a b l e s \ W i n t e r   b e d   o c c   o v e r   1 4   d a y s \ S u m   o f   B e d s   o c c   o v e r   1 4   d a y s \ A d d i t i o n a l   I n f o \ I m p l i c i t   M e a s u r e & 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B a s e V i e w S t a t e \ I D i a g r a m A c t i o n " / & g t ; & l t ; / a : K e y V a l u e O f D i a g r a m O b j e c t K e y a n y T y p e z b w N T n L X & g t ; & l t ; a : K e y V a l u e O f D i a g r a m O b j e c t K e y a n y T y p e z b w N T n L X & g t ; & l t ; a : K e y & g t ; & l t ; K e y & g t ; A c t i o n s \ S e l e c t & l t ; / K e y & g t ; & l t ; / a : K e y & g t ; & l t ; a : V a l u e   i : t y p e = " D i a g r a m D i s p l a y B a s e V i e w S t a t e \ I D i a g r a m A c t i o n " / & g t ; & l t ; / a : K e y V a l u e O f D i a g r a m O b j e c t K e y a n y T y p e z b w N T n L X & g t ; & l t ; a : K e y V a l u e O f D i a g r a m O b j e c t K e y a n y T y p e z b w N T n L X & g t ; & l t ; a : K e y & g t ; & l t ; K e y & g t ; A c t i o n s \ C r e a t e   R e l a t i o n s h i p & l t ; / K e y & g t ; & l t ; / a : K e y & g t ; & l t ; a : V a l u e   i : t y p e = " D i a g r a m D i s p l a y B a s e V i e w S t a t e \ I D i a g r a m A c t i o n " / & g t ; & l t ; / a : K e y V a l u e O f D i a g r a m O b j e c t K e y a n y T y p e z b w N T n L X & g t ; & l t ; a : K e y V a l u e O f D i a g r a m O b j e c t K e y a n y T y p e z b w N T n L X & g t ; & l t ; a : K e y & g t ; & l t ; K e y & g t ; A c t i o n s \ L a u n c h   C r e a t e   R e l a t i o n s h i p   D i a l o g & l t ; / K e y & g t ; & l t ; / a : K e y & g t ; & l t ; a : V a l u e   i : t y p e = " D i a g r a m D i s p l a y B a s e V i e w S t a t e \ I D i a g r a m A c t i o n " / & g t ; & l t ; / a : K e y V a l u e O f D i a g r a m O b j e c t K e y a n y T y p e z b w N T n L X & g t ; & l t ; a : K e y V a l u e O f D i a g r a m O b j e c t K e y a n y T y p e z b w N T n L X & g t ; & l t ; a : K e y & g t ; & l t ; K e y & g t ; A c t i o n s \ L a u n c h   E d i t   R e l a t i o n s h i p   D i a l o g & l t ; / K e y & g t ; & l t ; / a : K e y & g t ; & l t ; a : V a l u e   i : t y p e = " D i a g r a m D i s p l a y B a s e V i e w S t a t e \ I D i a g r a m A c t i o n " / & g t ; & l t ; / a : K e y V a l u e O f D i a g r a m O b j e c t K e y a n y T y p e z b w N T n L X & g t ; & l t ; a : K e y V a l u e O f D i a g r a m O b j e c t K e y a n y T y p e z b w N T n L X & g t ; & l t ; a : K e y & g t ; & l t ; K e y & g t ; A c t i o n s \ C r e a t e   H i e r a r c h y   w i t h   L e v e l s & l t ; / K e y & g t ; & l t ; / a : K e y & g t ; & l t ; a : V a l u e   i : t y p e = " D i a g r a m D i s p l a y B a s e V i e w S t a t e \ I D i a g r a m A c t i o n " / & g t ; & l t ; / a : K e y V a l u e O f D i a g r a m O b j e c t K e y a n y T y p e z b w N T n L X & g t ; & l t ; a : K e y V a l u e O f D i a g r a m O b j e c t K e y a n y T y p e z b w N T n L X & g t ; & l t ; a : K e y & g t ; & l t ; K e y & g t ; A c t i o n s \ C r e a t e   E m p t y   H i e r a r c h y & l t ; / K e y & g t ; & l t ; / a : K e y & g t ; & l t ; a : V a l u e   i : t y p e = " D i a g r a m D i s p l a y B a s e V i e w S t a t e \ I D i a g r a m A c t i o n " / & g t ; & l t ; / a : K e y V a l u e O f D i a g r a m O b j e c t K e y a n y T y p e z b w N T n L X & g t ; & l t ; a : K e y V a l u e O f D i a g r a m O b j e c t K e y a n y T y p e z b w N T n L X & g t ; & l t ; a : K e y & g t ; & l t ; K e y & g t ; A c t i o n s \ R e m o v e   f r o m   H i e r a r c h y & l t ; / K e y & g t ; & l t ; / a : K e y & g t ; & l t ; a : V a l u e   i : t y p e = " D i a g r a m D i s p l a y B a s e V i e w S t a t e \ I D i a g r a m A c t i o n " / & g t ; & l t ; / a : K e y V a l u e O f D i a g r a m O b j e c t K e y a n y T y p e z b w N T n L X & g t ; & l t ; a : K e y V a l u e O f D i a g r a m O b j e c t K e y a n y T y p e z b w N T n L X & g t ; & l t ; a : K e y & g t ; & l t ; K e y & g t ; A c t i o n s \ R e n a m e   N o d e & l t ; / K e y & g t ; & l t ; / a : K e y & g t ; & l t ; a : V a l u e   i : t y p e = " D i a g r a m D i s p l a y B a s e V i e w S t a t e \ I D i a g r a m A c t i o n " / & g t ; & l t ; / a : K e y V a l u e O f D i a g r a m O b j e c t K e y a n y T y p e z b w N T n L X & g t ; & l t ; a : K e y V a l u e O f D i a g r a m O b j e c t K e y a n y T y p e z b w N T n L X & g t ; & l t ; a : K e y & g t ; & l t ; K e y & g t ; A c t i o n s \ M o v e   N o d e & l t ; / K e y & g t ; & l t ; / a : K e y & g t ; & l t ; a : V a l u e   i : t y p e = " D i a g r a m D i s p l a y B a s e V i e w S t a t e \ I D i a g r a m A c t i o n " / & g t ; & l t ; / a : K e y V a l u e O f D i a g r a m O b j e c t K e y a n y T y p e z b w N T n L X & g t ; & l t ; a : K e y V a l u e O f D i a g r a m O b j e c t K e y a n y T y p e z b w N T n L X & g t ; & l t ; a : K e y & g t ; & l t ; K e y & g t ; A c t i o n s \ H i d e   t h e   e n t i t y & l t ; / K e y & g t ; & l t ; / a : K e y & g t ; & l t ; a : V a l u e   i : t y p e = " D i a g r a m D i s p l a y B a s e V i e w S t a t e \ I D i a g r a m A c t i o n " / & g t ; & l t ; / a : K e y V a l u e O f D i a g r a m O b j e c t K e y a n y T y p e z b w N T n L X & g t ; & l t ; a : K e y V a l u e O f D i a g r a m O b j e c t K e y a n y T y p e z b w N T n L X & g t ; & l t ; a : K e y & g t ; & l t ; K e y & g t ; A c t i o n s \ U n h i d e   t h e   e n t i t y & l t ; / K e y & g t ; & l t ; / a : K e y & g t ; & l t ; a : V a l u e   i : t y p e = " D i a g r a m D i s p l a y B a s e V i e w S t a t e \ I D i a g r a m A c t i o n " / & g t ; & l t ; / a : K e y V a l u e O f D i a g r a m O b j e c t K e y a n y T y p e z b w N T n L X & g t ; & l t ; a : K e y V a l u e O f D i a g r a m O b j e c t K e y a n y T y p e z b w N T n L X & g t ; & l t ; a : K e y & g t ; & l t ; K e y & g t ; A c t i o n s \ G o T o & l t ; / K e y & g t ; & l t ; / a : K e y & g t ; & l t ; a : V a l u e   i : t y p e = " D i a g r a m D i s p l a y B a s e V i e w S t a t e \ I D i a g r a m A c t i o n " / & g t ; & l t ; / a : K e y V a l u e O f D i a g r a m O b j e c t K e y a n y T y p e z b w N T n L X & g t ; & l t ; a : K e y V a l u e O f D i a g r a m O b j e c t K e y a n y T y p e z b w N T n L X & g t ; & l t ; a : K e y & g t ; & l t ; K e y & g t ; A c t i o n s \ M o v e   U p & l t ; / K e y & g t ; & l t ; / a : K e y & g t ; & l t ; a : V a l u e   i : t y p e = " D i a g r a m D i s p l a y B a s e V i e w S t a t e \ I D i a g r a m A c t i o n " / & g t ; & l t ; / a : K e y V a l u e O f D i a g r a m O b j e c t K e y a n y T y p e z b w N T n L X & g t ; & l t ; a : K e y V a l u e O f D i a g r a m O b j e c t K e y a n y T y p e z b w N T n L X & g t ; & l t ; a : K e y & g t ; & l t ; K e y & g t ; A c t i o n s \ M o v e   D o w n & l t ; / K e y & g t ; & l t ; / a : K e y & g t ; & l t ; a : V a l u e   i : t y p e = " D i a g r a m D i s p l a y B a s e V i e w S t a t e \ I D i a g r a m A c t i o n " / & g t ; & l t ; / a : K e y V a l u e O f D i a g r a m O b j e c t K e y a n y T y p e z b w N T n L X & g t ; & l t ; a : K e y V a l u e O f D i a g r a m O b j e c t K e y a n y T y p e z b w N T n L X & g t ; & l t ; a : K e y & g t ; & l t ; K e y & g t ; A c t i o n s \ M a r k   R e l a t i o n s h i p   a s   A c t i v e & l t ; / K e y & g t ; & l t ; / a : K e y & g t ; & l t ; a : V a l u e   i : t y p e = " D i a g r a m D i s p l a y B a s e V i e w S t a t e \ I D i a g r a m A c t i o n " / & g t ; & l t ; / a : K e y V a l u e O f D i a g r a m O b j e c t K e y a n y T y p e z b w N T n L X & g t ; & l t ; a : K e y V a l u e O f D i a g r a m O b j e c t K e y a n y T y p e z b w N T n L X & g t ; & l t ; a : K e y & g t ; & l t ; K e y & g t ; A c t i o n s \ M a r k   R e l a t i o n s h i p   a s   I n a c t i v e & l t ; / K e y & g t ; & l t ; / a : K e y & g t ; & l t ; a : V a l u e   i : t y p e = " D i a g r a m D i s p l a y B a s e V i e w S t a t e \ I D i a g r a m A c t i o n " / & g t ; & l t ; / a : K e y V a l u e O f D i a g r a m O b j e c t K e y a n y T y p e z b w N T n L X & g t ; & l t ; a : K e y V a l u e O f D i a g r a m O b j e c t K e y a n y T y p e z b w N T n L X & g t ; & l t ; a : K e y & g t ; & l t ; K e y & g t ; T a g G r o u p s \ N o d e   T y p e s & l t ; / K e y & g t ; & l t ; / a : K e y & g t ; & l t ; a : V a l u e   i : t y p e = " D i a g r a m D i s p l a y B a s e V i e w S t a t e \ I D i a g r a m T a g G r o u p " / & g t ; & l t ; / a : K e y V a l u e O f D i a g r a m O b j e c t K e y a n y T y p e z b w N T n L X & g t ; & l t ; a : K e y V a l u e O f D i a g r a m O b j e c t K e y a n y T y p e z b w N T n L X & g t ; & l t ; a : K e y & g t ; & l t ; K e y & g t ; T a g G r o u p s \ A d d i t i o n a l   I n f o   T y p e s & l t ; / K e y & g t ; & l t ; / a : K e y & g t ; & l t ; a : V a l u e   i : t y p e = " D i a g r a m D i s p l a y B a s e V i e w S t a t e \ I D i a g r a m T a g G r o u p " / & g t ; & l t ; / a : K e y V a l u e O f D i a g r a m O b j e c t K e y a n y T y p e z b w N T n L X & g t ; & l t ; a : K e y V a l u e O f D i a g r a m O b j e c t K e y a n y T y p e z b w N T n L X & g t ; & l t ; a : K e y & g t ; & l t ; K e y & g t ; T a g G r o u p s \ C a l c u l a t e d   C o l u m n s & l t ; / K e y & g t ; & l t ; / a : K e y & g t ; & l t ; a : V a l u e   i : t y p e = " D i a g r a m D i s p l a y B a s e V i e w S t a t e \ I D i a g r a m T a g G r o u p " / & g t ; & l t ; / a : K e y V a l u e O f D i a g r a m O b j e c t K e y a n y T y p e z b w N T n L X & g t ; & l t ; a : K e y V a l u e O f D i a g r a m O b j e c t K e y a n y T y p e z b w N T n L X & g t ; & l t ; a : K e y & g t ; & l t ; K e y & g t ; T a g G r o u p s \ W a r n i n g s & l t ; / K e y & g t ; & l t ; / a : K e y & g t ; & l t ; a : V a l u e   i : t y p e = " D i a g r a m D i s p l a y B a s e V i e w S t a t e \ I D i a g r a m T a g G r o u p " / & g t ; & l t ; / a : K e y V a l u e O f D i a g r a m O b j e c t K e y a n y T y p e z b w N T n L X & g t ; & l t ; a : K e y V a l u e O f D i a g r a m O b j e c t K e y a n y T y p e z b w N T n L X & g t ; & l t ; a : K e y & g t ; & l t ; K e y & g t ; T a g G r o u p s \ H i g h l i g h t   R e a s o n s & l t ; / K e y & g t ; & l t ; / a : K e y & g t ; & l t ; a : V a l u e   i : t y p e = " D i a g r a m D i s p l a y B a s e V i e w S t a t e \ I D i a g r a m T a g G r o u p " / & g t ; & l t ; / a : K e y V a l u e O f D i a g r a m O b j e c t K e y a n y T y p e z b w N T n L X & g t ; & l t ; a : K e y V a l u e O f D i a g r a m O b j e c t K e y a n y T y p e z b w N T n L X & g t ; & l t ; a : K e y & g t ; & l t ; K e y & g t ; T a g G r o u p s \ S t a t e & l t ; / K e y & g t ; & l t ; / a : K e y & g t ; & l t ; a : V a l u e   i : t y p e = " D i a g r a m D i s p l a y B a s e V i e w S t a t e \ I D i a g r a m T a g G r o u p " / & g t ; & l t ; / a : K e y V a l u e O f D i a g r a m O b j e c t K e y a n y T y p e z b w N T n L X & g t ; & l t ; a : K e y V a l u e O f D i a g r a m O b j e c t K e y a n y T y p e z b w N T n L X & g t ; & l t ; a : K e y & g t ; & l t ; K e y & g t ; T a g G r o u p s \ L i n k   R o l e s & l t ; / K e y & g t ; & l t ; / a : K e y & g t ; & l t ; a : V a l u e   i : t y p e = " D i a g r a m D i s p l a y B a s e V i e w S t a t e \ I D i a g r a m T a g G r o u p " / & g t ; & l t ; / a : K e y V a l u e O f D i a g r a m O b j e c t K e y a n y T y p e z b w N T n L X & g t ; & l t ; a : K e y V a l u e O f D i a g r a m O b j e c t K e y a n y T y p e z b w N T n L X & g t ; & l t ; a : K e y & g t ; & l t ; K e y & g t ; T a g G r o u p s \ L i n k   T y p e s & l t ; / K e y & g t ; & l t ; / a : K e y & g t ; & l t ; a : V a l u e   i : t y p e = " D i a g r a m D i s p l a y B a s e V i e w S t a t e \ I D i a g r a m T a g G r o u p " / & g t ; & l t ; / a : K e y V a l u e O f D i a g r a m O b j e c t K e y a n y T y p e z b w N T n L X & g t ; & l t ; a : K e y V a l u e O f D i a g r a m O b j e c t K e y a n y T y p e z b w N T n L X & g t ; & l t ; a : K e y & g t ; & l t ; K e y & g t ; T a g G r o u p s \ L i n k   S t a t e s & l t ; / K e y & g t ; & l t ; / a : K e y & g t ; & l t ; a : V a l u e   i : t y p e = " D i a g r a m D i s p l a y B a s e V i e w S t a t e \ I D i a g r a m T a g G r o u p " / & g t ; & l t ; / a : K e y V a l u e O f D i a g r a m O b j e c t K e y a n y T y p e z b w N T n L X & g t ; & l t ; a : K e y V a l u e O f D i a g r a m O b j e c t K e y a n y T y p e z b w N T n L X & g t ; & l t ; a : K e y & g t ; & l t ; K e y & g t ; D i a g r a m \ T a g G r o u p s \ D e l e t i o n   I m p a c t s & l t ; / K e y & g t ; & l t ; / a : K e y & g t ; & l t ; a : V a l u e   i : t y p e = " D i a g r a m D i s p l a y B a s e V i e w S t a t e \ I D i a g r a m T a g G r o u p " / & g t ; & l t ; / a : K e y V a l u e O f D i a g r a m O b j e c t K e y a n y T y p e z b w N T n L X & g t ; & l t ; a : K e y V a l u e O f D i a g r a m O b j e c t K e y a n y T y p e z b w N T n L X & g t ; & l t ; a : K e y & g t ; & l t ; K e y & g t ; T a g G r o u p s \ H i e r a r c h y   I d e n t i f i e r s & l t ; / K e y & g t ; & l t ; / a : K e y & g t ; & l t ; a : V a l u e   i : t y p e = " D i a g r a m D i s p l a y B a s e V i e w S t a t e \ I D i a g r a m T a g G r o u p " / & g t ; & l t ; / a : K e y V a l u e O f D i a g r a m O b j e c t K e y a n y T y p e z b w N T n L X & g t ; & l t ; a : K e y V a l u e O f D i a g r a m O b j e c t K e y a n y T y p e z b w N T n L X & g t ; & l t ; a : K e y & g t ; & l t ; K e y & g t ; T a g G r o u p s \ T a b l e   I d e n t i f i e r s & l t ; / K e y & g t ; & l t ; / a : K e y & g t ; & l t ; a : V a l u e   i : t y p e = " D i a g r a m D i s p l a y B a s e V i e w S t a t e \ I D i a g r a m T a g G r o u p " / & g t ; & l t ; / a : K e y V a l u e O f D i a g r a m O b j e c t K e y a n y T y p e z b w N T n L X & g t ; & l t ; a : K e y V a l u e O f D i a g r a m O b j e c t K e y a n y T y p e z b w N T n L X & g t ; & l t ; a : K e y & g t ; & l t ; K e y & g t ; T a g G r o u p s \ A c t i o n   D e s c r i p t o r s & l t ; / K e y & g t ; & l t ; / a : K e y & g t ; & l t ; a : V a l u e   i : t y p e = " D i a g r a m D i s p l a y B a s e V i e w S t a t e \ I D i a g r a m T a g G r o u p " / & g t ; & l t ; / a : K e y V a l u e O f D i a g r a m O b j e c t K e y a n y T y p e z b w N T n L X & g t ; & l t ; a : K e y V a l u e O f D i a g r a m O b j e c t K e y a n y T y p e z b w N T n L X & g t ; & l t ; a : K e y & g t ; & l t ; K e y & g t ; T a g G r o u p s \ H i n t   T e x t s & l t ; / K e y & g t ; & l t ; / a : K e y & g t ; & l t ; a : V a l u e   i : t y p e = " D i a g r a m D i s p l a y B a s e 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 T a g s \ T a b l e s \ & a m p ; l t ; T a b l e s \ W i n t e r   d a i l y   s i t r e p s & a m p ; g t ; & l t ; / K e y & g t ; & l t ; / a : K e y & g t ; & l t ; a : V a l u e   i : t y p e = " D i a g r a m D i s p l a y T a g V i e w S t a t e " & g t ; & l t ; I s N o t F i l t e r e d O u t & g t ; t r u e & l t ; / I s N o t F i l t e r e d O u t & g t ; & l t ; / a : V a l u e & g t ; & l t ; / a : K e y V a l u e O f D i a g r a m O b j e c t K e y a n y T y p e z b w N T n L X & g t ; & l t ; a : K e y V a l u e O f D i a g r a m O b j e c t K e y a n y T y p e z b w N T n L X & g t ; & l t ; a : K e y & g t ; & l t ; K e y & g t ; D y n a m i c   T a g s \ T a b l e s \ & a m p ; l t ; T a b l e s \ W i n t e r   b e d   o c c   o v e r   1 4   d a y s & a m p ; g t ; & l t ; / K e y & g t ; & l t ; / a : K e y & g t ; & l t ; a : V a l u e   i : t y p e = " D i a g r a m D i s p l a y T a g V i e w S t a t e " & g t ; & l t ; I s N o t F i l t e r e d O u t & g t ; t r u e & l t ; / I s N o t F i l t e r e d O u t & g t ; & l t ; / a : V a l u e & g t ; & l t ; / a : K e y V a l u e O f D i a g r a m O b j e c t K e y a n y T y p e z b w N T n L X & g t ; & l t ; a : K e y V a l u e O f D i a g r a m O b j e c t K e y a n y T y p e z b w N T n L X & g t ; & l t ; a : K e y & g t ; & l t ; K e y & g t ; T a b l e s \ W i n t e r   d a i l y   s i t r e p s & l t ; / K e y & g t ; & l t ; / a : K e y & g t ; & l t ; a : V a l u e   i : t y p e = " D i a g r a m D i s p l a y N o d e V i e w S t a t e " & g t ; & l t ; H e i g h t & g t ; 5 1 0 & l t ; / H e i g h t & g t ; & l t ; I s E x p a n d e d & g t ; t r u e & l t ; / I s E x p a n d e d & g t ; & l t ; L a y e d O u t & g t ; t r u e & l t ; / L a y e d O u t & g t ; & l t ; S c r o l l V e r t i c a l O f f s e t & g t ; 5 2 3 & l t ; / S c r o l l V e r t i c a l O f f s e t & g t ; & l t ; W i d t h & g t ; 8 6 1 & l t ; / W i d t h & g t ; & l t ; / a : V a l u e & g t ; & l t ; / a : K e y V a l u e O f D i a g r a m O b j e c t K e y a n y T y p e z b w N T n L X & g t ; & l t ; a : K e y V a l u e O f D i a g r a m O b j e c t K e y a n y T y p e z b w N T n L X & g t ; & l t ; a : K e y & g t ; & l t ; K e y & g t ; T a b l e s \ W i n t e r   d a i l y   s i t r e p s \ C o l u m n s \ I D & l t ; / K e y & g t ; & l t ; / a : K e y & g t ; & l t ; a : V a l u e 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 s i t r e p s \ C o l u m n s \ c r i _ i d & l t ; / K e y & g t ; & l t ; / a : K e y & g t ; & l t ; a : V a l u e 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 s i t r e p s \ C o l u m n s \ d r _ i d & l t ; / K e y & g t ; & l t ; / a : K e y & g t ; & l t ; a : V a l u e 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 s i t r e p s \ C o l u m n s \ o r g _ i d & l t ; / K e y & g t ; & l t ; / a : K e y & g t ; & l t ; a : V a l u e 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 s i t r e p s \ C o l u m n s \ c r i _ d a t a p e r i o d s t a r t & l t ; / K e y & g t ; & l t ; / a : K e y & g t ; & l t ; a : V a l u e 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 s i t r e p s \ C o l u m n s \ C o d e & l t ; / K e y & g t ; & l t ; / a : K e y & g t ; & l t ; a : V a l u e 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 s i t r e p s \ C o l u m n s \ N a m e & l t ; / K e y & g t ; & l t ; / a : K e y & g t ; & l t ; a : V a l u e 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 s i t r e p s \ C o l u m n s \ D a t e & l t ; / K e y & g t ; & l t ; / a : K e y & g t ; & l t ; a : V a l u e 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 s i t r e p s \ C o l u m n s \ D a y & l t ; / K e y & g t ; & l t ; / a : K e y & g t ; & l t ; a : V a l u e 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 s i t r e p s \ C o l u m n s \ B a n k   h o l i d a y & l t ; / K e y & g t ; & l t ; / a : K e y & g t ; & l t ; a : V a l u e 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 c l o s u r e s & l t ; / K e y & g t ; & l t ; / a : K e y & g t ; & l t ; a : V a l u e 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 d i v e r t s & l t ; / K e y & g t ; & l t ; / a : K e y & g t ; & l t ; a : V a l u e 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 1 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 2 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 t y p e   3 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 s i t r e p s \ C o l u m n s \ A E   t o t a l   a t t e n d a n c e s & l t ; / K e y & g t ; & l t ; / a : K e y & g t ; & l t ; a : V a l u e 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 s i t r e p s \ C o l u m n s \ E m e r g e n c y   a d m i s s i o n s & l t ; / K e y & g t ; & l t ; / a : K e y & g t ; & l t ; a : V a l u e 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 s i t r e p s \ C o l u m n s \ O P E L   3   o r   a b o v e & l t ; / K e y & g t ; & l t ; / a : K e y & g t ; & l t ; a : V a l u e 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 s i t r e p s \ C o l u m n s \ W e e k e n d & l t ; / K e y & g t ; & l t ; / a : K e y & g t ; & l t ; a : V a l u e 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 s i t r e p s \ C o l u m n s \ R e g i o n & l t ; / K e y & g t ; & l t ; / a : K e y & g t ; & l t ; a : V a l u e 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 s i t r e p s \ C o l u m n s \ Y e a r & l t ; / K e y & g t ; & l t ; / a : K e y & g t ; & l t ; a : V a l u e 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 a r r i v a l s & l t ; / K e y & g t ; & l t ; / a : K e y & g t ; & l t ; a : V a l u e 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 s i t r e p s \ C o l u m n s \ W e e k   l o n g & l t ; / K e y & g t ; & l t ; / a : K e y & g t ; & l t ; a : V a l u e   i : t y p e = " D i a g r a m D i s p l a y N o d e V i e w S t a t e " & g t ; & l t ; H e i g h t & g t ; 1 5 0 & l t ; / H e i g h t & g t ; & l t ; I s E x p a n d e d & g t ; t r u e & l t ; / I s E x p a n d e d & g t ; & l t ; W i d t h & g t ; 2 0 0 & l t ; / W i d t h & g t ; & l t ; / a : V a l u e & g t ; & l t ; / a : K e y V a l u e O f D i a g r a m O b j e c t K e y a n y T y p e z b w N T n L X & g t ; & l t ; a : K e y V a l u e O f D i a g r a m O b j e c t K e y a n y T y p e z b w N T n L X & g t ; & l t ; a : K e y & g t ; & l t ; K e y & g t ; T a b l e s \ W i n t e r   d a i l y   s i t r e p s \ C o l u m n s \ G A 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 s i t r e p s \ M e a s u r e s \ S u m   o f   A E   d i v e r t s & l t ; / K e y & g t ; & l t ; / a : K e y & g t ; & l t ; a : V a l u e 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 A E   d i v e r t s \ A d d i t i o n a l   I n f o \ I m p l i c i t   M e a s u r e & l t ; / K e y & g t ; & l t ; / a : K e y & g t ; & l t ; a : V a l u e   i : t y p e = " D i a g r a m D i s p l a y B a s e V i e w S t a t e \ I D i a g r a m T a g A d d i t i o n a l I n f o " / & g t ; & l t ; / a : K e y V a l u e O f D i a g r a m O b j e c t K e y a n y T y p e z b w N T n L X & g t ; & l t ; a : K e y V a l u e O f D i a g r a m O b j e c t K e y a n y T y p e z b w N T n L X & g t ; & l t ; a : K e y & g t ; & l t ; K e y & g t ; T a b l e s \ W i n t e r   d a i l y   s i t r e p s \ M e a s u r e s \ S u m   o f   G A 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 t o t a l   b e d s   o c c u p i e d \ A d d i t i o n a l   I n f o \ I m p l i c i t   M e a s u r e & l t ; / K e y & g t ; & l t ; / a : K e y & g t ; & l t ; a : V a l u e   i : t y p e = " D i a g r a m D i s p l a y B a s e V i e w S t a t e \ I D i a g r a m T a g A d d i t i o n a l I n f o " / & g t ; & l t ; / a : K e y V a l u e O f D i a g r a m O b j e c t K e y a n y T y p e z b w N T n L X & g t ; & l t ; a : K e y V a l u e O f D i a g r a m O b j e c t K e y a n y T y p e z b w N T n L X & g t ; & l t ; a : K e y & g t ; & l t ; K e y & g t ; T a b l e s \ W i n t e r   d a i l y   s i t r e p s \ M e a s u r e s \ A v e r a g e   o f   G A 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 G A   t o t a l   b e d s   o c c u p i e d \ A d d i t i o n a l   I n f o \ I m p l i c i t   M e a s u r e & l t ; / K e y & g t ; & l t ; / a : K e y & g t ; & l t ; a : V a l u e   i : t y p e = " D i a g r a m D i s p l a y B a s e V i e w S t a t e \ I D i a g r a m T a g A d d i t i o n a l I n f o " / & g t ; & l t ; / a : K e y V a l u e O f D i a g r a m O b j e c t K e y a n y T y p e z b w N T n L X & g t ; & l t ; a : K e y V a l u e O f D i a g r a m O b j e c t K e y a n y T y p e z b w N T n L X & g t ; & l t ; a : K e y & g t ; & l t ; K e y & g t ; T a b l e s \ W i n t e r   d a i l y   s i t r e p s \ M e a s u r e s \ S u m   o f   G A 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 t o t a l   b e d s   a v a i l \ A d d i t i o n a l   I n f o \ I m p l i c i t   M e a s u r e & l t ; / K e y & g t ; & l t ; / a : K e y & g t ; & l t ; a : V a l u e   i : t y p e = " D i a g r a m D i s p l a y B a s e V i e w S t a t e \ I D i a g r a m T a g A d d i t i o n a l I n f o " / & g t ; & l t ; / a : K e y V a l u e O f D i a g r a m O b j e c t K e y a n y T y p e z b w N T n L X & g t ; & l t ; a : K e y V a l u e O f D i a g r a m O b j e c t K e y a n y T y p e z b w N T n L X & g t ; & l t ; a : K e y & g t ; & l t ; K e y & g t ; T a b l e s \ W i n t e r   d a i l y   s i t r e p s \ M e a s u r e s \ S u m   o f   B e d s 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 o c c   o v e r   7   d a y s \ A d d i t i o n a l   I n f o \ I m p l i c i t   M e a s u r e & l t ; / K e y & g t ; & l t ; / a : K e y & g t ; & l t ; a : V a l u e   i : t y p e = " D i a g r a m D i s p l a y B a s e V i e w S t a t e \ I D i a g r a m T a g A d d i t i o n a l I n f o " / & g t ; & l t ; / a : K e y V a l u e O f D i a g r a m O b j e c t K e y a n y T y p e z b w N T n L X & g t ; & l t ; a : K e y V a l u e O f D i a g r a m O b j e c t K e y a n y T y p e z b w N T n L X & g t ; & l t ; a : K e y & g t ; & l t ; K e y & g t ; T a b l e s \ W i n t e r   d a i l y   s i t r e p s \ M e a s u r e s \ S u m   o f   B e d s 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 o c c   o v e r   2 1   d a y s \ A d d i t i o n a l   I n f o \ I m p l i c i t   M e a s u r e & l t ; / K e y & g t ; & l t ; / a : K e y & g t ; & l t ; a : V a l u e   i : t y p e = " D i a g r a m D i s p l a y B a s e V i e w S t a t e \ I D i a g r a m T a g A d d i t i o n a l I n f o " / & g t ; & l t ; / a : K e y V a l u e O f D i a g r a m O b j e c t K e y a n y T y p e z b w N T n L X & g t ; & l t ; a : K e y V a l u e O f D i a g r a m O b j e c t K e y a n y T y p e z b w N T n L X & g t ; & l t ; a : K e y & g t ; & l t ; K e y & g t ; T a b l e s \ W i n t e r   d a i l y   s i t r e p s \ M e a s u r e s \ A v e r a g e   o f   B e d s 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 B e d s   o c c   o v e r   2 1   d a y s \ A d d i t i o n a l   I n f o \ I m p l i c i t   M e a s u r e & l t ; / K e y & g t ; & l t ; / a : K e y & g t ; & l t ; a : V a l u e   i : t y p e = " D i a g r a m D i s p l a y B a s e V i e w S t a t e \ I D i a g r a m T a g A d d i t i o n a l I n f o " / & g t ; & l t ; / a : K e y V a l u e O f D i a g r a m O b j e c t K e y a n y T y p e z b w N T n L X & g t ; & l t ; a : K e y V a l u e O f D i a g r a m O b j e c t K e y a n y T y p e z b w N T n L X & g t ; & l t ; a : K e y & g t ; & l t ; K e y & g t ; T a b l e s \ W i n t e r   d a i l y   s i t r e p s \ M e a s u r e s \ S u m   o f   B e d s 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 c l o s e d   n o r o v i r u s \ A d d i t i o n a l   I n f o \ I m p l i c i t   M e a s u r e & l t ; / K e y & g t ; & l t ; / a : K e y & g t ; & l t ; a : V a l u e   i : t y p e = " D i a g r a m D i s p l a y B a s e V i e w S t a t e \ I D i a g r a m T a g A d d i t i o n a l I n f o " / & g t ; & l t ; / a : K e y V a l u e O f D i a g r a m O b j e c t K e y a n y T y p e z b w N T n L X & g t ; & l t ; a : K e y V a l u e O f D i a g r a m O b j e c t K e y a n y T y p e z b w N T n L X & g t ; & l t ; a : K e y & g t ; & l t ; K e y & g t ; T a b l e s \ W i n t e r   d a i l y   s i t r e p s \ M e a s u r e s \ A v e r a g e   o f   B e d s 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 B e d s   c l o s e d   n o r o v i r u s \ A d d i t i o n a l   I n f o \ I m p l i c i t   M e a s u r e & l t ; / K e y & g t ; & l t ; / a : K e y & g t ; & l t ; a : V a l u e   i : t y p e = " D i a g r a m D i s p l a y B a s e V i e w S t a t e \ I D i a g r a m T a g A d d i t i o n a l I n f o " / & g t ; & l t ; / a : K e y V a l u e O f D i a g r a m O b j e c t K e y a n y T y p e z b w N T n L X & g t ; & l t ; a : K e y V a l u e O f D i a g r a m O b j e c t K e y a n y T y p e z b w N T n L X & g t ; & l t ; a : K e y & g t ; & l t ; K e y & g t ; T a b l e s \ W i n t e r   d a i l y   s i t r e p s \ M e a s u r e s \ S u m   o f   B e d s 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 B e d s   c l o s e d   n o r o v i u s   u n o c c \ A d d i t i o n a l   I n f o \ I m p l i c i t   M e a s u r e & l t ; / K e y & g t ; & l t ; / a : K e y & g t ; & l t ; a : V a l u e   i : t y p e = " D i a g r a m D i s p l a y B a s e V i e w S t a t e \ I D i a g r a m T a g A d d i t i o n a l I n f o " / & g t ; & l t ; / a : K e y V a l u e O f D i a g r a m O b j e c t K e y a n y T y p e z b w N T n L X & g t ; & l t ; a : K e y V a l u e O f D i a g r a m O b j e c t K e y a n y T y p e z b w N T n L X & g t ; & l t ; a : K e y & g t ; & l t ; K e y & g t ; T a b l e s \ W i n t e r   d a i l y   s i t r e p s \ M e a s u r e s \ S u m   o f   A m b   a r r i v a l s & l t ; / K e y & g t ; & l t ; / a : K e y & g t ; & l t ; a : V a l u e 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 a r r i v a l s \ A d d i t i o n a l   I n f o \ I m p l i c i t   M e a s u r e & l t ; / K e y & g t ; & l t ; / a : K e y & g t ; & l t ; a : V a l u e   i : t y p e = " D i a g r a m D i s p l a y B a s e V i e w S t a t e \ I D i a g r a m T a g A d d i t i o n a l I n f o " / & g t ; & l t ; / a : K e y V a l u e O f D i a g r a m O b j e c t K e y a n y T y p e z b w N T n L X & g t ; & l t ; a : K e y V a l u e O f D i a g r a m O b j e c t K e y a n y T y p e z b w N T n L X & g t ; & l t ; a : K e y & g t ; & l t ; K e y & g t ; T a b l e s \ W i n t e r   d a i l y   s i t r e p s \ M e a s u r e s \ S u m   o f   A m b 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 d e l a y s   3 0 - 6 0   m i n s \ A d d i t i o n a l   I n f o \ I m p l i c i t   M e a s u r e & l t ; / K e y & g t ; & l t ; / a : K e y & g t ; & l t ; a : V a l u e   i : t y p e = " D i a g r a m D i s p l a y B a s e V i e w S t a t e \ I D i a g r a m T a g A d d i t i o n a l I n f o " / & g t ; & l t ; / a : K e y V a l u e O f D i a g r a m O b j e c t K e y a n y T y p e z b w N T n L X & g t ; & l t ; a : K e y V a l u e O f D i a g r a m O b j e c t K e y a n y T y p e z b w N T n L X & g t ; & l t ; a : K e y & g t ; & l t ; K e y & g t ; T a b l e s \ W i n t e r   d a i l y   s i t r e p s \ M e a s u r e s \ S u m   o f   A m b 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 A m b   d e l a y s   o v e r   6 0   m i n s \ A d d i t i o n a l   I n f o \ I m p l i c i t   M e a s u r e & l t ; / K e y & g t ; & l t ; / a : K e y & g t ; & l t ; a : V a l u e   i : t y p e = " D i a g r a m D i s p l a y B a s e V i e w S t a t e \ I D i a g r a m T a g A d d i t i o n a l I n f o " / & g t ; & l t ; / a : K e y V a l u e O f D i a g r a m O b j e c t K e y a n y T y p e z b w N T n L X & g t ; & l t ; a : K e y V a l u e O f D i a g r a m O b j e c t K e y a n y T y p e z b w N T n L X & g t ; & l t ; a : K e y & g t ; & l t ; K e y & g t ; T a b l e s \ W i n t e r   d a i l y   s i t r e p s \ M e a s u r e s \ S u m   o f   A d u l t 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 A d u l t   C C   b e d s   a v a i l \ A d d i t i o n a l   I n f o \ I m p l i c i t   M e a s u r e & l t ; / K e y & g t ; & l t ; / a : K e y & g t ; & l t ; a : V a l u e   i : t y p e = " D i a g r a m D i s p l a y B a s e V i e w S t a t e \ I D i a g r a m T a g A d d i t i o n a l I n f o " / & g t ; & l t ; / a : K e y V a l u e O f D i a g r a m O b j e c t K e y a n y T y p e z b w N T n L X & g t ; & l t ; a : K e y V a l u e O f D i a g r a m O b j e c t K e y a n y T y p e z b w N T n L X & g t ; & l t ; a : K e y & g t ; & l t ; K e y & g t ; T a b l e s \ W i n t e r   d a i l y   s i t r e p s \ M e a s u r e s \ S u m   o f   A d u l t 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 A d u l t   C C   b e d s   o c c \ A d d i t i o n a l   I n f o \ I m p l i c i t   M e a s u r e & l t ; / K e y & g t ; & l t ; / a : K e y & g t ; & l t ; a : V a l u e   i : t y p e = " D i a g r a m D i s p l a y B a s e V i e w S t a t e \ I D i a g r a m T a g A d d i t i o n a l I n f o " / & g t ; & l t ; / a : K e y V a l u e O f D i a g r a m O b j e c t K e y a n y T y p e z b w N T n L X & g t ; & l t ; a : K e y V a l u e O f D i a g r a m O b j e c t K e y a n y T y p e z b w N T n L X & g t ; & l t ; a : K e y & g t ; & l t ; K e y & g t ; T a b l e s \ W i n t e r   d a i l y   s i t r e p s \ M e a s u r e s \ S u m   o f   P a e d 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 P a e d   I n t   C a r e   A v a i l \ A d d i t i o n a l   I n f o \ I m p l i c i t   M e a s u r e & l t ; / K e y & g t ; & l t ; / a : K e y & g t ; & l t ; a : V a l u e   i : t y p e = " D i a g r a m D i s p l a y B a s e V i e w S t a t e \ I D i a g r a m T a g A d d i t i o n a l I n f o " / & g t ; & l t ; / a : K e y V a l u e O f D i a g r a m O b j e c t K e y a n y T y p e z b w N T n L X & g t ; & l t ; a : K e y V a l u e O f D i a g r a m O b j e c t K e y a n y T y p e z b w N T n L X & g t ; & l t ; a : K e y & g t ; & l t ; K e y & g t ; T a b l e s \ W i n t e r   d a i l y   s i t r e p s \ M e a s u r e s \ S u m   o f   P a e d 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 P a e d   I n t   C a r e   O c c \ A d d i t i o n a l   I n f o \ I m p l i c i t   M e a s u r e & l t ; / K e y & g t ; & l t ; / a : K e y & g t ; & l t ; a : V a l u e   i : t y p e = " D i a g r a m D i s p l a y B a s e V i e w S t a t e \ I D i a g r a m T a g A d d i t i o n a l I n f o " / & g t ; & l t ; / a : K e y V a l u e O f D i a g r a m O b j e c t K e y a n y T y p e z b w N T n L X & g t ; & l t ; a : K e y V a l u e O f D i a g r a m O b j e c t K e y a n y T y p e z b w N T n L X & g t ; & l t ; a : K e y & g t ; & l t ; K e y & g t ; T a b l e s \ W i n t e r   d a i l y   s i t r e p s \ M e a s u r e s \ S u m   o f   N e o 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 N e o   I n t   C a r e   A v a i l \ A d d i t i o n a l   I n f o \ I m p l i c i t   M e a s u r e & l t ; / K e y & g t ; & l t ; / a : K e y & g t ; & l t ; a : V a l u e   i : t y p e = " D i a g r a m D i s p l a y B a s e V i e w S t a t e \ I D i a g r a m T a g A d d i t i o n a l I n f o " / & g t ; & l t ; / a : K e y V a l u e O f D i a g r a m O b j e c t K e y a n y T y p e z b w N T n L X & g t ; & l t ; a : K e y V a l u e O f D i a g r a m O b j e c t K e y a n y T y p e z b w N T n L X & g t ; & l t ; a : K e y & g t ; & l t ; K e y & g t ; T a b l e s \ W i n t e r   d a i l y   s i t r e p s \ M e a s u r e s \ S u m   o f   N e o 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 N e o   I n t   C a r e   o c c \ A d d i t i o n a l   I n f o \ I m p l i c i t   M e a s u r e & l t ; / K e y & g t ; & l t ; / a : K e y & g t ; & l t ; a : V a l u e   i : t y p e = " D i a g r a m D i s p l a y B a s e V i e w S t a t e \ I D i a g r a m T a g A d d i t i o n a l I n f o " / & g t ; & l t ; / a : K e y V a l u e O f D i a g r a m O b j e c t K e y a n y T y p e z b w N T n L X & g t ; & l t ; a : K e y V a l u e O f D i a g r a m O b j e c t K e y a n y T y p e z b w N T n L X & g t ; & l t ; a : K e y & g t ; & l t ; K e y & g t ; T a b l e s \ W i n t e r   d a i l y   s i t r e p s \ M e a s u r e s \ A v e r a g e   o f   N e o 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 N e o   I n t   C a r e   A v a i l \ A d d i t i o n a l   I n f o \ I m p l i c i t   M e a s u r e & l t ; / K e y & g t ; & l t ; / a : K e y & g t ; & l t ; a : V a l u e   i : t y p e = " D i a g r a m D i s p l a y B a s e V i e w S t a t e \ I D i a g r a m T a g A d d i t i o n a l I n f o " / & g t ; & l t ; / a : K e y V a l u e O f D i a g r a m O b j e c t K e y a n y T y p e z b w N T n L X & g t ; & l t ; a : K e y V a l u e O f D i a g r a m O b j e c t K e y a n y T y p e z b w N T n L X & g t ; & l t ; a : K e y & g t ; & l t ; K e y & g t ; T a b l e s \ W i n t e r   d a i l y   s i t r e p s \ M e a s u r e s \ A v e r a g e   o f   N e o 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 N e o   I n t   C a r e   o c c \ A d d i t i o n a l   I n f o \ I m p l i c i t   M e a s u r e & l t ; / K e y & g t ; & l t ; / a : K e y & g t ; & l t ; a : V a l u e   i : t y p e = " D i a g r a m D i s p l a y B a s e V i e w S t a t e \ I D i a g r a m T a g A d d i t i o n a l I n f o " / & g t ; & l t ; / a : K e y V a l u e O f D i a g r a m O b j e c t K e y a n y T y p e z b w N T n L X & g t ; & l t ; a : K e y V a l u e O f D i a g r a m O b j e c t K e y a n y T y p e z b w N T n L X & g t ; & l t ; a : K e y & g t ; & l t ; K e y & g t ; T a b l e s \ W i n t e r   d a i l y   s i t r e p s \ M e a s u r e s \ S u m   o f   G A 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 b e d   o c c u p a n c y \ A d d i t i o n a l   I n f o \ I m p l i c i t   M e a s u r e & l t ; / K e y & g t ; & l t ; / a : K e y & g t ; & l t ; a : V a l u e   i : t y p e = " D i a g r a m D i s p l a y B a s e V i e w S t a t e \ I D i a g r a m T a g A d d i t i o n a l I n f o " / & g t ; & l t ; / a : K e y V a l u e O f D i a g r a m O b j e c t K e y a n y T y p e z b w N T n L X & g t ; & l t ; a : K e y V a l u e O f D i a g r a m O b j e c t K e y a n y T y p e z b w N T n L X & g t ; & l t ; a : K e y & g t ; & l t ; K e y & g t ; T a b l e s \ W i n t e r   d a i l y   s i t r e p s \ M e a s u r e s \ A v e r a g e   o f   G A   b e d   o c c u p a n c y & l t ; / K e y & g t ; & l t ; / a : K e y & g t ; & l t ; a : V a l u e   i : t y p e = " D i a g r a m D i s p l a y N o d e V i e w S t a t e " & g t ; & l t ; H e i g h t & g t ; 1 5 0 & l t ; / H e i g h t & g t ; & l t ; I s E x p a n d e d & g t ; t r u e & l t ; / I s E x p a n d e d & g t ; & l t ; W i d t h & g t ; 2 0 0 & l t ; / W i d t h & g t ; & l t ; / a : V a l u e & g t ; & l t ; / a : K e y V a l u e O f D i a g r a m O b j e c t K e y a n y T y p e z b w N T n L X & g t ; & l t ; a : K e y V a l u e O f D i a g r a m O b j e c t K e y a n y T y p e z b w N T n L X & g t ; & l t ; a : K e y & g t ; & l t ; K e y & g t ; T a b l e s \ W i n t e r   d a i l y   s i t r e p s \ A v e r a g e   o f   G A   b e d   o c c u p a n c y \ A d d i t i o n a l   I n f o \ I m p l i c i t   M e a s u r e & l t ; / K e y & g t ; & l t ; / a : K e y & g t ; & l t ; a : V a l u e   i : t y p e = " D i a g r a m D i s p l a y B a s e V i e w S t a t e \ I D i a g r a m T a g A d d i t i o n a l I n f o " / & g t ; & l t ; / a : K e y V a l u e O f D i a g r a m O b j e c t K e y a n y T y p e z b w N T n L X & g t ; & l t ; a : K e y V a l u e O f D i a g r a m O b j e c t K e y a n y T y p e z b w N T n L X & g t ; & l t ; a : K e y & g t ; & l t ; K e y & g t ; T a b l e s \ W i n t e r   d a i l y   s i t r e p s \ M e a s u r e s \ S u m   o f   G A 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 c o r e   b e d s   a v a i l \ A d d i t i o n a l   I n f o \ I m p l i c i t   M e a s u r e & l t ; / K e y & g t ; & l t ; / a : K e y & g t ; & l t ; a : V a l u e   i : t y p e = " D i a g r a m D i s p l a y B a s e V i e w S t a t e \ I D i a g r a m T a g A d d i t i o n a l I n f o " / & g t ; & l t ; / a : K e y V a l u e O f D i a g r a m O b j e c t K e y a n y T y p e z b w N T n L X & g t ; & l t ; a : K e y V a l u e O f D i a g r a m O b j e c t K e y a n y T y p e z b w N T n L X & g t ; & l t ; a : K e y & g t ; & l t ; K e y & g t ; T a b l e s \ W i n t e r   d a i l y   s i t r e p s \ M e a s u r e s \ S u m   o f   G A 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 d a i l y   s i t r e p s \ S u m   o f   G A   e s c a l a t i o n   b e d s   a v a i l \ A d d i t i o n a l   I n f o \ I m p l i c i t   M e a s u r e & l t ; / K e y & g t ; & l t ; / a : K e y & g t ; & l t ; a : V a l u e   i : t y p e = " D i a g r a m D i s p l a y B a s e V i e w S t a t e \ I D i a g r a m T a g A d d i t i o n a l I n f o " / & g t ; & l t ; / a : K e y V a l u e O f D i a g r a m O b j e c t K e y a n y T y p e z b w N T n L X & g t ; & l t ; a : K e y V a l u e O f D i a g r a m O b j e c t K e y a n y T y p e z b w N T n L X & g t ; & l t ; a : K e y & g t ; & l t ; K e y & g t ; T a b l e s \ W i n t e r   b e d   o c c   o v e r   1 4   d a y s & l t ; / K e y & g t ; & l t ; / a : K e y & g t ; & l t ; a : V a l u e   i : t y p e = " D i a g r a m D i s p l a y N o d e V i e w S t a t e " & g t ; & l t ; H e i g h t & g t ; 1 5 0 & l t ; / H e i g h t & g t ; & l t ; I s E x p a n d e d & g t ; t r u e & l t ; / I s E x p a n d e d & g t ; & l t ; L a y e d O u t & g t ; t r u e & l t ; / L a y e d O u t & g t ; & l t ; L e f t & g t ; 9 0 1 & l t ; / L e f t & g t ; & l t ; S c r o l l V e r t i c a l O f f s e t & g t ; 5 9 5 & l t ; / S c r o l l V e r t i c a l O f f s e t & g t ; & l t ; T a b I n d e x & g t ; 1 & l t ; / T a b I n d e x & g t ; & l t ; T o p & g t ; 1 8 0 & l t ; / T o p & g t ; & l t ; W i d t h & g t ; 2 0 0 & l t ; / W i d t h & g t ; & l t ; / a : V a l u e & g t ; & l t ; / a : K e y V a l u e O f D i a g r a m O b j e c t K e y a n y T y p e z b w N T n L X & g t ; & l t ; a : K e y V a l u e O f D i a g r a m O b j e c t K e y a n y T y p e z b w N T n L X & g t ; & l t ; a : K e y & g t ; & l t ; K e y & g t ; T a b l e s \ W i n t e r   b e d   o c c   o v e r   1 4   d a y s \ C o l u m n s \ R e g i o n & l t ; / K e y & g t ; & l t ; / a : K e y & g t ; & l t ; a : V a l u e 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 d a y s \ C o l u m n s \ C o d e & l t ; / K e y & g t ; & l t ; / a : K e y & g t ; & l t ; a : V a l u e 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 d a y s \ C o l u m n s \ N a m e & l t ; / K e y & g t ; & l t ; / a : K e y & g t ; & l t ; a : V a l u e 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 d a y s \ C o l u m n s \ Y e a r & l t ; / K e y & g t ; & l t ; / a : K e y & g t ; & l t ; a : V a l u e 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 d a y s \ C o l u m n s \ D a t e & l t ; / K e y & g t ; & l t ; / a : K e y & g t ; & l t ; a : V a l u e 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 d a y s \ C o l u m n s \ W e e k & l t ; / K e y & g t ; & l t ; / a : K e y & g t ; & l t ; a : V a l u e 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 d a y s \ C o l u m n s \ D a y & l t ; / K e y & g t ; & l t ; / a : K e y & g t ; & l t ; a : V a l u e 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 d a y s \ C o l u m n s \ W e e k e n d & l t ; / K e y & g t ; & l t ; / a : K e y & g t ; & l t ; a : V a l u e 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 d a y s \ C o l u m n s \ B a n k   h o l i d a y & l t ; / K e y & g t ; & l t ; / a : K e y & g t ; & l t ; a : V a l u e 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  E   c l o s u r e s & l t ; / K e y & g t ; & l t ; / a : K e y & g t ; & l t ; a : V a l u e 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  E   d i v e r t s & l t ; / K e y & g t ; & l t ; / a : K e y & g t ; & l t ; a : V a l u e 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 c o r e 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 e s c a l a t i o n 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 t o t a l 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 d a y s \ C o l u m n s \ G   A   t o t a l   b e d s   o c c u p i e d & l t ; / K e y & g t ; & l t ; / a : K e y & g t ; & l t ; a : V a l u e 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 7 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 2 1 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 c l o s e d   n o r o v i r u s & l t ; / K e y & g t ; & l t ; / a : K e y & g t ; & l t ; a : V a l u e 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 c l o s e d   n o r o v i u s   u n o c c & l t ; / K e y & g t ; & l t ; / a : K e y & g t ; & l t ; a : V a l u e 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 d a y s \ C o l u m n s \ A d u l t   C C   b e d s 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 d a y s \ C o l u m n s \ A d u l t   C C   b e d s 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 d a y s \ C o l u m n s \ P a e d   I n t   C a r e 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 d a y s \ C o l u m n s \ P a e d   I n t   C a r e 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 d a y s \ C o l u m n s \ N e o   I n t   C a r e   A v a i l & l t ; / K e y & g t ; & l t ; / a : K e y & g t ; & l t ; a : V a l u e 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 d a y s \ C o l u m n s \ N e o   I n t   C a r e   o c c & l t ; / K e y & g t ; & l t ; / a : K e y & g t ; & l t ; a : V a l u e 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 a r r i v a l s & l t ; / K e y & g t ; & l t ; / a : K e y & g t ; & l t ; a : V a l u e 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 d e l a y s   3 0 - 6 0   m i n s & l t ; / K e y & g t ; & l t ; / a : K e y & g t ; & l t ; a : V a l u e 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 d a y s \ C o l u m n s \ A m b   d e l a y s   o v e r   6 0   m i n s & l t ; / K e y & g t ; & l t ; / a : K e y & g t ; & l t ; a : V a l u e 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 d a y s \ C o l u m n s \ B e d s   o c c   o v e r   1 4 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 d a y s \ M e a s u r e s \ S u m   o f   B e d s   o c c   o v e r   1 4   d a y s & l t ; / K e y & g t ; & l t ; / a : K e y & g t ; & l t ; a : V a l u e   i : t y p e = " D i a g r a m D i s p l a y N o d e V i e w S t a t e " & g t ; & l t ; H e i g h t & g t ; 1 5 0 & l t ; / H e i g h t & g t ; & l t ; I s E x p a n d e d & g t ; t r u e & l t ; / I s E x p a n d e d & g t ; & l t ; W i d t h & g t ; 2 0 0 & l t ; / W i d t h & g t ; & l t ; / a : V a l u e & g t ; & l t ; / a : K e y V a l u e O f D i a g r a m O b j e c t K e y a n y T y p e z b w N T n L X & g t ; & l t ; a : K e y V a l u e O f D i a g r a m O b j e c t K e y a n y T y p e z b w N T n L X & g t ; & l t ; a : K e y & g t ; & l t ; K e y & g t ; T a b l e s \ W i n t e r   b e d   o c c   o v e r   1 4   d a y s \ S u m   o f   B e d s   o c c   o v e r   1 4   d a y s \ A d d i t i o n a l   I n f o \ I m p l i c i t   M e a s u r e & l t ; / K e y & g t ; & l t ; / a : K e y & g t ; & l t ; a : V a l u e   i : t y p e = " D i a g r a m D i s p l a y B a s e V i e w S t a t e \ I D i a g r a m T a g A d d i t i o n a l I n f o " / & g t ; & l t ; / a : K e y V a l u e O f D i a g r a m O b j e c t K e y a n y T y p e z b w N T n L X & g t ; & l t ; / V i e w S t a t e s & g t ; & l t ; / D i a g r a m M a n a g e r . S e r i a l i z a b l e D i a g r a m & g t ; & l t ; / A r r a y O f D i a g r a m M a n a g e r . S e r i a l i z a b l e D i a g r a m & g t ; < / C u s t o m C o n t e n t > < / G e m i n i > 
</file>

<file path=customXml/item25.xml>��< ? x m l   v e r s i o n = " 1 . 0 "   e n c o d i n g = " U T F - 1 6 " ? > < G e m i n i   x m l n s = " h t t p : / / g e m i n i / p i v o t c u s t o m i z a t i o n / 7 0 9 0 7 d c b - 9 d b 8 - 4 6 1 7 - 8 7 8 4 - 4 3 e 1 8 3 8 5 9 5 3 c " > < 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 1 0 5 9 5 6 6 9 2 5 < / S A H o s t H a s h > < G e m i n i F i e l d L i s t V i s i b l e > T r u e < / G e m i n i F i e l d L i s t V i s i b l e > < / S e t t i n g s > ] ] > < / C u s t o m C o n t e n t > < / G e m i n i > 
</file>

<file path=customXml/item26.xml>��< ? x m l   v e r s i o n = " 1 . 0 "   e n c o d i n g = " U T F - 1 6 " ? > < G e m i n i   x m l n s = " h t t p : / / g e m i n i / p i v o t c u s t o m i z a t i o n / a d f c 4 4 0 e - 7 8 6 6 - 4 9 5 3 - b b 1 b - e b 5 8 1 3 3 3 b e 6 3 " > < C u s t o m C o n t e n t > < ! [ C D A T A [ < ? x m l   v e r s i o n = " 1 . 0 "   e n c o d i n g = " u t f - 1 6 " ? > < S e t t i n g s > < C a l c u l a t e d F i e l d s > < i t e m > < M e a s u r e N a m e > S u m   o f   B e d s   o c c   o v e r   1 4   d a y s < / M e a s u r e N a m e > < D i s p l a y N a m e > S u m   o f   B e d s   o c c   o v e r   1 4   d a y s < / D i s p l a y N a m e > < V i s i b l e > T r u e < / V i s i b l e > < / i t e m > < / C a l c u l a t e d F i e l d s > < H S l i c e r s S h a p e > 0 ; 0 ; 0 ; 0 < / H S l i c e r s S h a p e > < V S l i c e r s S h a p e > 0 ; 0 ; 0 ; 0 < / V S l i c e r s S h a p e > < S l i c e r S h e e t N a m e > L o n g   s t a y < / S l i c e r S h e e t N a m e > < S A H o s t H a s h > 1 6 9 5 5 1 3 8 9 < / S A H o s t H a s h > < G e m i n i F i e l d L i s t V i s i b l e > F a l s e < / G e m i n i F i e l d L i s t V i s i b l e > < / S e t t i n g s > ] ] > < / C u s t o m C o n t e n t > < / G e m i n i > 
</file>

<file path=customXml/item27.xml>��< ? x m l   v e r s i o n = " 1 . 0 "   e n c o d i n g = " U T F - 1 6 " ? > < G e m i n i   x m l n s = " h t t p : / / g e m i n i / p i v o t c u s t o m i z a t i o n / 7 e c 8 6 b b 0 - 3 b f 3 - 4 9 4 4 - b 8 9 4 - a 8 0 5 7 7 8 9 e 3 6 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 1 3 5 9 2 3 5 3 5 4 < / S A H o s t H a s h > < G e m i n i F i e l d L i s t V i s i b l e > T r u e < / G e m i n i F i e l d L i s t V i s i b l e > < / S e t t i n g s > ] ] > < / C u s t o m C o n t e n t > < / G e m i n i > 
</file>

<file path=customXml/item28.xml>��< ? x m l   v e r s i o n = " 1 . 0 "   e n c o d i n g = " U T F - 1 6 " ? > < G e m i n i   x m l n s = " h t t p : / / g e m i n i / p i v o t c u s t o m i z a t i o n / e a f 9 b 4 0 0 - a 2 b d - 4 3 d 0 - 8 b a 9 - 4 b d 3 d 8 b 1 e 3 c 8 " > < C u s t o m C o n t e n t > < ! [ C D A T A [ < ? x m l   v e r s i o n = " 1 . 0 "   e n c o d i n g = " u t f - 1 6 " ? > < S e t t i n g s > < C a l c u l a t e d F i e l d s > < i t e m > < M e a s u r e N a m e > S u m   o f   A m b   d e l a y s   3 0 - 6 0   m i n s < / M e a s u r e N a m e > < D i s p l a y N a m e > 3 0 - 6 0   m i n s < / D i s p l a y N a m e > < V i s i b l e > T r u e < / V i s i b l e > < / i t e m > < i t e m > < M e a s u r e N a m e > S u m   o f   A m b   d e l a y s   o v e r   6 0   m i n s < / M e a s u r e N a m e > < D i s p l a y N a m e > o v e r   6 0   m i n s < / D i s p l a y N a m e > < V i s i b l e > T r u e < / V i s i b l e > < / i t e m > < i t e m > < M e a s u r e N a m e > S u m   o f   A m b   a r r i v a l s < / M e a s u r e N a m e > < D i s p l a y N a m e > S u m   o f   A m b   a r r i v a l s < / D i s p l a y N a m e > < V i s i b l e > T r u e < / V i s i b l e > < / i t e m > < / C a l c u l a t e d F i e l d s > < H S l i c e r s S h a p e > 0 ; 0 ; 0 ; 0 < / H S l i c e r s S h a p e > < V S l i c e r s S h a p e > 0 ; 0 ; 0 ; 0 < / V S l i c e r s S h a p e > < S l i c e r S h e e t N a m e > A m b u l a n c e < / S l i c e r S h e e t N a m e > < S A H o s t H a s h > 1 2 3 2 6 5 6 8 1 3 < / S A H o s t H a s h > < G e m i n i F i e l d L i s t V i s i b l e > F a l s e < / G e m i n i F i e l d L i s t V i s i b l e > < / S e t t i n g s > ] ] > < / C u s t o m C o n t e n t > < / G e m i n i > 
</file>

<file path=customXml/item29.xml>��< ? x m l   v e r s i o n = " 1 . 0 "   e n c o d i n g = " U T F - 1 6 " ? > < G e m i n i   x m l n s = " h t t p : / / g e m i n i / p i v o t c u s t o m i z a t i o n / C l i e n t W i n d o w X M L " > < C u s t o m C o n t e n t > W i n t e r   b e d   o c c   o v e r   1 4   d a y s < / C u s t o m C o n t e n t > < / G e m i n i > 
</file>

<file path=customXml/item3.xml>��< ? x m l   v e r s i o n = " 1 . 0 "   e n c o d i n g = " U T F - 1 6 " ? > < G e m i n i   x m l n s = " h t t p : / / g e m i n i / p i v o t c u s t o m i z a t i o n / 7 9 8 d 9 c d c - a a f 5 - 4 6 d 1 - a d d 3 - 3 3 5 d 5 5 9 7 e 4 a a " > < C u s t o m C o n t e n t > < ! [ C D A T A [ < ? x m l   v e r s i o n = " 1 . 0 "   e n c o d i n g = " u t f - 1 6 " ? > < S e t t i n g s > < H S l i c e r s S h a p e > 0 ; 0 ; 0 ; 0 < / H S l i c e r s S h a p e > < V S l i c e r s S h a p e > 0 ; 0 ; 0 ; 0 < / V S l i c e r s S h a p e > < S l i c e r S h e e t N a m e > G & a m p ; A   b e d s < / S l i c e r S h e e t N a m e > < S A H o s t H a s h > 2 0 9 2 8 6 5 4 8 < / S A H o s t H a s h > < G e m i n i F i e l d L i s t V i s i b l e > T r u e < / G e m i n i F i e l d L i s t V i s i b l e > < / S e t t i n g s > ] ] > < / C u s t o m C o n t e n t > < / G e m i n i > 
</file>

<file path=customXml/item30.xml>��< ? x m l   v e r s i o n = " 1 . 0 "   e n c o d i n g = " U T F - 1 6 " ? > < G e m i n i   x m l n s = " h t t p : / / g e m i n i / p i v o t c u s t o m i z a t i o n / f b 0 6 9 d 2 9 - b 4 8 8 - 4 4 c f - b 4 d d - a 6 4 c 1 8 3 4 0 4 5 e " > < 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 L o n g   s t a y < / S l i c e r S h e e t N a m e > < S A H o s t H a s h > 5 8 8 7 0 7 4 2 6 < / S A H o s t H a s h > < G e m i n i F i e l d L i s t V i s i b l e > T r u e < / G e m i n i F i e l d L i s t V i s i b l e > < / S e t t i n g s > ] ] > < / C u s t o m C o n t e n t > < / G e m i n i > 
</file>

<file path=customXml/item31.xml>��< ? x m l   v e r s i o n = " 1 . 0 "   e n c o d i n g = " U T F - 1 6 " ? > < G e m i n i   x m l n s = " h t t p : / / g e m i n i / p i v o t c u s t o m i z a t i o n / 8 0 9 2 c a 9 8 - d 0 5 5 - 4 0 1 c - 8 5 5 a - 8 7 a 6 5 0 e 1 5 8 9 b " > < 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 C r i t i c a l   c a r e < / S l i c e r S h e e t N a m e > < S A H o s t H a s h > 2 8 1 9 4 8 0 6 4 < / S A H o s t H a s h > < G e m i n i F i e l d L i s t V i s i b l e > T r u e < / G e m i n i F i e l d L i s t V i s i b l e > < / S e t t i n g s > ] ] > < / C u s t o m C o n t e n t > < / G e m i n i > 
</file>

<file path=customXml/item32.xml>��< ? x m l   v e r s i o n = " 1 . 0 "   e n c o d i n g = " U T F - 1 6 " ? > < G e m i n i   x m l n s = " h t t p : / / g e m i n i / p i v o t c u s t o m i z a t i o n / a 2 b b 9 c 2 e - 6 6 0 6 - 4 0 c 6 - 8 9 8 8 - 4 a 0 b 4 9 a 1 5 b 1 b " > < 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 5 1 3 8 3 2 3 4 7 < / S A H o s t H a s h > < G e m i n i F i e l d L i s t V i s i b l e > T r u e < / G e m i n i F i e l d L i s t V i s i b l e > < / S e t t i n g s > ] ] > < / C u s t o m C o n t e n t > < / G e m i n i > 
</file>

<file path=customXml/item33.xml>��< ? x m l   v e r s i o n = " 1 . 0 "   e n c o d i n g = " U T F - 1 6 " ? > < G e m i n i   x m l n s = " h t t p : / / g e m i n i / w o r k b o o k c u s t o m i z a t i o n / I s S a n d b o x E m b e d d e d " > < C u s t o m C o n t e n t > < ! [ C D A T A [ y e s ] ] > < / C u s t o m C o n t e n t > < / G e m i n i > 
</file>

<file path=customXml/item34.xml>��< ? x m l   v e r s i o n = " 1 . 0 "   e n c o d i n g = " U T F - 1 6 " ? > < G e m i n i   x m l n s = " h t t p : / / g e m i n i / w o r k b o o k c u s t o m i z a t i o n / R e l a t i o n s h i p A u t o D e t e c t i o n E n a b l e d " > < C u s t o m C o n t e n t > < ! [ C D A T A [ T r u e ] ] > < / C u s t o m C o n t e n t > < / G e m i n i > 
</file>

<file path=customXml/item35.xml>��< ? x m l   v e r s i o n = " 1 . 0 "   e n c o d i n g = " U T F - 1 6 " ? > < G e m i n i   x m l n s = " h t t p : / / g e m i n i / p i v o t c u s t o m i z a t i o n / a 1 b 5 b d 0 c - f 0 f f - 4 3 a 7 - a 4 2 c - 2 4 b b f 7 1 d c 7 e a " > < 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 9 8 4 2 1 3 5 2 5 < / S A H o s t H a s h > < G e m i n i F i e l d L i s t V i s i b l e > T r u e < / G e m i n i F i e l d L i s t V i s i b l e > < / S e t t i n g s > ] ] > < / C u s t o m C o n t e n t > < / G e m i n i > 
</file>

<file path=customXml/item36.xml>��< ? x m l   v e r s i o n = " 1 . 0 "   e n c o d i n g = " U T F - 1 6 " ? > < G e m i n i   x m l n s = " h t t p : / / g e m i n i / p i v o t c u s t o m i z a t i o n / T a b l e C o u n t I n S a n d b o x " > < C u s t o m C o n t e n t > 2 < / C u s t o m C o n t e n t > < / G e m i n i > 
</file>

<file path=customXml/item37.xml>��< ? x m l   v e r s i o n = " 1 . 0 "   e n c o d i n g = " U T F - 1 6 " ? > < G e m i n i   x m l n s = " h t t p : / / g e m i n i / p i v o t c u s t o m i z a t i o n / L i n k e d T a b l e U p d a t e M o d e " > < C u s t o m C o n t e n t > < ! [ C D A T A [ T r u e ] ] > < / C u s t o m C o n t e n t > < / G e m i n i > 
</file>

<file path=customXml/item38.xml>��< ? x m l   v e r s i o n = " 1 . 0 "   e n c o d i n g = " U T F - 1 6 " ? > < G e m i n i   x m l n s = " h t t p : / / g e m i n i / p i v o t c u s t o m i z a t i o n / 7 c d b a 4 9 d - 4 c 8 e - 4 5 1 7 - a 4 e 1 - 6 f f 5 f e d b b 3 a 1 " > < C u s t o m C o n t e n t > < ! [ C D A T A [ < ? x m l   v e r s i o n = " 1 . 0 "   e n c o d i n g = " u t f - 1 6 " ? > < S e t t i n g s > < C a l c u l a t e d F i e l d s > < i t e m > < M e a s u r e N a m e > S u m   o f   A E   d i v e r t s < / M e a s u r e N a m e > < D i s p l a y N a m e > S u m   o f   A E   d i v e r t s < / D i s p l a y N a m e > < V i s i b l e > T r u e < / V i s i b l e > < / i t e m > < / C a l c u l a t e d F i e l d s > < H S l i c e r s S h a p e > 0 ; 0 ; 0 ; 0 < / H S l i c e r s S h a p e > < V S l i c e r s S h a p e > 0 ; 0 ; 0 ; 0 < / V S l i c e r s S h a p e > < S l i c e r S h e e t N a m e > G & a m p ; A   b e d   a v a i l . < / S l i c e r S h e e t N a m e > < S A H o s t H a s h > 1 6 6 5 9 9 4 7 1 6 < / S A H o s t H a s h > < G e m i n i F i e l d L i s t V i s i b l e > F a l s e < / G e m i n i F i e l d L i s t V i s i b l e > < / S e t t i n g s > ] ] > < / C u s t o m C o n t e n t > < / G e m i n i > 
</file>

<file path=customXml/item39.xml>��< ? x m l   v e r s i o n = " 1 . 0 "   e n c o d i n g = " U T F - 1 6 " ? > < G e m i n i   x m l n s = " h t t p : / / g e m i n i / p i v o t c u s t o m i z a t i o n / 2 8 d e d f 1 c - 9 2 d 5 - 4 d 5 3 - b 4 e 5 - 4 d a 1 7 1 1 1 b b 7 9 " > < 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 1 4 7 8 7 2 2 9 6 2 < / S A H o s t H a s h > < G e m i n i F i e l d L i s t V i s i b l e > F a l s e < / G e m i n i F i e l d L i s t V i s i b l e > < / S e t t i n g s > ] ] > < / C u s t o m C o n t e n t > < / G e m i n i > 
</file>

<file path=customXml/item4.xml>��< ? x m l   v e r s i o n = " 1 . 0 "   e n c o d i n g = " U T F - 1 6 " ? > < G e m i n i   x m l n s = " h t t p : / / g e m i n i / p i v o t c u s t o m i z a t i o n / c 1 f 4 5 b 2 7 - 5 3 7 7 - 4 b 8 5 - a 5 c c - 8 3 4 7 f 8 1 f 5 2 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 2 0 1 7 3 6 6 6 0 7 < / S A H o s t H a s h > < G e m i n i F i e l d L i s t V i s i b l e > F a l s e < / G e m i n i F i e l d L i s t V i s i b l e > < / S e t t i n g s > ] ] > < / C u s t o m C o n t e n t > < / G e m i n i > 
</file>

<file path=customXml/item40.xml>��< ? x m l   v e r s i o n = " 1 . 0 "   e n c o d i n g = " U T F - 1 6 " ? > < G e m i n i   x m l n s = " h t t p : / / g e m i n i / p i v o t c u s t o m i z a t i o n / 7 5 1 0 8 4 2 0 - 6 8 4 c - 4 0 3 6 - b d f e - d f d 1 f 9 7 3 e 4 7 b " > < C u s t o m C o n t e n t > < ! [ C D A T A [ < ? x m l   v e r s i o n = " 1 . 0 "   e n c o d i n g = " u t f - 1 6 " ? > < S e t t i n g s > < C a l c u l a t e d F i e l d s > < i t e m > < M e a s u r e N a m e > A v e r a g e   o f   G A   b e d   o c c u p a n c y < / M e a s u r e N a m e > < D i s p l a y N a m e > A v e r a g e   o f   G A   b e d   o c c u p a n c y < / D i s p l a y N a m e > < V i s i b l e > T r u e < / V i s i b l e > < / i t e m > < / C a l c u l a t e d F i e l d s > < H S l i c e r s S h a p e > 0 ; 0 ; 0 ; 0 < / H S l i c e r s S h a p e > < V S l i c e r s S h a p e > 0 ; 0 ; 0 ; 0 < / V S l i c e r s S h a p e > < S l i c e r S h e e t N a m e > G & a m p ; A   b e d   a v a i l . < / S l i c e r S h e e t N a m e > < S A H o s t H a s h > 5 2 0 9 2 3 2 8 0 < / S A H o s t H a s h > < G e m i n i F i e l d L i s t V i s i b l e > F a l s e < / G e m i n i F i e l d L i s t V i s i b l e > < / S e t t i n g s > ] ] > < / C u s t o m C o n t e n t > < / G e m i n i > 
</file>

<file path=customXml/item41.xml>��< ? x m l   v e r s i o n = " 1 . 0 "   e n c o d i n g = " U T F - 1 6 " ? > < G e m i n i   x m l n s = " h t t p : / / g e m i n i / p i v o t c u s t o m i z a t i o n / 6 a 6 6 9 4 b f - 2 5 7 9 - 4 d 4 7 - a d 9 9 - 0 c f 6 6 9 c 7 9 f b 5 " > < 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 1 3 5 9 2 3 5 3 5 4 < / S A H o s t H a s h > < G e m i n i F i e l d L i s t V i s i b l e > T r u e < / G e m i n i F i e l d L i s t V i s i b l e > < / S e t t i n g s > ] ] > < / C u s t o m C o n t e n t > < / G e m i n i > 
</file>

<file path=customXml/item42.xml>��< ? x m l   v e r s i o n = " 1 . 0 "   e n c o d i n g = " U T F - 1 6 " ? > < G e m i n i   x m l n s = " h t t p : / / g e m i n i / p i v o t c u s t o m i z a t i o n / e 4 f 2 c 4 7 2 - a 1 4 6 - 4 e e 5 - b e 4 9 - 5 2 8 7 0 8 8 b 7 2 0 9 " > < C u s t o m C o n t e n t > < ! [ C D A T A [ < ? x m l   v e r s i o n = " 1 . 0 "   e n c o d i n g = " u t f - 1 6 " ? > < S e t t i n g s > < H S l i c e r s S h a p e > 0 ; 0 ; 0 ; 0 < / H S l i c e r s S h a p e > < V S l i c e r s S h a p e > 0 ; 0 ; 0 ; 0 < / V S l i c e r s S h a p e > < S l i c e r S h e e t N a m e > P I C U < / S l i c e r S h e e t N a m e > < S A H o s t H a s h > 5 1 3 8 3 2 3 4 7 < / S A H o s t H a s h > < G e m i n i F i e l d L i s t V i s i b l e > T r u e < / G e m i n i F i e l d L i s t V i s i b l e > < / S e t t i n g s > ] ] > < / C u s t o m C o n t e n t > < / G e m i n i > 
</file>

<file path=customXml/item43.xml>��< ? x m l   v e r s i o n = " 1 . 0 "   e n c o d i n g = " U T F - 1 6 " ? > < G e m i n i   x m l n s = " h t t p : / / g e m i n i / p i v o t c u s t o m i z a t i o n / d d 0 9 8 1 d d - 8 6 3 9 - 4 5 a e - b 5 0 1 - a 4 9 7 8 9 7 f 6 7 6 e " > < 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 1 0 5 2 4 7 5 9 9 2 < / S A H o s t H a s h > < G e m i n i F i e l d L i s t V i s i b l e > T r u e < / G e m i n i F i e l d L i s t V i s i b l e > < / S e t t i n g s > ] ] > < / C u s t o m C o n t e n t > < / G e m i n i > 
</file>

<file path=customXml/item44.xml>��< ? x m l   v e r s i o n = " 1 . 0 "   e n c o d i n g = " U T F - 1 6 " ? > < G e m i n i   x m l n s = " h t t p : / / g e m i n i / p i v o t c u s t o m i z a t i o n / c b 8 3 e 9 5 3 - d 3 a 9 - 4 4 3 3 - 8 4 e 3 - 8 6 f 1 3 2 0 8 4 5 4 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 1 1 2 0 2 6 0 1 3 8 < / S A H o s t H a s h > < G e m i n i F i e l d L i s t V i s i b l e > T r u e < / G e m i n i F i e l d L i s t V i s i b l e > < / S e t t i n g s > ] ] > < / C u s t o m C o n t e n t > < / G e m i n i > 
</file>

<file path=customXml/item45.xml>��< ? x m l   v e r s i o n = " 1 . 0 "   e n c o d i n g = " U T F - 1 6 " ? > < G e m i n i   x m l n s = " h t t p : / / g e m i n i / p i v o t c u s t o m i z a t i o n / 3 3 6 8 9 7 8 5 - b 6 5 f - 4 d 0 9 - 8 f 6 9 - 7 0 3 8 3 e f 1 8 8 d 2 " > < C u s t o m C o n t e n t > < ! [ C D A T A [ < ? x m l   v e r s i o n = " 1 . 0 "   e n c o d i n g = " u t f - 1 6 " ? > < S e t t i n g s > < C a l c u l a t e d F i e l d s > < i t e m > < M e a s u r e N a m e > S u m   o f   N e o   I n t   C a r e   A v a i l < / M e a s u r e N a m e > < D i s p l a y N a m e > S u m   o f   N e o   I n t   C a r e   A v a i l < / D i s p l a y N a m e > < V i s i b l e > T r u e < / V i s i b l e > < / i t e m > < i t e m > < M e a s u r e N a m e > S u m   o f   N e o   I n t   C a r e   o c c < / M e a s u r e N a m e > < D i s p l a y N a m e > S u m   o f   N e o   I n t   C a r e   o c c < / D i s p l a y N a m e > < V i s i b l e > T r u e < / V i s i b l e > < / i t e m > < / C a l c u l a t e d F i e l d s > < H S l i c e r s S h a p e > 0 ; 0 ; 0 ; 0 < / H S l i c e r s S h a p e > < V S l i c e r s S h a p e > 0 ; 0 ; 0 ; 0 < / V S l i c e r s S h a p e > < S l i c e r S h e e t N a m e > P I C U < / S l i c e r S h e e t N a m e > < S A H o s t H a s h > 1 8 9 0 7 8 8 0 6 6 < / S A H o s t H a s h > < G e m i n i F i e l d L i s t V i s i b l e > T r u e < / G e m i n i F i e l d L i s t V i s i b l e > < / S e t t i n g s > ] ] > < / C u s t o m C o n t e n t > < / G e m i n i > 
</file>

<file path=customXml/item46.xml>��< ? x m l   v e r s i o n = " 1 . 0 "   e n c o d i n g = " U T F - 1 6 " ? > < G e m i n i   x m l n s = " h t t p : / / g e m i n i / w o r k b o o k c u s t o m i z a t i o n / R e l a t i o n s h i p D e t e c t i o n N e e d e d D i c t i o n a r y " > < C u s t o m C o n t e n t > < ! [ C D A T A [ < D i c t i o n a r y > < i t e m > < k e y > < s t r i n g > 9 d 0 6 c d 8 0 - 1 8 a b - 4 9 7 0 - a a b 5 - c 7 e c a 7 1 e b 3 d b < / s t r i n g > < / k e y > < v a l u e > < b o o l e a n > t r u e < / b o o l e a n > < / v a l u e > < / i t e m > < i t e m > < k e y > < s t r i n g > 7 c d b a 4 9 d - 4 c 8 e - 4 5 1 7 - a 4 e 1 - 6 f f 5 f e d b b 3 a 1 < / s t r i n g > < / k e y > < v a l u e > < b o o l e a n > t r u e < / b o o l e a n > < / v a l u e > < / i t e m > < i t e m > < k e y > < s t r i n g > c 1 f 4 5 b 2 7 - 5 3 7 7 - 4 b 8 5 - a 5 c c - 8 3 4 7 f 8 1 f 5 2 d b < / s t r i n g > < / k e y > < v a l u e > < b o o l e a n > t r u e < / b o o l e a n > < / v a l u e > < / i t e m > < i t e m > < k e y > < s t r i n g > 7 0 9 0 7 d c b - 9 d b 8 - 4 6 1 7 - 8 7 8 4 - 4 3 e 1 8 3 8 5 9 5 3 c < / s t r i n g > < / k e y > < v a l u e > < b o o l e a n > t r u e < / b o o l e a n > < / v a l u e > < / i t e m > < i t e m > < k e y > < s t r i n g > f 3 1 2 5 b e 8 - 0 2 6 8 - 4 a a b - a 2 0 c - 9 3 5 9 a 9 7 f f 2 7 0 < / s t r i n g > < / k e y > < v a l u e > < b o o l e a n > t r u e < / b o o l e a n > < / v a l u e > < / i t e m > < i t e m > < k e y > < s t r i n g > e d 6 4 2 6 2 9 - 0 1 c e - 4 1 a 1 - 8 9 d c - 5 d c f a 0 2 1 9 d 0 f < / s t r i n g > < / k e y > < v a l u e > < b o o l e a n > t r u e < / b o o l e a n > < / v a l u e > < / i t e m > < i t e m > < k e y > < s t r i n g > 2 8 d e d f 1 c - 9 2 d 5 - 4 d 5 3 - b 4 e 5 - 4 d a 1 7 1 1 1 b b 7 9 < / s t r i n g > < / k e y > < v a l u e > < b o o l e a n > t r u e < / b o o l e a n > < / v a l u e > < / i t e m > < i t e m > < k e y > < s t r i n g > e 0 e c 1 1 d e - 9 8 1 b - 4 0 5 2 - a 8 f e - 1 e 8 c d 4 4 2 a a d e < / s t r i n g > < / k e y > < v a l u e > < b o o l e a n > t r u e < / b o o l e a n > < / v a l u e > < / i t e m > < i t e m > < k e y > < s t r i n g > 8 e e d c 9 7 8 - 0 7 e 8 - 4 8 d 8 - 8 1 c 4 - 2 d 3 3 6 5 5 3 a 9 2 f < / s t r i n g > < / k e y > < v a l u e > < b o o l e a n > t r u e < / b o o l e a n > < / v a l u e > < / i t e m > < i t e m > < k e y > < s t r i n g > 7 5 1 0 8 4 2 0 - 6 8 4 c - 4 0 3 6 - b d f e - d f d 1 f 9 7 3 e 4 7 b < / s t r i n g > < / k e y > < v a l u e > < b o o l e a n > t r u e < / b o o l e a n > < / v a l u e > < / i t e m > < i t e m > < k e y > < s t r i n g > a 3 5 2 a a 7 b - 4 6 c 6 - 4 6 3 0 - a 5 0 5 - e 6 5 d d 9 6 5 d 2 5 a < / s t r i n g > < / k e y > < v a l u e > < b o o l e a n > t r u e < / b o o l e a n > < / v a l u e > < / i t e m > < i t e m > < k e y > < s t r i n g > a d f c 4 4 0 e - 7 8 6 6 - 4 9 5 3 - b b 1 b - e b 5 8 1 3 3 3 b e 6 3 < / s t r i n g > < / k e y > < v a l u e > < b o o l e a n > t r u e < / b o o l e a n > < / v a l u e > < / i t e m > < i t e m > < k e y > < s t r i n g > e c b 0 1 0 0 6 - d 7 7 8 - 4 5 2 3 - b b 6 1 - 3 a 8 5 7 6 3 8 a 5 d f < / s t r i n g > < / k e y > < v a l u e > < b o o l e a n > t r u e < / b o o l e a n > < / v a l u e > < / i t e m > < i t e m > < k e y > < s t r i n g > 6 8 c e 7 b b 5 - b 9 a 1 - 4 6 1 8 - b 6 f 2 - 2 5 0 7 f 2 2 3 e 5 3 3 < / s t r i n g > < / k e y > < v a l u e > < b o o l e a n > t r u e < / b o o l e a n > < / v a l u e > < / i t e m > < i t e m > < k e y > < s t r i n g > 6 a 6 6 9 4 b f - 2 5 7 9 - 4 d 4 7 - a d 9 9 - 0 c f 6 6 9 c 7 9 f b 5 < / s t r i n g > < / k e y > < v a l u e > < b o o l e a n > t r u e < / b o o l e a n > < / v a l u e > < / i t e m > < i t e m > < k e y > < s t r i n g > 9 7 b 7 7 5 4 3 - 1 b 1 d - 4 3 2 f - 8 c 1 2 - 8 6 d 5 d 6 1 2 6 7 b b < / s t r i n g > < / k e y > < v a l u e > < b o o l e a n > t r u e < / b o o l e a n > < / v a l u e > < / i t e m > < i t e m > < k e y > < s t r i n g > 7 e c 8 6 b b 0 - 3 b f 3 - 4 9 4 4 - b 8 9 4 - a 8 0 5 7 7 8 9 e 3 6 b < / s t r i n g > < / k e y > < v a l u e > < b o o l e a n > t r u e < / b o o l e a n > < / v a l u e > < / i t e m > < i t e m > < k e y > < s t r i n g > f 6 e 7 f 0 b 5 - 4 e d 5 - 4 f b a - b a c 3 - 7 0 9 7 d 7 9 e 8 5 4 c < / s t r i n g > < / k e y > < v a l u e > < b o o l e a n > t r u e < / b o o l e a n > < / v a l u e > < / i t e m > < i t e m > < k e y > < s t r i n g > 2 d 9 d 5 7 d 6 - 2 4 1 a - 4 b 7 d - 8 0 0 7 - 2 3 7 5 6 d b f 9 3 5 4 < / s t r i n g > < / k e y > < v a l u e > < b o o l e a n > t r u e < / b o o l e a n > < / v a l u e > < / i t e m > < i t e m > < k e y > < s t r i n g > e 2 d e 2 b 4 0 - f 5 8 f - 4 5 2 2 - b 9 8 5 - c 9 b 0 8 a 9 8 f 8 1 8 < / s t r i n g > < / k e y > < v a l u e > < b o o l e a n > t r u e < / b o o l e a n > < / v a l u e > < / i t e m > < i t e m > < k e y > < s t r i n g > 8 6 0 2 e 9 0 7 - d d c 4 - 4 0 b b - 8 9 c a - 8 3 6 9 d e 9 1 4 b b 2 < / s t r i n g > < / k e y > < v a l u e > < b o o l e a n > t r u e < / b o o l e a n > < / v a l u e > < / i t e m > < i t e m > < k e y > < s t r i n g > f b 0 6 9 d 2 9 - b 4 8 8 - 4 4 c f - b 4 d d - a 6 4 c 1 8 3 4 0 4 5 e < / s t r i n g > < / k e y > < v a l u e > < b o o l e a n > t r u e < / b o o l e a n > < / v a l u e > < / i t e m > < i t e m > < k e y > < s t r i n g > c 1 f a 9 d 3 7 - c a f a - 4 c 6 c - b d 2 9 - 4 5 5 c c 7 c e a 9 b 3 < / s t r i n g > < / k e y > < v a l u e > < b o o l e a n > t r u e < / b o o l e a n > < / v a l u e > < / i t e m > < i t e m > < k e y > < s t r i n g > 6 1 a c 6 1 5 e - 4 0 0 2 - 4 6 a 2 - a f d 6 - 5 6 0 1 e 0 5 c 1 0 5 7 < / s t r i n g > < / k e y > < v a l u e > < b o o l e a n > t r u e < / b o o l e a n > < / v a l u e > < / i t e m > < i t e m > < k e y > < s t r i n g > d d 0 9 8 1 d d - 8 6 3 9 - 4 5 a e - b 5 0 1 - a 4 9 7 8 9 7 f 6 7 6 e < / s t r i n g > < / k e y > < v a l u e > < b o o l e a n > t r u e < / b o o l e a n > < / v a l u e > < / i t e m > < i t e m > < k e y > < s t r i n g > b 9 5 7 5 0 1 2 - 0 5 e f - 4 6 3 2 - b e d e - b 8 7 d 0 5 a 4 d 4 8 9 < / s t r i n g > < / k e y > < v a l u e > < b o o l e a n > t r u e < / b o o l e a n > < / v a l u e > < / i t e m > < i t e m > < k e y > < s t r i n g > 8 0 9 2 c a 9 8 - d 0 5 5 - 4 0 1 c - 8 5 5 a - 8 7 a 6 5 0 e 1 5 8 9 b < / s t r i n g > < / k e y > < v a l u e > < b o o l e a n > t r u e < / b o o l e a n > < / v a l u e > < / i t e m > < i t e m > < k e y > < s t r i n g > 4 c 2 2 a 1 4 f - 6 2 e f - 4 5 5 b - 9 7 2 d - 9 1 4 7 2 9 2 2 3 0 5 8 < / s t r i n g > < / k e y > < v a l u e > < b o o l e a n > t r u e < / b o o l e a n > < / v a l u e > < / i t e m > < i t e m > < k e y > < s t r i n g > f 7 3 5 e 7 c 4 - c 9 1 7 - 4 7 7 e - b 7 1 c - 9 7 e 3 7 3 0 8 f 1 6 d < / s t r i n g > < / k e y > < v a l u e > < b o o l e a n > t r u e < / b o o l e a n > < / v a l u e > < / i t e m > < i t e m > < k e y > < s t r i n g > e 4 f 2 c 4 7 2 - a 1 4 6 - 4 e e 5 - b e 4 9 - 5 2 8 7 0 8 8 b 7 2 0 9 < / s t r i n g > < / k e y > < v a l u e > < b o o l e a n > t r u e < / b o o l e a n > < / v a l u e > < / i t e m > < i t e m > < k e y > < s t r i n g > b a 0 b 1 b 6 b - 2 5 3 c - 4 a f 3 - 8 d a 1 - 4 0 f 0 3 6 5 4 e 8 8 9 < / s t r i n g > < / k e y > < v a l u e > < b o o l e a n > t r u e < / b o o l e a n > < / v a l u e > < / i t e m > < i t e m > < k e y > < s t r i n g > 3 5 8 d a d 6 1 - f a 7 1 - 4 4 e 8 - 8 3 5 4 - 3 5 e a 4 1 b 2 9 d 4 d < / s t r i n g > < / k e y > < v a l u e > < b o o l e a n > t r u e < / b o o l e a n > < / v a l u e > < / i t e m > < i t e m > < k e y > < s t r i n g > c b 8 3 e 9 5 3 - d 3 a 9 - 4 4 3 3 - 8 4 e 3 - 8 6 f 1 3 2 0 8 4 5 4 9 < / s t r i n g > < / k e y > < v a l u e > < b o o l e a n > t r u e < / b o o l e a n > < / v a l u e > < / i t e m > < i t e m > < k e y > < s t r i n g > 4 4 2 b e 5 3 0 - 2 b b 4 - 4 0 2 f - 8 e 5 2 - c b 6 0 f a 2 7 6 0 7 6 < / s t r i n g > < / k e y > < v a l u e > < b o o l e a n > t r u e < / b o o l e a n > < / v a l u e > < / i t e m > < i t e m > < k e y > < s t r i n g > a 2 b b 9 c 2 e - 6 6 0 6 - 4 0 c 6 - 8 9 8 8 - 4 a 0 b 4 9 a 1 5 b 1 b < / s t r i n g > < / k e y > < v a l u e > < b o o l e a n > t r u e < / b o o l e a n > < / v a l u e > < / i t e m > < i t e m > < k e y > < s t r i n g > 6 3 d 3 7 9 a d - 3 3 1 6 - 4 2 2 0 - 9 6 a b - b 2 4 f f 7 e d 4 0 9 f < / s t r i n g > < / k e y > < v a l u e > < b o o l e a n > t r u e < / b o o l e a n > < / v a l u e > < / i t e m > < i t e m > < k e y > < s t r i n g > b 0 e f 4 d f 9 - 2 9 8 0 - 4 2 7 c - 9 2 7 7 - 0 9 e 1 9 a 1 b f 0 e 0 < / s t r i n g > < / k e y > < v a l u e > < b o o l e a n > t r u e < / b o o l e a n > < / v a l u e > < / i t e m > < i t e m > < k e y > < s t r i n g > 3 3 6 8 9 7 8 5 - b 6 5 f - 4 d 0 9 - 8 f 6 9 - 7 0 3 8 3 e f 1 8 8 d 2 < / s t r i n g > < / k e y > < v a l u e > < b o o l e a n > t r u e < / b o o l e a n > < / v a l u e > < / i t e m > < i t e m > < k e y > < s t r i n g > 3 c b 5 c d c a - 3 6 b 5 - 4 8 6 f - a 2 0 e - 3 9 c e 4 9 e 1 e 4 4 d < / s t r i n g > < / k e y > < v a l u e > < b o o l e a n > t r u e < / b o o l e a n > < / v a l u e > < / i t e m > < i t e m > < k e y > < s t r i n g > e a f 9 b 4 0 0 - a 2 b d - 4 3 d 0 - 8 b a 9 - 4 b d 3 d 8 b 1 e 3 c 8 < / s t r i n g > < / k e y > < v a l u e > < b o o l e a n > t r u e < / b o o l e a n > < / v a l u e > < / i t e m > < i t e m > < k e y > < s t r i n g > 1 6 4 e a 2 6 9 - 9 2 f e - 4 9 b 9 - 9 6 4 6 - b a a b 7 f 3 a 2 0 5 0 < / s t r i n g > < / k e y > < v a l u e > < b o o l e a n > t r u e < / b o o l e a n > < / v a l u e > < / i t e m > < / D i c t i o n a r y > ] ] > < / C u s t o m C o n t e n t > < / G e m i n i > 
</file>

<file path=customXml/item4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 x m l n s : i = " h t t p : / / w w w . w 3 . o r g / 2 0 0 1 / X M L S c h e m a - i n s t a n c e " & g t ; & l t ; K e y V a l u e O f s t r i n g S a n d b o x E d i t o r . M e a s u r e G r i d S t a t e S c d E 3 5 R y & g t ; & l t ; K e y & g t ; W i n t e r   d a i l y   s i t r e p s _ 1 d f 8 1 2 b b - 9 f c 3 - 4 6 7 4 - 8 d 4 1 - 6 0 c 6 7 2 6 a 8 e f 3 & l t ; / K e y & g t ; & l t ; V a l u e   x m l n s : a = " h t t p : / / s c h e m a s . d a t a c o n t r a c t . o r g / 2 0 0 4 / 0 7 / M i c r o s o f t . A n a l y s i s S e r v i c e s . C o m m o n " & g t ; & l t ; a : H a s F o c u s & g t ; t r u e & l t ; / a : H a s F o c u s & g t ; & l t ; a : S i z e A t D p i 9 6 & g t ; 2 1 1 & l t ; / a : S i z e A t D p i 9 6 & g t ; & l t ; a : V i s i b l e & g t ; t r u e & l t ; / a : V i s i b l e & g t ; & l t ; / V a l u e & g t ; & l t ; / K e y V a l u e O f s t r i n g S a n d b o x E d i t o r . M e a s u r e G r i d S t a t e S c d E 3 5 R y & g t ; & l t ; K e y V a l u e O f s t r i n g S a n d b o x E d i t o r . M e a s u r e G r i d S t a t e S c d E 3 5 R y & g t ; & l t ; K e y & g t ; W i n t e r   b e d   o c c   o v e r   1 4   d a y s & l t ; / K e y & g t ; & l t ; V a l u e 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48.xml>��< ? x m l   v e r s i o n = " 1 . 0 "   e n c o d i n g = " U T F - 1 6 " ? > < G e m i n i   x m l n s = " h t t p : / / g e m i n i / p i v o t c u s t o m i z a t i o n / a f d f 9 6 f 3 - f 6 e 1 - 4 f c 1 - 9 f b c - a e e 9 7 d b c 5 4 1 a " > < C u s t o m C o n t e n t > < ! [ C D A T A [ < ? x m l   v e r s i o n = " 1 . 0 "   e n c o d i n g = " u t f - 1 6 " ? > < S e t t i n g s > < H S l i c e r s S h a p e > 0 ; 0 ; 0 ; 0 < / H S l i c e r s S h a p e > < V S l i c e r s S h a p e > 0 ; 0 ; 0 ; 0 < / V S l i c e r s S h a p e > < S l i c e r S h e e t N a m e > G & a m p ; A   b e d   a v a i l . < / S l i c e r S h e e t N a m e > < S A H o s t H a s h > 3 1 3 7 6 2 5 7 3 < / S A H o s t H a s h > < G e m i n i F i e l d L i s t V i s i b l e > T r u e < / G e m i n i F i e l d L i s t V i s i b l e > < / S e t t i n g s > ] ] > < / C u s t o m C o n t e n t > < / G e m i n i > 
</file>

<file path=customXml/item49.xml>��< ? x m l   v e r s i o n = " 1 . 0 "   e n c o d i n g = " U T F - 1 6 " ? > < G e m i n i   x m l n s = " h t t p : / / g e m i n i / p i v o t c u s t o m i z a t i o n / M a n u a l C a l c M o d e " > < C u s t o m C o n t e n t > < ! [ C D A T A [ F a l s e ] ] > < / C u s t o m C o n t e n t > < / G e m i n i > 
</file>

<file path=customXml/item5.xml>��< ? x m l   v e r s i o n = " 1 . 0 "   e n c o d i n g = " U T F - 1 6 " ? > < G e m i n i   x m l n s = " h t t p : / / g e m i n i / p i v o t c u s t o m i z a t i o n / e 0 e c 1 1 d e - 9 8 1 b - 4 0 5 2 - a 8 f e - 1 e 8 c d 4 4 2 a a d e " > < 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 1 1 2 7 3 5 1 0 7 1 < / S A H o s t H a s h > < G e m i n i F i e l d L i s t V i s i b l e > F a l s e < / G e m i n i F i e l d L i s t V i s i b l e > < / S e t t i n g s > ] ] > < / C u s t o m C o n t e n t > < / G e m i n i > 
</file>

<file path=customXml/item50.xml>��< ? x m l   v e r s i o n = " 1 . 0 "   e n c o d i n g = " U T F - 1 6 " ? > < G e m i n i   x m l n s = " h t t p : / / g e m i n i / p i v o t c u s t o m i z a t i o n / S h o w I m p l i c i t M e a s u r e s " > < C u s t o m C o n t e n t > < ! [ C D A T A [ F a l s e ] ] > < / C u s t o m C o n t e n t > < / G e m i n i > 
</file>

<file path=customXml/item51.xml>��< ? x m l   v e r s i o n = " 1 . 0 "   e n c o d i n g = " U T F - 1 6 " ? > < G e m i n i   x m l n s = " h t t p : / / g e m i n i / p i v o t c u s t o m i z a t i o n / f 3 1 2 5 b e 8 - 0 2 6 8 - 4 a a b - a 2 0 c - 9 3 5 9 a 9 7 f f 2 7 0 " > < C u s t o m C o n t e n t > < ! [ C D A T A [ < ? x m l   v e r s i o n = " 1 . 0 "   e n c o d i n g = " u t f - 1 6 " ? > < S e t t i n g s > < C a l c u l a t e d F i e l d s > < i t e m > < M e a s u r e N a m e > S u m   o f   G A   c o r e   b e d s   a v a i l < / M e a s u r e N a m e > < D i s p l a y N a m e > C o r e < / D i s p l a y N a m e > < V i s i b l e > T r u e < / V i s i b l e > < / i t e m > < i t e m > < M e a s u r e N a m e > S u m   o f   G A   e s c a l a t i o n   b e d s   a v a i l < / M e a s u r e N a m e > < D i s p l a y N a m e > E s c a l a t i o n < / D i s p l a y N a m e > < V i s i b l e > T r u e < / V i s i b l e > < / i t e m > < i t e m > < M e a s u r e N a m e > S u m   o f   G A   t o t a l   b e d s   a v a i l < / M e a s u r e N a m e > < D i s p l a y N a m e > T o t a l < / D i s p l a y N a m e > < V i s i b l e > T r u e < / V i s i b l e > < / i t e m > < / C a l c u l a t e d F i e l d s > < H S l i c e r s S h a p e > 0 ; 0 ; 0 ; 0 < / H S l i c e r s S h a p e > < V S l i c e r s S h a p e > 0 ; 0 ; 0 ; 0 < / V S l i c e r s S h a p e > < S l i c e r S h e e t N a m e > G & a m p ; A   b e d   a v a i l . < / S l i c e r S h e e t N a m e > < S A H o s t H a s h > 7 0 8 1 9 5 0 3 4 < / S A H o s t H a s h > < G e m i n i F i e l d L i s t V i s i b l e > F a l s e < / G e m i n i F i e l d L i s t V i s i b l e > < / S e t t i n g s > ] ] > < / C u s t o m C o n t e n t > < / G e m i n i > 
</file>

<file path=customXml/item52.xml>��< ? x m l   v e r s i o n = " 1 . 0 "   e n c o d i n g = " U T F - 1 6 " ? > < G e m i n i   x m l n s = " h t t p : / / g e m i n i / p i v o t c u s t o m i z a t i o n / e c b 0 1 0 0 6 - d 7 7 8 - 4 5 2 3 - b b 6 1 - 3 a 8 5 7 6 3 8 a 5 d f " > < C u s t o m C o n t e n t > < ! [ C D A T A [ < ? x m l   v e r s i o n = " 1 . 0 "   e n c o d i n g = " u t f - 1 6 " ? > < S e t t i n g s > < C a l c u l a t e d F i e l d s > < i t e m > < M e a s u r e N a m e > S u m   o f   B e d s   o c c   o v e r   2 1   d a y s < / M e a s u r e N a m e > < D i s p l a y N a m e > S u m   o f   B e d s   o c c   o v e r   2 1   d a y s < / D i s p l a y N a m e > < V i s i b l e > T r u e < / V i s i b l e > < / i t e m > < / C a l c u l a t e d F i e l d s > < H S l i c e r s S h a p e > 0 ; 0 ; 0 ; 0 < / H S l i c e r s S h a p e > < V S l i c e r s S h a p e > 0 ; 0 ; 0 ; 0 < / V S l i c e r s S h a p e > < S l i c e r S h e e t N a m e > L o n g   s t a y < / S l i c e r S h e e t N a m e > < S A H o s t H a s h > 9 4 0 0 7 9 3 1 7 < / S A H o s t H a s h > < G e m i n i F i e l d L i s t V i s i b l e > T r u e < / G e m i n i F i e l d L i s t V i s i b l e > < / S e t t i n g s > ] ] > < / C u s t o m C o n t e n t > < / G e m i n i > 
</file>

<file path=customXml/item53.xml>��< ? x m l   v e r s i o n = " 1 . 0 "   e n c o d i n g = " U T F - 1 6 " ? > < G e m i n i   x m l n s = " h t t p : / / g e m i n i / p i v o t c u s t o m i z a t i o n / f 6 e 7 f 0 b 5 - 4 e d 5 - 4 f b a - b a c 3 - 7 0 9 7 d 7 9 e 8 5 4 c " > < C u s t o m C o n t e n t > < ! [ C D A T A [ < ? x m l   v e r s i o n = " 1 . 0 "   e n c o d i n g = " u t f - 1 6 " ? > < S e t t i n g s > < C a l c u l a t e d F i e l d s > < i t e m > < M e a s u r e N a m e > S u m   o f   B e d s   c l o s e d   n o r o v i u s   u n o c c < / M e a s u r e N a m e > < D i s p l a y N a m e > S u m   o f   B e d s   c l o s e d   n o r o v i u s   u n o c c < / D i s p l a y N a m e > < V i s i b l e > T r u e < / V i s i b l e > < / i t e m > < / C a l c u l a t e d F i e l d s > < H S l i c e r s S h a p e > 0 ; 0 ; 0 ; 0 < / H S l i c e r s S h a p e > < V S l i c e r s S h a p e > 0 ; 0 ; 0 ; 0 < / V S l i c e r s S h a p e > < S l i c e r S h e e t N a m e > D & a m p ; V < / S l i c e r S h e e t N a m e > < S A H o s t H a s h > 4 0 1 4 3 5 6 7 2 < / S A H o s t H a s h > < G e m i n i F i e l d L i s t V i s i b l e > T r u e < / G e m i n i F i e l d L i s t V i s i b l e > < / S e t t i n g s > ] ] > < / C u s t o m C o n t e n t > < / G e m i n i > 
</file>

<file path=customXml/item54.xml>��< ? x m l   v e r s i o n = " 1 . 0 "   e n c o d i n g = " U T F - 1 6 " ? > < G e m i n i   x m l n s = " h t t p : / / g e m i n i / p i v o t c u s t o m i z a t i o n / e 2 d e 2 b 4 0 - f 5 8 f - 4 5 2 2 - b 9 8 5 - c 9 b 0 8 a 9 8 f 8 1 8 " > < 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 D & a m p ; V < / S l i c e r S h e e t N a m e > < S A H o s t H a s h > 1 3 5 9 2 3 5 3 5 4 < / S A H o s t H a s h > < G e m i n i F i e l d L i s t V i s i b l e > T r u e < / G e m i n i F i e l d L i s t V i s i b l e > < / S e t t i n g s > ] ] > < / C u s t o m C o n t e n t > < / G e m i n i > 
</file>

<file path=customXml/item55.xml>��< ? x m l   v e r s i o n = " 1 . 0 "   e n c o d i n g = " U T F - 1 6 " ? > < G e m i n i   x m l n s = " h t t p : / / g e m i n i / p i v o t c u s t o m i z a t i o n / 1 6 4 e a 2 6 9 - 9 2 f e - 4 9 b 9 - 9 6 4 6 - b a a b 7 f 3 a 2 0 5 0 " > < C u s t o m C o n t e n t > < ! [ C D A T A [ < ? x m l   v e r s i o n = " 1 . 0 "   e n c o d i n g = " u t f - 1 6 " ? > < S e t t i n g s > < C a l c u l a t e d F i e l d s > < i t e m > < M e a s u r e N a m e > S u m   o f   A m b   a r r i v a l s < / M e a s u r e N a m e > < D i s p l a y N a m e > S u m   o f   A m b   a r r i v a l s < / D i s p l a y N a m e > < V i s i b l e > T r u e < / V i s i b l e > < / i t e m > < / C a l c u l a t e d F i e l d s > < H S l i c e r s S h a p e > 0 ; 0 ; 0 ; 0 < / H S l i c e r s S h a p e > < V S l i c e r s S h a p e > 0 ; 0 ; 0 ; 0 < / V S l i c e r s S h a p e > < S l i c e r S h e e t N a m e > A m b u l a n c e < / S l i c e r S h e e t N a m e > < S A H o s t H a s h > 1 2 3 2 6 5 6 8 1 3 < / S A H o s t H a s h > < G e m i n i F i e l d L i s t V i s i b l e > F a l s e < / G e m i n i F i e l d L i s t V i s i b l e > < / S e t t i n g s > ] ] > < / C u s t o m C o n t e n t > < / G e m i n i > 
</file>

<file path=customXml/item56.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  x m l n s : d d l 3 0 0 = " h t t p : / / s c h e m a s . m i c r o s o f t . c o m / a n a l y s i s s e r v i c e s / 2 0 1 1 / e n g i n e / 3 0 0 "   x m l n s : d d l 3 0 0 _ 3 0 0 = " h t t p : / / s c h e m a s . m i c r o s o f t . c o m / a n a l y s i s s e r v i c e s / 2 0 1 1 / e n g i n e / 3 0 0 / 3 0 0 "   x m l n s : d d l 4 0 0 = " h t t p : / / s c h e m a s . m i c r o s o f t . c o m / a n a l y s i s s e r v i c e s / 2 0 1 2 / e n g i n e / 4 0 0 "   x m l n s : d d l 4 0 0 _ 4 0 0 = " h t t p : / / s c h e m a s . m i c r o s o f t . c o m / a n a l y s i s s e r v i c e s / 2 0 1 2 / e n g i n e / 4 0 0 / 4 0 0 " > < I D > 9 E 7 2 3 4 E B C 7 E 7 4 7 B B 9 2 6 E < / I D > < N a m e > M i c r o s o f t _ S Q L S e r v e r _ A n a l y s i s S e r v i c e s < / N a m e > < A n n o t a t i o n s > < A n n o t a t i o n > < N a m e > S a n d b o x V e r s i o n < / N a m e > < V a l u e > S Q L 1 1 _ D e n a l i < / V a l u e > < / A n n o t a t i o n > < / A n n o t a t i o n s > < d d l 2 0 0 : C o m p a t i b i l i t y L e v e l > 1 1 0 0 < / d d l 2 0 0 : C o m p a t i b i l i t y L e v e l > < d d l 2 0 0 _ 2 0 0 : S t o r a g e E n g i n e U s e d > I n M e m o r y < / d d l 2 0 0 _ 2 0 0 : S t o r a g e E n g i n e U s e d > < L a n g u a g e > 2 0 5 7 < / L a n g u a g e > < D a t a S o u r c e I m p e r s o n a t i o n I n f o > < I m p e r s o n a t i o n M o d e > D e f a u l t < / I m p e r s o n a t i o n M o d e > < / D a t a S o u r c e I m p e r s o n a t i o n I n f o > < D i m e n s i o n s > < D i m e n s 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D a t a S o u r c e V i e w B i n d i n g " > < D a t a S o u r c e V i e w I D > S a n d b o x < / D a t a S o u r c e V i e w I D > < / S o u r c 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 I D < / A t t r i b u t e I D > < O v e r r i d e B e h a v i o r > N o n e < / O v e r r i d e B e h a v i o r > < N a m e > I D _ < / N a m e > < / A t t r i b u t e R e l a t i o n s h i p > < A t t r i b u t e R e l a t i o n s h i p > < A t t r i b u t e I D > c r i _ i d < / A t t r i b u t e I D > < O v e r r i d e B e h a v i o r > N o n e < / O v e r r i d e B e h a v i o r > < N a m e > c r i _ i d < / N a m e > < / A t t r i b u t e R e l a t i o n s h i p > < A t t r i b u t e R e l a t i o n s h i p > < A t t r i b u t e I D > d r _ i d < / A t t r i b u t e I D > < O v e r r i d e B e h a v i o r > N o n e < / O v e r r i d e B e h a v i o r > < N a m e > d r _ i d < / N a m e > < / A t t r i b u t e R e l a t i o n s h i p > < A t t r i b u t e R e l a t i o n s h i p > < A t t r i b u t e I D > o r g _ i d < / A t t r i b u t e I D > < O v e r r i d e B e h a v i o r > N o n e < / O v e r r i d e B e h a v i o r > < N a m e > o r g _ i d < / N a m e > < / A t t r i b u t e R e l a t i o n s h i p > < A t t r i b u t e R e l a t i o n s h i p > < A t t r i b u t e I D > c r i _ d a t a p e r i o d s t a r t < / A t t r i b u t e I D > < O v e r r i d e B e h a v i o r > N o n e < / O v e r r i d e B e h a v i o r > < N a m e > c r i _ d a t a p e r i o d s t a r t < / 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 B a n k   h o l i d a y < / A t t r i b u t e I D > < O v e r r i d e B e h a v i o r > N o n e < / O v e r r i d e B e h a v i o r > < N a m e > B a n k   h o l i d a y < / N a m e > < / A t t r i b u t e R e l a t i o n s h i p > < A t t r i b u t e R e l a t i o n s h i p > < A t t r i b u t e I D > A E   c l o s u r e s < / A t t r i b u t e I D > < O v e r r i d e B e h a v i o r > N o n e < / O v e r r i d e B e h a v i o r > < N a m e > A E   c l o s u r e s < / N a m e > < / A t t r i b u t e R e l a t i o n s h i p > < A t t r i b u t e R e l a t i o n s h i p > < A t t r i b u t e I D > A E   d i v e r t s < / A t t r i b u t e I D > < O v e r r i d e B e h a v i o r > N o n e < / O v e r r i d e B e h a v i o r > < N a m e > A E   d i v e r t s < / N a m e > < / A t t r i b u t e R e l a t i o n s h i p > < A t t r i b u t e R e l a t i o n s h i p > < A t t r i b u t e I D > A E   t y p e   1   a t t e n d a n c e s < / A t t r i b u t e I D > < O v e r r i d e B e h a v i o r > N o n e < / O v e r r i d e B e h a v i o r > < N a m e > A E   t y p e   1   a t t e n d a n c e s < / N a m e > < / A t t r i b u t e R e l a t i o n s h i p > < A t t r i b u t e R e l a t i o n s h i p > < A t t r i b u t e I D > A E   t y p e   2   a t t e n d a n c e s < / A t t r i b u t e I D > < O v e r r i d e B e h a v i o r > N o n e < / O v e r r i d e B e h a v i o r > < N a m e > A E   t y p e   2   a t t e n d a n c e s < / N a m e > < / A t t r i b u t e R e l a t i o n s h i p > < A t t r i b u t e R e l a t i o n s h i p > < A t t r i b u t e I D > A E   t y p e   3   a t t e n d a n c e s < / A t t r i b u t e I D > < O v e r r i d e B e h a v i o r > N o n e < / O v e r r i d e B e h a v i o r > < N a m e > A E   t y p e   3   a t t e n d a n c e s < / N a m e > < / A t t r i b u t e R e l a t i o n s h i p > < A t t r i b u t e R e l a t i o n s h i p > < A t t r i b u t e I D > A E   t o t a l   a t t e n d a n c e s < / A t t r i b u t e I D > < O v e r r i d e B e h a v i o r > N o n e < / O v e r r i d e B e h a v i o r > < N a m e > A E   t o t a l   a t t e n d a n c e s < / N a m e > < / A t t r i b u t e R e l a t i o n s h i p > < A t t r i b u t e R e l a t i o n s h i p > < A t t r i b u t e I D > E m e r g e n c y   a d m i s s i o n s < / A t t r i b u t e I D > < O v e r r i d e B e h a v i o r > N o n e < / O v e r r i d e B e h a v i o r > < N a m e > E m e r g e n c y   a d m i s s i o n s < / N a m e > < / A t t r i b u t e R e l a t i o n s h i p > < A t t r i b u t e R e l a t i o n s h i p > < A t t r i b u t e I D > G A   c o r e   b e d s   a v a i l < / A t t r i b u t e I D > < O v e r r i d e B e h a v i o r > N o n e < / O v e r r i d e B e h a v i o r > < N a m e > G A   c o r e   b e d s   a v a i l < / N a m e > < / A t t r i b u t e R e l a t i o n s h i p > < A t t r i b u t e R e l a t i o n s h i p > < A t t r i b u t e I D > G A   e s c a l a t i o n   b e d s   a v a i l < / A t t r i b u t e I D > < O v e r r i d e B e h a v i o r > N o n e < / O v e r r i d e B e h a v i o r > < N a m e > G A   e s c a l a t i o n   b e d s   a v a i l < / N a m e > < / A t t r i b u t e R e l a t i o n s h i p > < A t t r i b u t e R e l a t i o n s h i p > < A t t r i b u t e I D > G A   t o t a l   b e d s   a v a i l < / A t t r i b u t e I D > < O v e r r i d e B e h a v i o r > N o n e < / O v e r r i d e B e h a v i o r > < N a m e > G A   t o t a l   b e d s   a v a i l < / N a m e > < / A t t r i b u t e R e l a t i o n s h i p > < A t t r i b u t e R e l a t i o n s h i p > < A t t r i b u t e I D > G A   t o t a l   b e d s   o c c u p i e d < / A t t r i b u t e I D > < O v e r r i d e B e h a v i o r > N o n e < / O v e r r i d e B e h a v i o r > < N a m e > G A   t o t a l   b e d s   o c c u p i e d < / 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 O P E L   3   o r   a b o v e < / A t t r i b u t e I D > < O v e r r i d e B e h a v i o r > N o n e < / O v e r r i d e B e h a v i o r > < N a m e > O P E L   3   o r   a b o v e < / N a m e > < / A t t r i b u t e R e l a t i o n s h i p > < A t t r i b u t e R e l a t i o n s h i p > < A t t r i b u t e I D > W e e k e n d < / A t t r i b u t e I D > < O v e r r i d e B e h a v i o r > N o n e < / O v e r r i d e B e h a v i o r > < N a m e > W e e k e n d < / N a m e > < / A t t r i b u t e R e l a t i o n s h i p > < A t t r i b u t e R e l a t i o n s h i p > < A t t r i b u t e I D > R e g i o n < / A t t r i b u t e I D > < O v e r r i d e B e h a v i o r > N o n e < / O v e r r i d e B e h a v i o r > < N a m e > R e g i o n < / N a m e > < / A t t r i b u t e R e l a t i o n s h i p > < A t t r i b u t e R e l a t i o n s h i p > < A t t r i b u t e I D > Y e a r < / A t t r i b u t e I D > < O v e r r i d e B e h a v i o r > N o n e < / O v e r r i d e B e h a v i o r > < N a m e > Y e a r < / 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 C a l c u l a t e d C o l u m n 1 < / A t t r i b u t e I D > < O v e r r i d e B e h a v i o r > N o n e < / O v e r r i d e B e h a v i o r > < N a m e > W e e k   l o n g < / N a m e > < / A t t r i b u t e R e l a t i o n s h i p > < A t t r i b u t e R e l a t i o n s h i p > < A t t r i b u t e I D > C a l c u l a t e d C o l u m n 1   1 < / A t t r i b u t e I D > < O v e r r i d e B e h a v i o r > N o n e < / O v e r r i d e B e h a v i o r > < N a m e > G A   b e d   o c c u p a n c y < / N a m e > < / A t t r i b u t e R e l a t i o n s h i p > < / A t t r i b u t e R e l a t i o n s h i p s > < O r d e r B y > K e y < / O r d e r B y > < A t t r i b u t e H i e r a r c h y V i s i b l e > f a l s e < / A t t r i b u t e H i e r a r c h y V i s i b l e > < / A t t r i b u t e > < A t t r i b u t e > < A n n o t a t i o n s > < A n n o t a t i o n > < N a m e > F o r m a t < / N a m e > < V a l u e > < F o r m a t   F o r m a t = " G e n e r a l "   x m l n s = " "   / > < / V a l u e > < / A n n o t a t i o n > < / A n n o t a t i o n s > < I D > I D < / I D > < N a m e > I D < / N a m e > < 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 I D < / C o l u m n I D > < / S o u r c e > < / N a m e C o l u m n > < O r d e r B y > K e y < / O r d e r B y > < / A t t r i b u t e > < A t t r i b u t e > < A n n o t a t i o n s > < A n n o t a t i o n > < N a m e > F o r m a t < / N a m e > < V a l u e > < F o r m a t   F o r m a t = " G e n e r a l "   x m l n s = " "   / > < / V a l u e > < / A n n o t a t i o n > < / A n n o t a t i o n s > < I D > c r i _ i d < / I D > < N a m e > c r i _ i d < / N a m e > < 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 c r i _ i d < / C o l u m n I D > < / S o u r c e > < / N a m e C o l u m n > < O r d e r B y > K e y < / O r d e r B y > < / A t t r i b u t e > < A t t r i b u t e > < A n n o t a t i o n s > < A n n o t a t i o n > < N a m e > F o r m a t < / N a m e > < V a l u e > < F o r m a t   F o r m a t = " G e n e r a l "   x m l n s = " "   / > < / V a l u e > < / A n n o t a t i o n > < / A n n o t a t i o n s > < I D > d r _ i d < / I D > < N a m e > d r _ i d < / N a m e > < 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 d r _ i d < / C o l u m n I D > < / S o u r c e > < / N a m e C o l u m n > < O r d e r B y > K e y < / O r d e r B y > < / A t t r i b u t e > < A t t r i b u t e > < A n n o t a t i o n s > < A n n o t a t i o n > < N a m e > F o r m a t < / N a m e > < V a l u e > < F o r m a t   F o r m a t = " G e n e r a l "   x m l n s = " "   / > < / V a l u e > < / A n n o t a t i o n > < / A n n o t a t i o n s > < I D > o r g _ i d < / I D > < N a m e > o r g _ i d < / N a m e > < 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 o r g _ i d < / C o l u m n I D > < / S o u r c e > < / N a m e C o l u m n > < O r d e r B y > K e y < / O r d e r B y > < / A t t r i b u t e > < A t t r i b u t e > < A n n o t a t i o n s > < A n n o t a t i o n > < N a m e > F o r m a t < / N a m e > < V a l u e > < F o r m a t   F o r m a t = " D a t e T i m e G e n e r a l "   x m l n s = " "   / > < / V a l u e > < / A n n o t a t i o n > < / A n n o t a t i o n s > < I D > c r i _ d a t a p e r i o d s t a r t < / I D > < N a m e > c r i _ d a t a p e r i o d s t a r t < / N a m e > < 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 c r i _ d a t a p e r i o d s t a r t < / C o l u m n I D > < / S o u r c e > < / N a m e C o l u m n > < O r d e r B y > K e y < / O r d e r B y > < / A t t r i b u t e > < A t t r i b u t e > < A n n o t a t i o n s > < A n n o t a t i o n > < N a m e > F o r m a t < / N a m e > < V a l u e > < F o r m a t   F o r m a t = " T e x t "   x m l n s = " "   / > < / V a l u e > < / A n n o t a t i o n > < / A n n o t a t i o n s > < I D > C o d e < / I D > < N a m e > C o d e < / N a m e > < 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 C o d e < / C o l u m n I D > < / S o u r c e > < / N a m e C o l u m n > < O r d e r B y > K e y < / O r d e r B y > < / A t t r i b u t e > < A t t r i b u t e > < A n n o t a t i o n s > < A n n o t a t i o n > < N a m e > F o r m a t < / N a m e > < V a l u e > < F o r m a t   F o r m a t = " T e x t "   x m l n s = " "   / > < / V a l u e > < / A n n o t a t i o n > < / A n n o t a t i o n s > < I D > N a m e < / I D > < N a m e > N a m e < / N a m e > < 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 N a m e < / C o l u m n I D > < / S o u r c e > < / N a m e C o l u m n > < O r d e r B y > K e y < / O r d e r B y > < / A t t r i b u t e > < A t t r i b u t e > < A n n o t a t i o n s > < A n n o t a t i o n > < N a m e > F o r m a t < / N a m e > < V a l u e > < F o r m a t   F o r m a t = " D a t e T i m e C u s t o m "   x m l n s = " " > < D a t e T i m e s > < D a t e T i m e   L C I D = " 2 0 5 7 "   G r o u p = " S h o r t D a t e "   F o r m a t S t r i n g = " d d / M M / y y "   / > < / D a t e T i m e s > < / F o r m a t > < / V a l u e > < / A n n o t a t i o n > < / A n n o t a t i o n s > < I D > D a t e < / I D > < N a m e > D a t e < / N a m e > < 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 D a t e < / C o l u m n I D > < / S o u r c e > < / N a m e C o l u m n > < O r d e r B y > K e y < / O r d e r B y > < d d l 3 0 0 _ 3 0 0 : F o r m a t S t r i n g > d d / M M / y y < / d d l 3 0 0 _ 3 0 0 : F o r m a t S t r i n g > < / A t t r i b u t e > < A t t r i b u t e > < A n n o t a t i o n s > < A n n o t a t i o n > < N a m e > F o r m a t < / N a m e > < V a l u e > < F o r m a t   F o r m a t = " G e n e r a l "   x m l n s = " "   / > < / V a l u e > < / A n n o t a t i o n > < / A n n o t a t i o n s > < I D > W e e k < / I D > < N a m e > W e e k < / N a m e > < 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C o l u m n I D > < / S o u r c e > < / N a m e C o l u m n > < O r d e r B y > K e y < / O r d e r B y > < / A t t r i b u t e > < A t t r i b u t e > < A n n o t a t i o n s > < A n n o t a t i o n > < N a m e > F o r m a t < / N a m e > < V a l u e > < F o r m a t   F o r m a t = " T e x t "   x m l n s = " "   / > < / V a l u e > < / A n n o t a t i o n > < / A n n o t a t i o n s > < I D > D a y < / I D > < N a m e > D a y < / N a m e > < 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 D a y < / C o l u m n I D > < / S o u r c e > < / N a m e C o l u m n > < O r d e r B y > K e y < / O r d e r B y > < / A t t r i b u t e > < A t t r i b u t e > < A n n o t a t i o n s > < A n n o t a t i o n > < N a m e > F o r m a t < / N a m e > < V a l u e > < F o r m a t   F o r m a t = " G e n e r a l "   x m l n s = " "   / > < / V a l u e > < / A n n o t a t i o n > < / A n n o t a t i o n s > < I D > B a n k   h o l i d a y < / I D > < N a m e > B a n k   h o l i d a y < / N a m e > < 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 B a n k _ x 0 0 2 0 _ h o l i d a y < / C o l u m n I D > < / S o u r c e > < / N a m e C o l u m n > < O r d e r B y > K e y < / O r d e r B y > < / A t t r i b u t e > < A t t r i b u t e > < A n n o t a t i o n s > < A n n o t a t i o n > < N a m e > F o r m a t < / N a m e > < V a l u e > < F o r m a t   F o r m a t = " G e n e r a l "   x m l n s = " "   / > < / V a l u e > < / A n n o t a t i o n > < / A n n o t a t i o n s > < I D > A E   c l o s u r e s < / I D > < N a m e > A E   c l o s u r e s < / N a m e > < 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 A _ x 0 0 2 6 _ E _ x 0 0 2 0 _ c l o s u r e s < / C o l u m n I D > < / S o u r c e > < / N a m e C o l u m n > < O r d e r B y > K e y < / O r d e r B y > < / A t t r i b u t e > < A t t r i b u t e > < A n n o t a t i o n s > < A n n o t a t i o n > < N a m e > F o r m a t < / N a m e > < V a l u e > < F o r m a t   F o r m a t = " G e n e r a l "   x m l n s = " "   / > < / V a l u e > < / A n n o t a t i o n > < / A n n o t a t i o n s > < I D > A E   d i v e r t s < / I D > < N a m e > A E   d i v e r t s < / N a m e > < 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 A _ x 0 0 2 6 _ E _ x 0 0 2 0 _ d i v e r t s < / C o l u m n I D > < / S o u r c e > < / N a m e C o l u m n > < O r d e r B y > K e y < / O r d e r B y > < / A t t r i b u t e > < A t t r i b u t e > < A n n o t a t i o n s > < A n n o t a t i o n > < N a m e > F o r m a t < / N a m e > < V a l u e > < F o r m a t   F o r m a t = " G e n e r a l "   x m l n s = " "   / > < / V a l u e > < / A n n o t a t i o n > < / A n n o t a t i o n s > < I D > A E   t y p e   1   a t t e n d a n c e s < / I D > < N a m e > A E   t y p e   1 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 A _ x 0 0 2 6 _ E _ x 0 0 2 0 _ t y p e _ x 0 0 2 0 _ 1 _ x 0 0 2 0 _ a t t e n d a n c e s < / C o l u m n I D > < / S o u r c e > < / N a m e C o l u m n > < O r d e r B y > K e y < / O r d e r B y > < / A t t r i b u t e > < A t t r i b u t e > < A n n o t a t i o n s > < A n n o t a t i o n > < N a m e > F o r m a t < / N a m e > < V a l u e > < F o r m a t   F o r m a t = " G e n e r a l "   x m l n s = " "   / > < / V a l u e > < / A n n o t a t i o n > < / A n n o t a t i o n s > < I D > A E   t y p e   2   a t t e n d a n c e s < / I D > < N a m e > A E   t y p e   2 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 A _ x 0 0 2 6 _ E _ x 0 0 2 0 _ t y p e _ x 0 0 2 0 _ 2 _ x 0 0 2 0 _ a t t e n d a n c e s < / C o l u m n I D > < / S o u r c e > < / N a m e C o l u m n > < O r d e r B y > K e y < / O r d e r B y > < / A t t r i b u t e > < A t t r i b u t e > < A n n o t a t i o n s > < A n n o t a t i o n > < N a m e > F o r m a t < / N a m e > < V a l u e > < F o r m a t   F o r m a t = " G e n e r a l "   x m l n s = " "   / > < / V a l u e > < / A n n o t a t i o n > < / A n n o t a t i o n s > < I D > A E   t y p e   3   a t t e n d a n c e s < / I D > < N a m e > A E   t y p e   3 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 A _ x 0 0 2 6 _ E _ x 0 0 2 0 _ t y p e _ x 0 0 2 0 _ 3 _ x 0 0 2 0 _ a t t e n d a n c e s < / C o l u m n I D > < / S o u r c e > < / N a m e C o l u m n > < O r d e r B y > K e y < / O r d e r B y > < / A t t r i b u t e > < A t t r i b u t e > < A n n o t a t i o n s > < A n n o t a t i o n > < N a m e > F o r m a t < / N a m e > < V a l u e > < F o r m a t   F o r m a t = " G e n e r a l "   x m l n s = " "   / > < / V a l u e > < / A n n o t a t i o n > < / A n n o t a t i o n s > < I D > A E   t o t a l   a t t e n d a n c e s < / I D > < N a m e > A E   t o t a l   a t t e n d a n c e s < / N a m e > < 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 A _ x 0 0 2 6 _ E _ x 0 0 2 0 _ t o t a l _ x 0 0 2 0 _ a t t e n d a n c e s < / C o l u m n I D > < / S o u r c e > < / N a m e C o l u m n > < O r d e r B y > K e y < / O r d e r B y > < / A t t r i b u t e > < A t t r i b u t e > < A n n o t a t i o n s > < A n n o t a t i o n > < N a m e > F o r m a t < / N a m e > < V a l u e > < F o r m a t   F o r m a t = " G e n e r a l "   x m l n s = " "   / > < / V a l u e > < / A n n o t a t i o n > < / A n n o t a t i o n s > < I D > E m e r g e n c y   a d m i s s i o n s < / I D > < N a m e > E m e r g e n c y   a d m i s s i o n s < / N a m e > < 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 E m e r g e n c y _ x 0 0 2 0 _ a d m i s s i o n s < / C o l u m n I D > < / S o u r c e > < / N a m e C o l u m n > < O r d e r B y > K e y < / O r d e r B y > < / A t t r i b u t e > < A t t r i b u t e > < A n n o t a t i o n s > < A n n o t a t i o n > < N a m e > F o r m a t < / N a m e > < V a l u e > < F o r m a t   F o r m a t = " G e n e r a l "   x m l n s = " "   / > < / V a l u e > < / A n n o t a t i o n > < / A n n o t a t i o n s > < I D > G A   c o r e   b e d s   a v a i l < / I D > < N a m e > G A   c o r e 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 G _ x 0 0 2 6 _ A _ x 0 0 2 0 _ c o r e _ x 0 0 2 0 _ b e d s _ x 0 0 2 0 _ a v a i l < / C o l u m n I D > < / S o u r c e > < / N a m e C o l u m n > < O r d e r B y > K e y < / O r d e r B y > < / A t t r i b u t e > < A t t r i b u t e > < A n n o t a t i o n s > < A n n o t a t i o n > < N a m e > F o r m a t < / N a m e > < V a l u e > < F o r m a t   F o r m a t = " G e n e r a l "   x m l n s = " "   / > < / V a l u e > < / A n n o t a t i o n > < / A n n o t a t i o n s > < I D > G A   e s c a l a t i o n   b e d s   a v a i l < / I D > < N a m e > G A   e s c a l a t i o n 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 G _ x 0 0 2 6 _ A _ x 0 0 2 0 _ e s c a l a t i o n _ x 0 0 2 0 _ b e d s _ x 0 0 2 0 _ a v a i l < / C o l u m n I D > < / S o u r c e > < / N a m e C o l u m n > < O r d e r B y > K e y < / O r d e r B y > < / A t t r i b u t e > < A t t r i b u t e > < A n n o t a t i o n s > < A n n o t a t i o n > < N a m e > F o r m a t < / N a m e > < V a l u e > < F o r m a t   F o r m a t = " G e n e r a l "   x m l n s = " "   / > < / V a l u e > < / A n n o t a t i o n > < / A n n o t a t i o n s > < I D > G A   t o t a l   b e d s   a v a i l < / I D > < N a m e > G A   t o t a l   b e d s   a v a i l < / 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 G _ x 0 0 2 6 _ A _ x 0 0 2 0 _ t o t a l _ x 0 0 2 0 _ b e d s _ x 0 0 2 0 _ a v a i l < / C o l u m n I D > < / S o u r c e > < / N a m e C o l u m n > < O r d e r B y > K e y < / O r d e r B y > < / A t t r i b u t e > < A t t r i b u t e > < A n n o t a t i o n s > < A n n o t a t i o n > < N a m e > F o r m a t < / N a m e > < V a l u e > < F o r m a t   F o r m a t = " G e n e r a l "   x m l n s = " "   / > < / V a l u e > < / A n n o t a t i o n > < / A n n o t a t i o n s > < I D > G A   t o t a l   b e d s   o c c u p i e d < / I D > < N a m e > G A   t o t a l   b e d s   o c c u p i e d < / N a m e > < 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 G _ x 0 0 2 6 _ A _ x 0 0 2 0 _ t o t a l _ x 0 0 2 0 _ b e d s _ x 0 0 2 0 _ o c c u p i e d < / C o l u m n I D > < / S o u r c e > < / N a m e C o l u m n > < O r d e r B y > K e y < / O r d e r B y > < / A t t r i b u t e > < A t t r i b u t e > < A n n o t a t i o n s > < A n n o t a t i o n > < N a m e > F o r m a t < / N a m e > < V a l u e > < F o r m a t   F o r m a t = " G e n e r a l "   x m l n s = " "   / > < / V a l u e > < / A n n o t a t i o n > < / A n n o t a t i o n s > < I D > B e d s   c l o s e d   n o r o v i r u s < / I D > < N a m e > B e d s   c l o s e d   n o r o v i r u s < / 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 B e d s _ x 0 0 2 0 _ c l o s e d _ x 0 0 2 0 _ n o r o v i r u s < / C o l u m n I D > < / S o u r c e > < / N a m e C o l u m n > < O r d e r B y > K e y < / O r d e r B y > < / A t t r i b u t e > < A t t r i b u t e > < A n n o t a t i o n s > < A n n o t a t i o n > < N a m e > F o r m a t < / N a m e > < V a l u e > < F o r m a t   F o r m a t = " G e n e r a l "   x m l n s = " "   / > < / V a l u e > < / A n n o t a t i o n > < / A n n o t a t i o n s > < I D > B e d s   c l o s e d   n o r o v i u s   u n o c c < / I D > < N a m e > B e d s   c l o s e d   n o r o v i u s   u n o c c < / N a m e > < 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 B e d s _ x 0 0 2 0 _ c l o s e d _ x 0 0 2 0 _ n o r o v i u s _ x 0 0 2 0 _ u n o c c < / C o l u m n I D > < / S o u r c e > < / N a m e C o l u m n > < O r d e r B y > K e y < / O r d e r B y > < / A t t r i b u t e > < A t t r i b u t e > < A n n o t a t i o n s > < A n n o t a t i o n > < N a m e > F o r m a t < / N a m e > < V a l u e > < F o r m a t   F o r m a t = " G e n e r a l "   x m l n s = " "   / > < / V a l u e > < / A n n o t a t i o n > < / A n n o t a t i o n s > < I D > A d u l t   C C   b e d s   a v a i l < / I D > < N a m e > A d u l t   C C   b e d s   a v a i l < / 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 A d u l t _ x 0 0 2 0 _ C C _ x 0 0 2 0 _ b e d s _ x 0 0 2 0 _ a v a i l < / C o l u m n I D > < / S o u r c e > < / N a m e C o l u m n > < O r d e r B y > K e y < / O r d e r B y > < / A t t r i b u t e > < A t t r i b u t e > < A n n o t a t i o n s > < A n n o t a t i o n > < N a m e > F o r m a t < / N a m e > < V a l u e > < F o r m a t   F o r m a t = " G e n e r a l "   x m l n s = " "   / > < / V a l u e > < / A n n o t a t i o n > < / A n n o t a t i o n s > < I D > A d u l t   C C   b e d s   o c c < / I D > < N a m e > A d u l t   C C   b e d s   o c c < / N a m e > < 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 A d u l t _ x 0 0 2 0 _ C C _ x 0 0 2 0 _ b e d s _ x 0 0 2 0 _ o c c < / C o l u m n I D > < / S o u r c e > < / N a m e C o l u m n > < O r d e r B y > K e y < / O r d e r B y > < / A t t r i b u t e > < A t t r i b u t e > < A n n o t a t i o n s > < A n n o t a t i o n > < N a m e > F o r m a t < / N a m e > < V a l u e > < F o r m a t   F o r m a t = " G e n e r a l "   x m l n s = " "   / > < / V a l u e > < / A n n o t a t i o n > < / A n n o t a t i o n s > < I D > P a e d   I n t   C a r e   A v a i l < / I D > < N a m e > P a e d   I n t   C a r e   A v a i l < / 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 P a e d _ x 0 0 2 0 _ I n t _ x 0 0 2 0 _ C a r e _ x 0 0 2 0 _ A v a i l < / C o l u m n I D > < / S o u r c e > < / N a m e C o l u m n > < O r d e r B y > K e y < / O r d e r B y > < / A t t r i b u t e > < A t t r i b u t e > < A n n o t a t i o n s > < A n n o t a t i o n > < N a m e > F o r m a t < / N a m e > < V a l u e > < F o r m a t   F o r m a t = " G e n e r a l "   x m l n s = " "   / > < / V a l u e > < / A n n o t a t i o n > < / A n n o t a t i o n s > < I D > P a e d   I n t   C a r e   O c c < / I D > < N a m e > P a e d   I n t   C a r e   O c c < / N a m e > < 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 P a e d _ x 0 0 2 0 _ I n t _ x 0 0 2 0 _ C a r e _ x 0 0 2 0 _ O c c < / C o l u m n I D > < / S o u r c e > < / N a m e C o l u m n > < O r d e r B y > K e y < / O r d e r B y > < / A t t r i b u t e > < A t t r i b u t e > < A n n o t a t i o n s > < A n n o t a t i o n > < N a m e > F o r m a t < / N a m e > < V a l u e > < F o r m a t   F o r m a t = " G e n e r a l "   x m l n s = " "   / > < / V a l u e > < / A n n o t a t i o n > < / A n n o t a t i o n s > < I D > N e o   I n t   C a r e   A v a i l < / I D > < N a m e > N e o   I n t   C a r e   A v a i l < / 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 N e o _ x 0 0 2 0 _ I n t _ x 0 0 2 0 _ C a r e _ x 0 0 2 0 _ A v a i l < / C o l u m n I D > < / S o u r c e > < / N a m e C o l u m n > < O r d e r B y > K e y < / O r d e r B y > < / A t t r i b u t e > < A t t r i b u t e > < A n n o t a t i o n s > < A n n o t a t i o n > < N a m e > F o r m a t < / N a m e > < V a l u e > < F o r m a t   F o r m a t = " G e n e r a l "   x m l n s = " "   / > < / V a l u e > < / A n n o t a t i o n > < / A n n o t a t i o n s > < I D > N e o   I n t   C a r e   o c c < / I D > < N a m e > N e o   I n t   C a r e   o c c < / N a m e > < 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 N e o _ x 0 0 2 0 _ I n t _ x 0 0 2 0 _ C a r e _ x 0 0 2 0 _ o c c < / C o l u m n I D > < / S o u r c e > < / N a m e C o l u m n > < O r d e r B y > K e y < / O r d e r B y > < / A t t r i b u t e > < A t t r i b u t e > < A n n o t a t i o n s > < A n n o t a t i o n > < N a m e > F o r m a t < / N a m e > < V a l u e > < F o r m a t   F o r m a t = " G e n e r a l "   x m l n s = " "   / > < / V a l u e > < / A n n o t a t i o n > < / A n n o t a t i o n s > < I D > O P E L   3   o r   a b o v e < / I D > < N a m e > O P E L   3   o r   a b o v e < / N a m e > < 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 O P E L _ x 0 0 2 0 _ 3 _ x 0 0 2 0 _ o r _ x 0 0 2 0 _ a b o v e < / C o l u m n I D > < / S o u r c e > < / N a m e C o l u m n > < O r d e r B y > K e y < / O r d e r B y > < / A t t r i b u t e > < A t t r i b u t e > < A n n o t a t i o n s > < A n n o t a t i o n > < N a m e > F o r m a t < / N a m e > < V a l u e > < F o r m a t   F o r m a t = " G e n e r a l "   x m l n s = " "   / > < / V a l u e > < / A n n o t a t i o n > < / A n n o t a t i o n s > < I D > W e e k e n d < / I D > < N a m e > W e e k e n d < / N a m e > < 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 W e e k e n d < / C o l u m n I D > < / S o u r c e > < / N a m e C o l u m n > < O r d e r B y > K e y < / O r d e r B y > < / A t t r i b u t e > < A t t r i b u t e > < A n n o t a t i o n s > < A n n o t a t i o n > < N a m e > F o r m a t < / N a m e > < V a l u e > < F o r m a t   F o r m a t = " T e x t "   x m l n s = " "   / > < / V a l u e > < / A n n o t a t i o n > < / A n n o t a t i o n s > < I D > R e g i o n < / I D > < N a m e > R e g i o n < / N a m e > < 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 R e g i o n < / C o l u m n I D > < / S o u r c e > < / N a m e C o l u m n > < O r d e r B y > K e y < / O r d e r B y > < / A t t r i b u t e > < A t t r i b u t e > < A n n o t a t i o n s > < A n n o t a t i o n > < N a m e > F o r m a t < / N a m e > < V a l u e > < F o r m a t   F o r m a t = " T e x t "   x m l n s = " "   / > < / V a l u e > < / A n n o t a t i o n > < / A n n o t a t i o n s > < I D > Y e a r < / I D > < N a m e > Y e a r < / N a m e > < 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N a m e C o l u m n > < D a t a T y p e > W C h a r < / D a t a T y p e > < D a t a S i z e > 1 3 1 0 7 2 < / D a t a S i z e > < N u l l P r o c e s s i n g > Z e r o O r B l a n k < / N u l l P r o c e s s i n g > < I n v a l i d X m l C h a r a c t e r s > R e m o v e < / I n v a l i d X m l C h a r a c t e r s > < S o u r c e   x s i : t y p e = " C o l u m n B i n d i n g " > < T a b l e I D > W i n t e r _ x 0 0 2 0 _ d a i l y _ x 0 0 2 0 _ s i t r e p s _ 1 d f 8 1 2 b b - 9 f c 3 - 4 6 7 4 - 8 d 4 1 - 6 0 c 6 7 2 6 a 8 e f 3 < / T a b l e I D > < C o l u m n I D > Y e a r < / C o l u m n I D > < / S o u r c e > < / N a m e C o l u m n > < O r d e r B y > K e y < / O r d e r B y > < / A t t r i b u t e > < A t t r i b u t e > < A n n o t a t i o n s > < A n n o t a t i o n > < N a m e > F o r m a t < / N a m e > < V a l u e > < F o r m a t   F o r m a t = " G e n e r a l "   x m l n s = " "   / > < / V a l u e > < / A n n o t a t i o n > < / A n n o t a t i o n s > < I D > B e d s   o c c   o v e r   7   d a y s < / I D > < N a m e > B e d s   o c c   o v e r   7 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 B e d s _ x 0 0 2 0 _ o c c _ x 0 0 2 0 _ o v e r _ x 0 0 2 0 _ 7 _ x 0 0 2 0 _ d a y s < / C o l u m n I D > < / S o u r c e > < / N a m e C o l u m n > < O r d e r B y > K e y < / O r d e r B y > < / A t t r i b u t e > < A t t r i b u t e > < A n n o t a t i o n s > < A n n o t a t i o n > < N a m e > F o r m a t < / N a m e > < V a l u e > < F o r m a t   F o r m a t = " G e n e r a l "   x m l n s = " "   / > < / V a l u e > < / A n n o t a t i o n > < / A n n o t a t i o n s > < I D > B e d s   o c c   o v e r   2 1   d a y s < / I D > < N a m e > B e d s   o c c   o v e r   2 1   d a y s < / N a m e > < 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 B e d s _ x 0 0 2 0 _ o c c _ x 0 0 2 0 _ o v e r _ x 0 0 2 0 _ 2 1 _ x 0 0 2 0 _ d a y s < / C o l u m n I D > < / S o u r c e > < / N a m e C o l u m n > < O r d e r B y > K e y < / O r d e r B y > < / A t t r i b u t e > < A t t r i b u t e > < A n n o t a t i o n s > < A n n o t a t i o n > < N a m e > F o r m a t < / N a m e > < V a l u e > < F o r m a t   F o r m a t = " G e n e r a l "   x m l n s = " "   / > < / V a l u e > < / A n n o t a t i o n > < / A n n o t a t i o n s > < I D > A m b   a r r i v a l s < / I D > < N a m e > A m b   a r r i v a l s < / N a m e > < 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 A m b _ x 0 0 2 0 _ a r r i v a l s < / C o l u m n I D > < / S o u r c e > < / N a m e C o l u m n > < O r d e r B y > K e y < / O r d e r B y > < / A t t r i b u t e > < A t t r i b u t e > < A n n o t a t i o n s > < A n n o t a t i o n > < N a m e > F o r m a t < / N a m e > < V a l u e > < F o r m a t   F o r m a t = " G e n e r a l "   x m l n s = " "   / > < / V a l u e > < / A n n o t a t i o n > < / A n n o t a t i o n s > < I D > A m b   d e l a y s   3 0 - 6 0   m i n s < / I D > < N a m e > A m b   d e l a y s   3 0 - 6 0 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 A m b _ x 0 0 2 0 _ d e l a y s _ x 0 0 2 0 _ 3 0 - 6 0 _ x 0 0 2 0 _ m i n s < / C o l u m n I D > < / S o u r c e > < / N a m e C o l u m n > < O r d e r B y > K e y < / O r d e r B y > < / A t t r i b u t e > < A t t r i b u t e > < A n n o t a t i o n s > < A n n o t a t i o n > < N a m e > F o r m a t < / N a m e > < V a l u e > < F o r m a t   F o r m a t = " G e n e r a l "   x m l n s = " "   / > < / V a l u e > < / A n n o t a t i o n > < / A n n o t a t i o n s > < I D > A m b   d e l a y s   o v e r   6 0   m i n s < / I D > < N a m e > A m b   d e l a y s   o v e r   6 0   m i n s < / N a m e > < 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N a m e C o l u m n > < D a t a T y p e > W C h a r < / D a t a T y p e > < D a t a S i z e > - 1 < / D a t a S i z e > < N u l l P r o c e s s i n g > Z e r o O r B l a n k < / N u l l P r o c e s s i n g > < I n v a l i d X m l C h a r a c t e r s > R e m o v e < / I n v a l i d X m l C h a r a c t e r s > < S o u r c e   x s i : t y p e = " C o l u m n B i n d i n g " > < T a b l e I D > W i n t e r _ x 0 0 2 0 _ d a i l y _ x 0 0 2 0 _ s i t r e p s _ 1 d f 8 1 2 b b - 9 f c 3 - 4 6 7 4 - 8 d 4 1 - 6 0 c 6 7 2 6 a 8 e f 3 < / T a b l e I D > < C o l u m n I D > A m b _ x 0 0 2 0 _ d e l a y s _ x 0 0 2 0 _ o v e r _ x 0 0 2 0 _ 6 0 _ x 0 0 2 0 _ m i n s < / C o l u m n I D > < / S o u r c e > < / N a m e C o l u m n > < O r d e r B y > K e y < / O r d e r B y > < / A t t r i b u t e > < A t t r i b u t e > < A n n o t a t i o n s > < A n n o t a t i o n > < N a m e > F o r m a t < / N a m e > < V a l u e > < F o r m a t   F o r m a t = " T e x t "   x m l n s = " "   / > < / V a l u e > < / A n n o t a t i o n > < / A n n o t a t i o n s > < I D > C a l c u l a t e d C o l u m n 1 < / I D > < N a m e > W e e k   l o n g < / N a m e > < K e y C o l u m n s > < K e y C o l u m n > < D a t a T y p e > E m p t y < / D a t a T y p e > < S o u r c e   x s i : t y p e = " d d l 2 0 0 _ 2 0 0 : E x p r e s s i o n B i n d i n g " > < E x p r e s s i o n > " W e e k   " & a m p ; [ W e e k ] < / E x p r e s s i o n > < / S o u r c e > < / K e y C o l u m n > < / K e y C o l u m n s > < N a m e C o l u m n > < D a t a T y p e > W C h a r < / D a t a T y p e > < S o u r c e   x s i : t y p e = " d d l 2 0 0 _ 2 0 0 : E x p r e s s i o n B i n d i n g " > < E x p r e s s i o n > " W e e k   " & a m p ; [ W e e k ] < / E x p r e s s i o n > < / S o u r c e > < / N a m e C o l u m n > < O r d e r B y > K e y < / O r d e r B y > < / A t t r i b u t e > < A t t r i b u t e > < A n n o t a t i o n s > < A n n o t a t i o n > < N a m e > F o r m a t < / N a m e > < V a l u e > < F o r m a t   F o r m a t = " G e n e r a l "   x m l n s = " "   / > < / V a l u e > < / A n n o t a t i o n > < / A n n o t a t i o n s > < I D > C a l c u l a t e d C o l u m n 1   1 < / I D > < N a m e > G A   b e d   o c c u p a n c y < / N a m e > < K e y C o l u m n s > < K e y C o l u m n > < D a t a T y p e > E m p t y < / D a t a T y p e > < S o u r c e   x s i : t y p e = " d d l 2 0 0 _ 2 0 0 : E x p r e s s i o n B i n d i n g " > < E x p r e s s i o n > [ G A   t o t a l   b e d s   o c c u p i e d ] / [ G A   t o t a l   b e d s   a v a i l ] < / E x p r e s s i o n > < / S o u r c e > < / K e y C o l u m n > < / K e y C o l u m n s > < N a m e C o l u m n > < D a t a T y p e > W C h a r < / D a t a T y p e > < S o u r c e   x s i : t y p e = " d d l 2 0 0 _ 2 0 0 : E x p r e s s i o n B i n d i n g " > < E x p r e s s i o n > [ G A   t o t a l   b e d s   o c c u p i e d ] / [ G A   t o t a l   b e d s   a v a i l ] < / E x p r e s s i o n > < / S o u r c e > < / N a m e C o l u m n > < O r d e r B y > K e y < / O r d e r B y > < / A t t r i b u t e > < / A t t r i b u t e s > < P r o a c t i v e C a c h i n g > < S i l e n c e I n t e r v a l > - P T 1 S < / S i l e n c e I n t e r v a l > < L a t e n c y > - P T 1 S < / L a t e n c y > < S i l e n c e O v e r r i d e I n t e r v a l > - P T 1 S < / S i l e n c e O v e r r i d e I n t e r v a l > < F o r c e R e b u i l d I n t e r v a l > - P T 1 S < / F o r c e R e b u i l d I n t e r v a l > < S o u r c e   x s i : t y p e = " P r o a c t i v e C a c h i n g I n h e r i t e d B i n d i n g "   / > < / P r o a c t i v e C a c h i n g > < / D i m e n s i o n > < D i m e n s i o n > < I D > W i n t e r   b e d   o c c   o v e r   1 4   d a y s < / I D > < N a m e > W i n t e r   b e d   o c c   o v e r   1 4   d a y s < / N a m e > < U n k n o w n M e m b e r   v a l u e n s = " d d l 2 0 0 _ 2 0 0 " > A u t o m a t i c N u l l < / U n k n o w n M e m b e r > < E r r o r C o n f i g u r a t i o n > < K e y N o t F o u n d > I g n o r e E r r o r < / K e y N o t F o u n d > < K e y D u p l i c a t e > R e p o r t A n d S t o p < / K e y D u p l i c a t e > < N u l l K e y N o t A l l o w e d > R e p o r t A n d S t o p < / N u l l K e y N o t A l l o w e d > < / E r r o r C o n f i g u r a t i o n > < S t o r a g e M o d e   v a l u e n s = " d d l 2 0 0 _ 2 0 0 " > I n M e m o r y < / S t o r a g e M o d e > < L a n g u a g e > 2 0 5 7 < / L a n g u a g e > < U n k n o w n M e m b e r N a m e > U n k n o w n < / U n k n o w n M e m b e r N a m e > < A t t r i b u t e s > < A t t r i b u t e > < A n n o t a t i o n s > < A n n o t a t i o n > < N a m e > F o r m a t < / N a m e > < V a l u e > < F o r m a t   F o r m a t = " T e x t "   x m l n s = " "   / > < / V a l u e > < / A n n o t a t i o n > < / A n n o t a t i o n s > < I D > R e g i o n < / I D > < N a m e > R e g i o n < / 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 C o d e < / I D > < N a m e > C o d e 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 N a m e < / I D > < N a m e > N a m e < / N a m e > < K e y C o l u m n s > < K e y C o l u m n > < D a t a T y p e > W C h a r < / D a t a T y p e > < N u l l P r o c e s s i n g > P r e s e r v e < / N u l l P r o c e s s i n g > < / K e y C o l u m n > < / K e y C o l u m n s > < N a m e C o l u m n > < D a t a T y p e > W C h a r < / D a t a T y p e > < N u l l P r o c e s s i n g > Z e r o O r B l a n k < / N u l l P r o c e s s i n g > < / N a m e C o l u m n > < O r d e r B y > K e y < / O r d e r B y > < / A t t r i b u t e > < A t t r i b u t e > < A n n o t a t i o n s > < A n n o t a t i o n > < N a m e > F o r m a t < / N a m e > < V a l u e > < F o r m a t   F o r m a t = " T e x t "   x m l n s = " "   / > < / V a l u e > < / A n n o t a t i o n > < / A n n o t a t i o n s > < I D > Y e a r < / I D > < N a m e > Y e a r < / N a m e > < K e y C o l u m n s > < K e y C o l u m n > < D a t a T y p e > W C h a r < / D a t a T y p e > < N u l l P r o c e s s i n g > P r e s e r v e < / N u l l P r o c e s s i n g > < / K e y C o l u m n > < / K e y C o l u m n s > < N a m e C o l u m n > < D a t a T y p e > W C h a r < / D a t a T y p e > < N u l l P r o c e s s i n g > Z e r o O r B l a n k < / N u l l P r o c e s s i n g > < / N a m e C o l u m n > < O r d e r B y > K e y < / O r d e r B y > < / A t t r i b u t e > < A t t r i b u t e > < A n n o t a t i o n s > < A n n o t a t i o n > < N a m e > F o r m a t < / N a m e > < V a l u e > < F o r m a t   F o r m a t = " D a t e T i m e G e n e r a l "   x m l n s = " "   / > < / V a l u e > < / A n n o t a t i o n > < / A n n o t a t i o n s > < I D > D a t e < / I D > < N a m e > D a t e < / N a m e > < K e y C o l u m n s > < K e y C o l u m n > < D a t a T y p e > D a t e < / D a t a T y p e > < N u l l P r o c e s s i n g > P r e s e r v e < / N u l l P r o c e s s i n g > < / K e y C o l u m n > < / K e y C o l u m n s > < N a m e C o l u m n > < D a t a T y p e > W C h a r < / D a t a T y p e > < N u l l P r o c e s s i n g > Z e r o O r B l a n k < / N u l l P r o c e s s i n g > < / N a m e C o l u m n > < O r d e r B y > K e y < / O r d e r B y > < d d l 3 0 0 _ 3 0 0 : F o r m a t S t r i n g > G e n e r a l   D a t e < / d d l 3 0 0 _ 3 0 0 : F o r m a t S t r i n g > < / A t t r i b u t e > < A t t r i b u t e > < A n n o t a t i o n s > < A n n o t a t i o n > < N a m e > F o r m a t < / N a m e > < V a l u e > < F o r m a t   F o r m a t = " G e n e r a l "   x m l n s = " "   / > < / V a l u e > < / A n n o t a t i o n > < / A n n o t a t i o n s > < I D > W e e k < / I D > < N a m e > W e e k < / 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s > < I D > D a y < / I D > < N a m e > D a y 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 W e e k e n d < / I D > < N a m e > W e e k e n d < / N a m e > < K e y C o l u m n s > < K e y C o l u m n > < D a t a T y p e > B i g I n t < / D a t a T y p e > < N u l l P r o c e s s i n g > P r e s e r v e < / N u l l P r o c e s s i n g > < / K e y C o l u m n > < / K e y C o l u m n s > < N a m e C o l u m n > < D a t a T y p e > W C h a r < / D a t a T y p e > < N u l l P r o c e s s i n g > Z e r o O r B l a n k < / N u l l P r o c e s s i n g > < / N a m e C o l u m n > < O r d e r B y > K e y < / O r d e r B y > < / A t t r i b u t e > < A t t r i b u t e > < A n n o t a t i o n s > < A n n o t a t i o n > < N a m e > F o r m a t < / N a m e > < V a l u e > < F o r m a t   F o r m a t = " T e x t "   x m l n s = " "   / > < / V a l u e > < / A n n o t a t i o n > < A n n o t a t i o n > < N a m e > S h o r t C o l u m n I d < / N a m e > < V a l u e > I < / V a l u e > < / A n n o t a t i o n > < / A n n o t a t i o n s > < I D > B a n k   h o l i d a y < / I D > < N a m e > B a n k   h o l i d a y < / N a m e > < K e y C o l u m n s > < K e y C o l u m n > < D a t a T y p e > W C h a r < / D a t a T y p e > < N u l l P r o c e s s i n g > P r e s e r v e < / N u l l P r o c e s s i n g > < / K e y C o l u m n > < / K e y C o l u m n s > < N a m e C o l u m n > < D a t a T y p e > W C h a r < / D a t a T y p e > < N u l l P r o c e s s i n g > Z e r o O r B l a n k < / N u l l P r o c e s s i n g > < / N a m e C o l u m n > < O r d e r B y > K e y < / O r d e r B y > < / A t t r i b u t e > < A t t r i b u t e > < A n n o t a t i o n s > < A n n o t a t i o n > < N a m e > F o r m a t < / N a m e > < V a l u e > < F o r m a t   F o r m a t = " G e n e r a l "   x m l n s = " "   / > < / V a l u e > < / A n n o t a t i o n > < / A n n o t a t i o n s > < I D > A   E   c l o s u r e s < / I D > < N a m e > A   E   c l o s u r e s 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  E   d i v e r t s < / I D > < N a m e > A   E   d i v e r t s 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 c o r e   b e d s   a v a i l < / I D > < N a m e > G   A   c o r e 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 e s c a l a t i o n   b e d s   a v a i l < / I D > < N a m e > G   A   e s c a l a t i o n 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 a v a i l < / I D > < N a m e > G   A   t o t a l 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 G   A   t o t a l   b e d s   o c c u p i e d < / I D > < N a m e > G   A   t o t a l   b e d s   o c c u p i e d < / 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 7   d a y s < / I D > < N a m e > B e d s   o c c   o v e r   7 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 2 1   d a y s < / I D > < N a m e > B e d s   o c c   o v e r   2 1   d a y s 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 n o r o v i r u s < / I D > < N a m e > B e d s   c l o s e d   n o r o v i r u s 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 c l o s e d   n o r o v i u s   u n o c c < / I D > < N a m e > B e d s   c l o s e d   n o r o v i u s   u n o c c 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 a v a i l < / I D > < N a m e > A d u l t   C C   b e d s 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 A d u l t   C C   b e d s   o c c < / I D > < N a m e > A d u l t   C C   b e d s 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 A v a i l < / I D > < N a m e > P a e d 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 P a e d   I n t   C a r e   O c c < / I D > < N a m e > P a e d 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 A v a i l < / I D > < N a m e > N e o   I n t   C a r e   A v a i l < / 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 N e o   I n t   C a r e   o c c < / I D > < N a m e > N e o   I n t   C a r e   o c c < / 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 a r r i v a l s < / I D > < N a m e > A m b   a r r i v a l s 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 3 0 - 6 0   m i n s < / I D > < N a m e > A m b   d e l a y s   3 0 - 6 0 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 A m b   d e l a y s   o v e r   6 0   m i n s < / I D > < N a m e > A m b   d e l a y s   o v e r   6 0   m i n s < / N a m e > < K e y C o l u m n s > < K e y C o l u m n > < D a t a T y p e > B i g I n t < / D a t a T y p e > < N u l l P r o c e s s i n g > P r e s e r v e < / N u l l P r o c e s s i n g > < / K e y C o l u m n > < / K e y C o l u m n s > < N a m e C o l u m n > < D a t a T y p e > W C h a r < / D a t a T y p e > < N u l l P r o c e s s i n g > Z e r o O r B l a n k < / N u l l P r o c e s s i n g > < / N a m e C o l u m n > < O r d e r B y > K e y < / O r d e r B y > < / A t t r i b u t e > < A t t r i b u t e > < A n n o t a t i o n s > < A n n o t a t i o n > < N a m e > F o r m a t < / N a m e > < V a l u e > < F o r m a t   F o r m a t = " G e n e r a l "   x m l n s = " "   / > < / V a l u e > < / A n n o t a t i o n > < / A n n o t a t i o n s > < I D > B e d s   o c c   o v e r   1 4   d a y s < / I D > < N a m e > B e d s   o c c   o v e r   1 4   d a y s < / N a m e > < K e y C o l u m n s > < K e y C o l u m n > < D a t a T y p e > B i g I n t < / 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 R e g i o n < / A t t r i b u t e I D > < O v e r r i d e B e h a v i o r > N o n e < / O v e r r i d e B e h a v i o r > < N a m e > R e g i o n < / N a m e > < / A t t r i b u t e R e l a t i o n s h i p > < A t t r i b u t e R e l a t i o n s h i p > < A t t r i b u t e I D > C o d e < / A t t r i b u t e I D > < O v e r r i d e B e h a v i o r > N o n e < / O v e r r i d e B e h a v i o r > < N a m e > C o d e < / N a m e > < / A t t r i b u t e R e l a t i o n s h i p > < A t t r i b u t e R e l a t i o n s h i p > < A t t r i b u t e I D > N a m e < / A t t r i b u t e I D > < O v e r r i d e B e h a v i o r > N o n e < / O v e r r i d e B e h a v i o r > < N a m e > N a m e _ < / N a m e > < / A t t r i b u t e R e l a t i o n s h i p > < A t t r i b u t e R e l a t i o n s h i p > < A t t r i b u t e I D > Y e a r < / A t t r i b u t e I D > < O v e r r i d e B e h a v i o r > N o n e < / O v e r r i d e B e h a v i o r > < N a m e > Y e a r < / N a m e > < / A t t r i b u t e R e l a t i o n s h i p > < A t t r i b u t e R e l a t i o n s h i p > < A t t r i b u t e I D > D a t e < / A t t r i b u t e I D > < O v e r r i d e B e h a v i o r > N o n e < / O v e r r i d e B e h a v i o r > < N a m e > D a t e < / N a m e > < / A t t r i b u t e R e l a t i o n s h i p > < A t t r i b u t e R e l a t i o n s h i p > < A t t r i b u t e I D > W e e k < / A t t r i b u t e I D > < O v e r r i d e B e h a v i o r > N o n e < / O v e r r i d e B e h a v i o r > < N a m e > W e e k < / N a m e > < / A t t r i b u t e R e l a t i o n s h i p > < A t t r i b u t e R e l a t i o n s h i p > < A t t r i b u t e I D > D a y < / A t t r i b u t e I D > < O v e r r i d e B e h a v i o r > N o n e < / O v e r r i d e B e h a v i o r > < N a m e > D a y < / N a m e > < / A t t r i b u t e R e l a t i o n s h i p > < A t t r i b u t e R e l a t i o n s h i p > < A t t r i b u t e I D > W e e k e n d < / A t t r i b u t e I D > < O v e r r i d e B e h a v i o r > N o n e < / O v e r r i d e B e h a v i o r > < N a m e > W e e k e n d < / N a m e > < / A t t r i b u t e R e l a t i o n s h i p > < A t t r i b u t e R e l a t i o n s h i p > < A t t r i b u t e I D > B a n k   h o l i d a y < / A t t r i b u t e I D > < O v e r r i d e B e h a v i o r > N o n e < / O v e r r i d e B e h a v i o r > < N a m e > B a n k   h o l i d a y < / N a m e > < / A t t r i b u t e R e l a t i o n s h i p > < A t t r i b u t e R e l a t i o n s h i p > < A t t r i b u t e I D > A   E   c l o s u r e s < / A t t r i b u t e I D > < O v e r r i d e B e h a v i o r > N o n e < / O v e r r i d e B e h a v i o r > < N a m e > A   E   c l o s u r e s < / N a m e > < / A t t r i b u t e R e l a t i o n s h i p > < A t t r i b u t e R e l a t i o n s h i p > < A t t r i b u t e I D > A   E   d i v e r t s < / A t t r i b u t e I D > < O v e r r i d e B e h a v i o r > N o n e < / O v e r r i d e B e h a v i o r > < N a m e > A   E   d i v e r t s < / N a m e > < / A t t r i b u t e R e l a t i o n s h i p > < A t t r i b u t e R e l a t i o n s h i p > < A t t r i b u t e I D > G   A   c o r e   b e d s   a v a i l < / A t t r i b u t e I D > < O v e r r i d e B e h a v i o r > N o n e < / O v e r r i d e B e h a v i o r > < N a m e > G   A   c o r e   b e d s   a v a i l < / N a m e > < / A t t r i b u t e R e l a t i o n s h i p > < A t t r i b u t e R e l a t i o n s h i p > < A t t r i b u t e I D > G   A   e s c a l a t i o n   b e d s   a v a i l < / A t t r i b u t e I D > < O v e r r i d e B e h a v i o r > N o n e < / O v e r r i d e B e h a v i o r > < N a m e > G   A   e s c a l a t i o n   b e d s   a v a i l < / N a m e > < / A t t r i b u t e R e l a t i o n s h i p > < A t t r i b u t e R e l a t i o n s h i p > < A t t r i b u t e I D > G   A   t o t a l   b e d s   a v a i l < / A t t r i b u t e I D > < O v e r r i d e B e h a v i o r > N o n e < / O v e r r i d e B e h a v i o r > < N a m e > G   A   t o t a l   b e d s   a v a i l < / N a m e > < / A t t r i b u t e R e l a t i o n s h i p > < A t t r i b u t e R e l a t i o n s h i p > < A t t r i b u t e I D > G   A   t o t a l   b e d s   o c c u p i e d < / A t t r i b u t e I D > < O v e r r i d e B e h a v i o r > N o n e < / O v e r r i d e B e h a v i o r > < N a m e > G   A   t o t a l   b e d s   o c c u p i e d < / N a m e > < / A t t r i b u t e R e l a t i o n s h i p > < A t t r i b u t e R e l a t i o n s h i p > < A t t r i b u t e I D > B e d s   o c c   o v e r   7   d a y s < / A t t r i b u t e I D > < O v e r r i d e B e h a v i o r > N o n e < / O v e r r i d e B e h a v i o r > < N a m e > B e d s   o c c   o v e r   7   d a y s < / N a m e > < / A t t r i b u t e R e l a t i o n s h i p > < A t t r i b u t e R e l a t i o n s h i p > < A t t r i b u t e I D > B e d s   o c c   o v e r   2 1   d a y s < / A t t r i b u t e I D > < O v e r r i d e B e h a v i o r > N o n e < / O v e r r i d e B e h a v i o r > < N a m e > B e d s   o c c   o v e r   2 1   d a y s < / N a m e > < / A t t r i b u t e R e l a t i o n s h i p > < A t t r i b u t e R e l a t i o n s h i p > < A t t r i b u t e I D > B e d s   c l o s e d   n o r o v i r u s < / A t t r i b u t e I D > < O v e r r i d e B e h a v i o r > N o n e < / O v e r r i d e B e h a v i o r > < N a m e > B e d s   c l o s e d   n o r o v i r u s < / N a m e > < / A t t r i b u t e R e l a t i o n s h i p > < A t t r i b u t e R e l a t i o n s h i p > < A t t r i b u t e I D > B e d s   c l o s e d   n o r o v i u s   u n o c c < / A t t r i b u t e I D > < O v e r r i d e B e h a v i o r > N o n e < / O v e r r i d e B e h a v i o r > < N a m e > B e d s   c l o s e d   n o r o v i u s   u n o c c < / N a m e > < / A t t r i b u t e R e l a t i o n s h i p > < A t t r i b u t e R e l a t i o n s h i p > < A t t r i b u t e I D > A d u l t   C C   b e d s   a v a i l < / A t t r i b u t e I D > < O v e r r i d e B e h a v i o r > N o n e < / O v e r r i d e B e h a v i o r > < N a m e > A d u l t   C C   b e d s   a v a i l < / N a m e > < / A t t r i b u t e R e l a t i o n s h i p > < A t t r i b u t e R e l a t i o n s h i p > < A t t r i b u t e I D > A d u l t   C C   b e d s   o c c < / A t t r i b u t e I D > < O v e r r i d e B e h a v i o r > N o n e < / O v e r r i d e B e h a v i o r > < N a m e > A d u l t   C C   b e d s   o c c < / N a m e > < / A t t r i b u t e R e l a t i o n s h i p > < A t t r i b u t e R e l a t i o n s h i p > < A t t r i b u t e I D > P a e d   I n t   C a r e   A v a i l < / A t t r i b u t e I D > < O v e r r i d e B e h a v i o r > N o n e < / O v e r r i d e B e h a v i o r > < N a m e > P a e d   I n t   C a r e   A v a i l < / N a m e > < / A t t r i b u t e R e l a t i o n s h i p > < A t t r i b u t e R e l a t i o n s h i p > < A t t r i b u t e I D > P a e d   I n t   C a r e   O c c < / A t t r i b u t e I D > < O v e r r i d e B e h a v i o r > N o n e < / O v e r r i d e B e h a v i o r > < N a m e > P a e d   I n t   C a r e   O c c < / N a m e > < / A t t r i b u t e R e l a t i o n s h i p > < A t t r i b u t e R e l a t i o n s h i p > < A t t r i b u t e I D > N e o   I n t   C a r e   A v a i l < / A t t r i b u t e I D > < O v e r r i d e B e h a v i o r > N o n e < / O v e r r i d e B e h a v i o r > < N a m e > N e o   I n t   C a r e   A v a i l < / N a m e > < / A t t r i b u t e R e l a t i o n s h i p > < A t t r i b u t e R e l a t i o n s h i p > < A t t r i b u t e I D > N e o   I n t   C a r e   o c c < / A t t r i b u t e I D > < O v e r r i d e B e h a v i o r > N o n e < / O v e r r i d e B e h a v i o r > < N a m e > N e o   I n t   C a r e   o c c < / N a m e > < / A t t r i b u t e R e l a t i o n s h i p > < A t t r i b u t e R e l a t i o n s h i p > < A t t r i b u t e I D > A m b   a r r i v a l s < / A t t r i b u t e I D > < O v e r r i d e B e h a v i o r > N o n e < / O v e r r i d e B e h a v i o r > < N a m e > A m b   a r r i v a l s < / N a m e > < / A t t r i b u t e R e l a t i o n s h i p > < A t t r i b u t e R e l a t i o n s h i p > < A t t r i b u t e I D > A m b   d e l a y s   3 0 - 6 0   m i n s < / A t t r i b u t e I D > < O v e r r i d e B e h a v i o r > N o n e < / O v e r r i d e B e h a v i o r > < N a m e > A m b   d e l a y s   3 0 - 6 0   m i n s < / N a m e > < / A t t r i b u t e R e l a t i o n s h i p > < A t t r i b u t e R e l a t i o n s h i p > < A t t r i b u t e I D > A m b   d e l a y s   o v e r   6 0   m i n s < / A t t r i b u t e I D > < O v e r r i d e B e h a v i o r > N o n e < / O v e r r i d e B e h a v i o r > < N a m e > A m b   d e l a y s   o v e r   6 0   m i n s < / N a m e > < / A t t r i b u t e R e l a t i o n s h i p > < A t t r i b u t e R e l a t i o n s h i p > < A t t r i b u t e I D > B e d s   o c c   o v e r   1 4   d a y s < / A t t r i b u t e I D > < O v e r r i d e B e h a v i o r > N o n e < / O v e r r i d e B e h a v i o r > < N a m e > B e d s   o c c   o v e r   1 4   d a y s < / 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 M o d e l < / I D > < N a m e > M o d e l < / N a m e > < A n n o t a t i o n s > < A n n o t a t i o n > < N a m e > D e f a u l t M e a s u r e < / N a m e > < V a l u e > _ _ N o   m e a s u r e s   d e f i n e d < / V a l u e > < / A n n o t a t i o n > < / A n n o t a t i o n s > < L a n g u a g e > 2 0 5 7 < / L a n g u a g e > < D i m e n s i o n s > < D i m e n s i o n > < I D > W i n t e r   d a i l y   s i t r e p s _ 1 d f 8 1 2 b b - 9 f c 3 - 4 6 7 4 - 8 d 4 1 - 6 0 c 6 7 2 6 a 8 e f 3 < / I D > < N a m e > W i n t e r   d a i l y   s i t r e p s < / N a m e > < D i m e n s i o n I D > W i n t e r   d a i l y   s i t r e p s _ 1 d f 8 1 2 b b - 9 f c 3 - 4 6 7 4 - 8 d 4 1 - 6 0 c 6 7 2 6 a 8 e f 3 < / D i m e n s i o n I D > < A t t r i b u t e s > < A t t r i b u t e > < A t t r i b u t e I D > R o w N u m b e r < / A t t r i b u t e I D > < A t t r i b u t e H i e r a r c h y V i s i b l e > f a l s e < / A t t r i b u t e H i e r a r c h y V i s i b l e > < / A t t r i b u t e > < A t t r i b u t e > < A t t r i b u t e I D > I D < / A t t r i b u t e I D > < / A t t r i b u t e > < A t t r i b u t e > < A t t r i b u t e I D > c r i _ i d < / A t t r i b u t e I D > < / A t t r i b u t e > < A t t r i b u t e > < A t t r i b u t e I D > d r _ i d < / A t t r i b u t e I D > < / A t t r i b u t e > < A t t r i b u t e > < A t t r i b u t e I D > o r g _ i d < / A t t r i b u t e I D > < / A t t r i b u t e > < A t t r i b u t e > < A t t r i b u t e I D > c r i _ d a t a p e r i o d s t a r t < / A t t r i b u t e I D > < / A t t r i b u t e > < A t t r i b u t e > < A t t r i b u t e I D > C o d e < / A t t r i b u t e I D > < / A t t r i b u t e > < A t t r i b u t e > < A t t r i b u t e I D > N a m e < / A t t r i b u t e I D > < / A t t r i b u t e > < A t t r i b u t e > < A t t r i b u t e I D > D a t e < / A t t r i b u t e I D > < / A t t r i b u t e > < A t t r i b u t e > < A t t r i b u t e I D > W e e k < / A t t r i b u t e I D > < / A t t r i b u t e > < A t t r i b u t e > < A t t r i b u t e I D > D a y < / A t t r i b u t e I D > < / A t t r i b u t e > < A t t r i b u t e > < A t t r i b u t e I D > B a n k   h o l i d a y < / A t t r i b u t e I D > < / A t t r i b u t e > < A t t r i b u t e > < A t t r i b u t e I D > A E   c l o s u r e s < / A t t r i b u t e I D > < / A t t r i b u t e > < A t t r i b u t e > < A t t r i b u t e I D > A E   d i v e r t s < / A t t r i b u t e I D > < / A t t r i b u t e > < A t t r i b u t e > < A t t r i b u t e I D > A E   t y p e   1   a t t e n d a n c e s < / A t t r i b u t e I D > < / A t t r i b u t e > < A t t r i b u t e > < A t t r i b u t e I D > A E   t y p e   2   a t t e n d a n c e s < / A t t r i b u t e I D > < / A t t r i b u t e > < A t t r i b u t e > < A t t r i b u t e I D > A E   t y p e   3   a t t e n d a n c e s < / A t t r i b u t e I D > < / A t t r i b u t e > < A t t r i b u t e > < A t t r i b u t e I D > A E   t o t a l   a t t e n d a n c e s < / A t t r i b u t e I D > < / A t t r i b u t e > < A t t r i b u t e > < A t t r i b u t e I D > E m e r g e n c y   a d m i s s i o n s < / A t t r i b u t e I D > < / A t t r i b u t e > < A t t r i b u t e > < A t t r i b u t e I D > G A   c o r e   b e d s   a v a i l < / A t t r i b u t e I D > < / A t t r i b u t e > < A t t r i b u t e > < A t t r i b u t e I D > G A   e s c a l a t i o n   b e d s   a v a i l < / A t t r i b u t e I D > < / A t t r i b u t e > < A t t r i b u t e > < A t t r i b u t e I D > G A   t o t a l   b e d s   a v a i l < / A t t r i b u t e I D > < / A t t r i b u t e > < A t t r i b u t e > < A t t r i b u t e I D > G A   t o t a l   b e d s   o c c u p i e d < / 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 O P E L   3   o r   a b o v e < / A t t r i b u t e I D > < / A t t r i b u t e > < A t t r i b u t e > < A t t r i b u t e I D > W e e k e n d < / A t t r i b u t e I D > < / A t t r i b u t e > < A t t r i b u t e > < A t t r i b u t e I D > R e g i o n < / A t t r i b u t e I D > < / A t t r i b u t e > < A t t r i b u t e > < A t t r i b u t e I D > Y e a r < / A t t r i b u t e I D > < / A t t r i b u t e > < A t t r i b u t e > < A t t r i b u t e I D > B e d s   o c c   o v e r   7   d a y s < / A t t r i b u t e I D > < / A t t r i b u t e > < A t t r i b u t e > < A t t r i b u t e I D > B e d s   o c c   o v e r   2 1   d a y s < / A t t r i b u t e I D > < / A t t r i b u t e > < A t t r i b u t e > < A t t r i b u t e I D > A m b   a r r i v a l s < / A t t r i b u t e I D > < / A t t r i b u t e > < A t t r i b u t e > < A t t r i b u t e I D > A m b   d e l a y s   3 0 - 6 0   m i n s < / A t t r i b u t e I D > < / A t t r i b u t e > < A t t r i b u t e > < A t t r i b u t e I D > A m b   d e l a y s   o v e r   6 0   m i n s < / A t t r i b u t e I D > < / A t t r i b u t e > < A t t r i b u t e > < A t t r i b u t e I D > C a l c u l a t e d C o l u m n 1 < / A t t r i b u t e I D > < / A t t r i b u t e > < A t t r i b u t e > < A t t r i b u t e I D > C a l c u l a t e d C o l u m n 1   1 < / A t t r i b u t e I D > < / A t t r i b u t e > < / A t t r i b u t e s > < / D i m e n s i o n > < D i m e n s i o n > < I D > W i n t e r   b e d   o c c   o v e r   1 4   d a y s < / I D > < N a m e > W i n t e r   b e d   o c c   o v e r   1 4   d a y s < / N a m e > < D i m e n s i o n I D > W i n t e r   b e d   o c c   o v e r   1 4   d a y s < / D i m e n s i o n I D > < A t t r i b u t e s > < A t t r i b u t e > < A t t r i b u t e I D > R e g i o n < / A t t r i b u t e I D > < / A t t r i b u t e > < A t t r i b u t e > < A t t r i b u t e I D > C o d e < / A t t r i b u t e I D > < / A t t r i b u t e > < A t t r i b u t e > < A t t r i b u t e I D > N a m e < / A t t r i b u t e I D > < / A t t r i b u t e > < A t t r i b u t e > < A t t r i b u t e I D > Y e a r < / A t t r i b u t e I D > < / A t t r i b u t e > < A t t r i b u t e > < A t t r i b u t e I D > D a t e < / A t t r i b u t e I D > < / A t t r i b u t e > < A t t r i b u t e > < A t t r i b u t e I D > W e e k < / A t t r i b u t e I D > < / A t t r i b u t e > < A t t r i b u t e > < A t t r i b u t e I D > D a y < / A t t r i b u t e I D > < / A t t r i b u t e > < A t t r i b u t e > < A t t r i b u t e I D > W e e k e n d < / A t t r i b u t e I D > < / A t t r i b u t e > < A t t r i b u t e > < A t t r i b u t e I D > B a n k   h o l i d a y < / A t t r i b u t e I D > < / A t t r i b u t e > < A t t r i b u t e > < A t t r i b u t e I D > A   E   c l o s u r e s < / A t t r i b u t e I D > < / A t t r i b u t e > < A t t r i b u t e > < A t t r i b u t e I D > A   E   d i v e r t s < / A t t r i b u t e I D > < / A t t r i b u t e > < A t t r i b u t e > < A t t r i b u t e I D > G   A   c o r e   b e d s   a v a i l < / A t t r i b u t e I D > < / A t t r i b u t e > < A t t r i b u t e > < A t t r i b u t e I D > G   A   e s c a l a t i o n   b e d s   a v a i l < / A t t r i b u t e I D > < / A t t r i b u t e > < A t t r i b u t e > < A t t r i b u t e I D > G   A   t o t a l   b e d s   a v a i l < / A t t r i b u t e I D > < / A t t r i b u t e > < A t t r i b u t e > < A t t r i b u t e I D > G   A   t o t a l   b e d s   o c c u p i e d < / A t t r i b u t e I D > < / A t t r i b u t e > < A t t r i b u t e > < A t t r i b u t e I D > B e d s   o c c   o v e r   7   d a y s < / A t t r i b u t e I D > < / A t t r i b u t e > < A t t r i b u t e > < A t t r i b u t e I D > B e d s   o c c   o v e r   2 1   d a y s < / A t t r i b u t e I D > < / A t t r i b u t e > < A t t r i b u t e > < A t t r i b u t e I D > B e d s   c l o s e d   n o r o v i r u s < / A t t r i b u t e I D > < / A t t r i b u t e > < A t t r i b u t e > < A t t r i b u t e I D > B e d s   c l o s e d   n o r o v i u s   u n o c c < / A t t r i b u t e I D > < / A t t r i b u t e > < A t t r i b u t e > < A t t r i b u t e I D > A d u l t   C C   b e d s   a v a i l < / A t t r i b u t e I D > < / A t t r i b u t e > < A t t r i b u t e > < A t t r i b u t e I D > A d u l t   C C   b e d s   o c c < / A t t r i b u t e I D > < / A t t r i b u t e > < A t t r i b u t e > < A t t r i b u t e I D > P a e d   I n t   C a r e   A v a i l < / A t t r i b u t e I D > < / A t t r i b u t e > < A t t r i b u t e > < A t t r i b u t e I D > P a e d   I n t   C a r e   O c c < / A t t r i b u t e I D > < / A t t r i b u t e > < A t t r i b u t e > < A t t r i b u t e I D > N e o   I n t   C a r e   A v a i l < / A t t r i b u t e I D > < / A t t r i b u t e > < A t t r i b u t e > < A t t r i b u t e I D > N e o   I n t   C a r e   o c c < / A t t r i b u t e I D > < / A t t r i b u t e > < A t t r i b u t e > < A t t r i b u t e I D > A m b   a r r i v a l s < / A t t r i b u t e I D > < / A t t r i b u t e > < A t t r i b u t e > < A t t r i b u t e I D > A m b   d e l a y s   3 0 - 6 0   m i n s < / A t t r i b u t e I D > < / A t t r i b u t e > < A t t r i b u t e > < A t t r i b u t e I D > A m b   d e l a y s   o v e r   6 0   m i n s < / A t t r i b u t e I D > < / A t t r i b u t e > < A t t r i b u t e > < A t t r i b u t e I D > B e d s   o c c   o v e r   1 4   d a y s < / A t t r i b u t e I D > < / A t t r i b u t e > < A t t r i b u t e > < A t t r i b u t e I D > R o w N u m b e r < / A t t r i b u t e I D > < A t t r i b u t e H i e r a r c h y V i s i b l e > f a l s e < / A t t r i b u t e H i e r a r c h y V i s i b l e > < / A t t r i b u t e > < / A t t r i b u t e s > < / D i m e n s i o n > < / D i m e n s i o n s > < M e a s u r e G r o u p s > < M e a s u r e G r o u p > < I D > W i n t e r   d a i l y   s i t r e p s _ 1 d f 8 1 2 b b - 9 f c 3 - 4 6 7 4 - 8 d 4 1 - 6 0 c 6 7 2 6 a 8 e f 3 < / I D > < N a m e > W i n t e r   d a i l y   s i t r e p s < / N a m e > < M e a s u r e s > < M e a s u r e > < I D > W i n t e r   d a i l y   s i t r e p s _ 1 d f 8 1 2 b b - 9 f c 3 - 4 6 7 4 - 8 d 4 1 - 6 0 c 6 7 2 6 a 8 e f 3 < / I D > < N a m e > _ C o u n t   W i n t e r   d a i l y   s i t r e p s < / N a m e > < A g g r e g a t e F u n c t i o n > C o u n t < / A g g r e g a t e F u n c t i o n > < D a t a T y p e > B i g I n t < / D a t a T y p e > < S o u r c e > < D a t a T y p e > B i g I n t < / D a t a T y p e > < D a t a S i z e > 8 < / D a t a S i z e > < S o u r c e   x s i : t y p e = " R o w B i n d i n g " > < T a b l e I D > W i n t e r _ x 0 0 2 0 _ d a i l y _ x 0 0 2 0 _ s i t r e p s _ 1 d f 8 1 2 b b - 9 f c 3 - 4 6 7 4 - 8 d 4 1 - 6 0 c 6 7 2 6 a 8 e f 3 < / 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 d a i l y   s i t r e p s _ 1 d f 8 1 2 b b - 9 f c 3 - 4 6 7 4 - 8 d 4 1 - 6 0 c 6 7 2 6 a 8 e f 3 < / C u b e D i m e n s i o n I D > < A t t r i b u t e s > < A t t r i b u t e > < A t t r i b u t e I D > R o w N u m b e r < / A t t r i b u t e I D > < K e y C o l u m n s > < K e y C o l u m n > < D a t a T y p e > I n t e g e r < / D a t a T y p e > < S o u r c e   x s i : t y p e = " C o l u m n B i n d i n g " > < T a b l e I D > W i n t e r _ x 0 0 2 0 _ d a i l y _ x 0 0 2 0 _ s i t r e p s < / T a b l e I D > < C o l u m n I D > R o w N u m b e r < / C o l u m n I D > < / S o u r c e > < / K e y C o l u m n > < / K e y C o l u m n s > < T y p e > G r a n u l a r i t y < / T y p e > < / A t t r i b u t e > < A t t r i b u t e > < A t t r i b u t e I D > I D < / A t t r i b u t e I D > < K e y C o l u m n s > < K e y C o l u m n > < D a t a T y p e > B i g I n t < / D a t a T y p e > < D a t a S i z e > - 1 < / D a t a S i z e > < N u l l P r o c e s s i n g > P r e s e r v e < / N u l l P r o c e s s i n g > < I n v a l i d X m l C h a r a c t e r s > R e m o v e < / I n v a l i d X m l C h a r a c t e r s > < S o u r c e   x s i : t y p e = " C o l u m n B i n d i n g " > < T a b l e I D > W i n t e r _ x 0 0 2 0 _ d a i l y _ x 0 0 2 0 _ s i t r e p s _ 1 d f 8 1 2 b b - 9 f c 3 - 4 6 7 4 - 8 d 4 1 - 6 0 c 6 7 2 6 a 8 e f 3 < / T a b l e I D > < C o l u m n I D > I D < / C o l u m n I D > < / S o u r c e > < / K e y C o l u m n > < / K e y C o l u m n s > < / A t t r i b u t e > < A t t r i b u t e > < A t t r i b u t e I D > c r i _ i d < / A t t r i b u t e I D > < K e y C o l u m n s > < K e y C o l u m n > < D a t a T y p e > B i g I n t < / D a t a T y p e > < D a t a S i z e > - 1 < / D a t a S i z e > < N u l l P r o c e s s i n g > P r e s e r v e < / N u l l P r o c e s s i n g > < I n v a l i d X m l C h a r a c t e r s > R e m o v e < / I n v a l i d X m l C h a r a c t e r s > < S o u r c e   x s i : t y p e = " C o l u m n B i n d i n g " > < T a b l e I D > W i n t e r _ x 0 0 2 0 _ d a i l y _ x 0 0 2 0 _ s i t r e p s _ 1 d f 8 1 2 b b - 9 f c 3 - 4 6 7 4 - 8 d 4 1 - 6 0 c 6 7 2 6 a 8 e f 3 < / T a b l e I D > < C o l u m n I D > c r i _ i d < / C o l u m n I D > < / S o u r c e > < / K e y C o l u m n > < / K e y C o l u m n s > < / A t t r i b u t e > < A t t r i b u t e > < A t t r i b u t e I D > d r _ i d < / A t t r i b u t e I D > < K e y C o l u m n s > < K e y C o l u m n > < D a t a T y p e > B i g I n t < / D a t a T y p e > < D a t a S i z e > - 1 < / D a t a S i z e > < N u l l P r o c e s s i n g > P r e s e r v e < / N u l l P r o c e s s i n g > < I n v a l i d X m l C h a r a c t e r s > R e m o v e < / I n v a l i d X m l C h a r a c t e r s > < S o u r c e   x s i : t y p e = " C o l u m n B i n d i n g " > < T a b l e I D > W i n t e r _ x 0 0 2 0 _ d a i l y _ x 0 0 2 0 _ s i t r e p s _ 1 d f 8 1 2 b b - 9 f c 3 - 4 6 7 4 - 8 d 4 1 - 6 0 c 6 7 2 6 a 8 e f 3 < / T a b l e I D > < C o l u m n I D > d r _ i d < / C o l u m n I D > < / S o u r c e > < / K e y C o l u m n > < / K e y C o l u m n s > < / A t t r i b u t e > < A t t r i b u t e > < A t t r i b u t e I D > o r g _ i d < / A t t r i b u t e I D > < K e y C o l u m n s > < K e y C o l u m n > < D a t a T y p e > B i g I n t < / D a t a T y p e > < D a t a S i z e > - 1 < / D a t a S i z e > < N u l l P r o c e s s i n g > P r e s e r v e < / N u l l P r o c e s s i n g > < I n v a l i d X m l C h a r a c t e r s > R e m o v e < / I n v a l i d X m l C h a r a c t e r s > < S o u r c e   x s i : t y p e = " C o l u m n B i n d i n g " > < T a b l e I D > W i n t e r _ x 0 0 2 0 _ d a i l y _ x 0 0 2 0 _ s i t r e p s _ 1 d f 8 1 2 b b - 9 f c 3 - 4 6 7 4 - 8 d 4 1 - 6 0 c 6 7 2 6 a 8 e f 3 < / T a b l e I D > < C o l u m n I D > o r g _ i d < / C o l u m n I D > < / S o u r c e > < / K e y C o l u m n > < / K e y C o l u m n s > < / A t t r i b u t e > < A t t r i b u t e > < A t t r i b u t e I D > c r i _ d a t a p e r i o d s t a r t < / A t t r i b u t e I D > < K e y C o l u m n s > < K e y C o l u m n > < D a t a T y p e > D a t e < / D a t a T y p e > < D a t a S i z e > - 1 < / D a t a S i z e > < N u l l P r o c e s s i n g > P r e s e r v e < / N u l l P r o c e s s i n g > < I n v a l i d X m l C h a r a c t e r s > R e m o v e < / I n v a l i d X m l C h a r a c t e r s > < S o u r c e   x s i : t y p e = " C o l u m n B i n d i n g " > < T a b l e I D > W i n t e r _ x 0 0 2 0 _ d a i l y _ x 0 0 2 0 _ s i t r e p s _ 1 d f 8 1 2 b b - 9 f c 3 - 4 6 7 4 - 8 d 4 1 - 6 0 c 6 7 2 6 a 8 e f 3 < / T a b l e I D > < C o l u m n I D > c r i _ d a t a p e r i o d s t a r t < / C o l u m n I D > < / S o u r c e > < / K e y C o l u m n > < / K e y C o l u m n s > < / A t t r i b u t e > < A t t r i b u t e > < A t t r i b u t e I D > C o d e < / A t t r i b u t e I D > < K e y C o l u m n s > < K e y C o l u m n > < D a t a T y p e > W C h a r < / D a t a T y p e > < D a t a S i z e > 1 3 1 0 7 2 < / D a t a S i z e > < N u l l P r o c e s s i n g > P r e s e r v e < / N u l l P r o c e s s i n g > < I n v a l i d X m l C h a r a c t e r s > R e m o v e < / I n v a l i d X m l C h a r a c t e r s > < S o u r c e   x s i : t y p e = " C o l u m n B i n d i n g " > < T a b l e I D > W i n t e r _ x 0 0 2 0 _ d a i l y _ x 0 0 2 0 _ s i t r e p s _ 1 d f 8 1 2 b b - 9 f c 3 - 4 6 7 4 - 8 d 4 1 - 6 0 c 6 7 2 6 a 8 e f 3 < / T a b l e I D > < C o l u m n I D > C o d e < / C o l u m n I D > < / S o u r c e > < / K e y C o l u m n > < / K e y C o l u m n s > < / A t t r i b u t e > < A t t r i b u t e > < A t t r i b u t e I D > N a m e < / A t t r i b u t e I D > < K e y C o l u m n s > < K e y C o l u m n > < D a t a T y p e > W C h a r < / D a t a T y p e > < D a t a S i z e > 1 3 1 0 7 2 < / D a t a S i z e > < N u l l P r o c e s s i n g > P r e s e r v e < / N u l l P r o c e s s i n g > < I n v a l i d X m l C h a r a c t e r s > R e m o v e < / I n v a l i d X m l C h a r a c t e r s > < S o u r c e   x s i : t y p e = " C o l u m n B i n d i n g " > < T a b l e I D > W i n t e r _ x 0 0 2 0 _ d a i l y _ x 0 0 2 0 _ s i t r e p s _ 1 d f 8 1 2 b b - 9 f c 3 - 4 6 7 4 - 8 d 4 1 - 6 0 c 6 7 2 6 a 8 e f 3 < / T a b l e I D > < C o l u m n I D > N a m e < / C o l u m n I D > < / S o u r c e > < / K e y C o l u m n > < / K e y C o l u m n s > < / A t t r i b u t e > < A t t r i b u t e > < A t t r i b u t e I D > D a t e < / A t t r i b u t e I D > < K e y C o l u m n s > < K e y C o l u m n > < D a t a T y p e > D a t e < / D a t a T y p e > < D a t a S i z e > 1 3 1 0 7 2 < / D a t a S i z e > < N u l l P r o c e s s i n g > P r e s e r v e < / N u l l P r o c e s s i n g > < I n v a l i d X m l C h a r a c t e r s > R e m o v e < / I n v a l i d X m l C h a r a c t e r s > < S o u r c e   x s i : t y p e = " C o l u m n B i n d i n g " > < T a b l e I D > W i n t e r _ x 0 0 2 0 _ d a i l y _ x 0 0 2 0 _ s i t r e p s _ 1 d f 8 1 2 b b - 9 f c 3 - 4 6 7 4 - 8 d 4 1 - 6 0 c 6 7 2 6 a 8 e f 3 < / T a b l e I D > < C o l u m n I D > D a t e < / C o l u m n I D > < / S o u r c e > < / K e y C o l u m n > < / K e y C o l u m n s > < / A t t r i b u t e > < A t t r i b u t e > < A t t r i b u t e I D > W e e k < / A t t r i b u t e I D > < K e y C o l u m n s > < K e y C o l u m n > < D a t a T y p e > D o u b l e < / D a t a T y p e > < D a t a S i z e > - 1 < / D a t a S i z e > < N u l l P r o c e s s i n g > P r e s e r v e < / N u l l P r o c e s s i n g > < I n v a l i d X m l C h a r a c t e r s > R e m o v e < / I n v a l i d X m l C h a r a c t e r s > < S o u r c e   x s i : t y p e = " C o l u m n B i n d i n g " > < T a b l e I D > W i n t e r _ x 0 0 2 0 _ d a i l y _ x 0 0 2 0 _ s i t r e p s _ 1 d f 8 1 2 b b - 9 f c 3 - 4 6 7 4 - 8 d 4 1 - 6 0 c 6 7 2 6 a 8 e f 3 < / T a b l e I D > < C o l u m n I D > W e e k < / C o l u m n I D > < / S o u r c e > < / K e y C o l u m n > < / K e y C o l u m n s > < / A t t r i b u t e > < A t t r i b u t e > < A t t r i b u t e I D > D a y < / A t t r i b u t e I D > < K e y C o l u m n s > < K e y C o l u m n > < D a t a T y p e > W C h a r < / D a t a T y p e > < D a t a S i z e > 1 3 1 0 7 2 < / D a t a S i z e > < N u l l P r o c e s s i n g > P r e s e r v e < / N u l l P r o c e s s i n g > < I n v a l i d X m l C h a r a c t e r s > R e m o v e < / I n v a l i d X m l C h a r a c t e r s > < S o u r c e   x s i : t y p e = " C o l u m n B i n d i n g " > < T a b l e I D > W i n t e r _ x 0 0 2 0 _ d a i l y _ x 0 0 2 0 _ s i t r e p s _ 1 d f 8 1 2 b b - 9 f c 3 - 4 6 7 4 - 8 d 4 1 - 6 0 c 6 7 2 6 a 8 e f 3 < / T a b l e I D > < C o l u m n I D > D a y < / C o l u m n I D > < / S o u r c e > < / K e y C o l u m n > < / K e y C o l u m n s > < / A t t r i b u t e > < A t t r i b u t e > < A t t r i b u t e I D > B a n k   h o l i d a y < / A t t r i b u t e I D > < K e y C o l u m n s > < K e y C o l u m n > < D a t a T y p e > D o u b l e < / D a t a T y p e > < D a t a S i z e > - 1 < / D a t a S i z e > < N u l l P r o c e s s i n g > P r e s e r v e < / N u l l P r o c e s s i n g > < I n v a l i d X m l C h a r a c t e r s > R e m o v e < / I n v a l i d X m l C h a r a c t e r s > < S o u r c e   x s i : t y p e = " C o l u m n B i n d i n g " > < T a b l e I D > W i n t e r _ x 0 0 2 0 _ d a i l y _ x 0 0 2 0 _ s i t r e p s _ 1 d f 8 1 2 b b - 9 f c 3 - 4 6 7 4 - 8 d 4 1 - 6 0 c 6 7 2 6 a 8 e f 3 < / T a b l e I D > < C o l u m n I D > B a n k _ x 0 0 2 0 _ h o l i d a y < / C o l u m n I D > < / S o u r c e > < / K e y C o l u m n > < / K e y C o l u m n s > < / A t t r i b u t e > < A t t r i b u t e > < A t t r i b u t e I D > A E   c l o s u r e s 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 A _ x 0 0 2 6 _ E _ x 0 0 2 0 _ c l o s u r e s < / C o l u m n I D > < / S o u r c e > < / K e y C o l u m n > < / K e y C o l u m n s > < / A t t r i b u t e > < A t t r i b u t e > < A t t r i b u t e I D > A E   d i v e r t s 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 A _ x 0 0 2 6 _ E _ x 0 0 2 0 _ d i v e r t s < / C o l u m n I D > < / S o u r c e > < / K e y C o l u m n > < / K e y C o l u m n s > < / A t t r i b u t e > < A t t r i b u t e > < A t t r i b u t e I D > A E   t y p e   1 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 A _ x 0 0 2 6 _ E _ x 0 0 2 0 _ t y p e _ x 0 0 2 0 _ 1 _ x 0 0 2 0 _ a t t e n d a n c e s < / C o l u m n I D > < / S o u r c e > < / K e y C o l u m n > < / K e y C o l u m n s > < / A t t r i b u t e > < A t t r i b u t e > < A t t r i b u t e I D > A E   t y p e   2 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 A _ x 0 0 2 6 _ E _ x 0 0 2 0 _ t y p e _ x 0 0 2 0 _ 2 _ x 0 0 2 0 _ a t t e n d a n c e s < / C o l u m n I D > < / S o u r c e > < / K e y C o l u m n > < / K e y C o l u m n s > < / A t t r i b u t e > < A t t r i b u t e > < A t t r i b u t e I D > A E   t y p e   3 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 A _ x 0 0 2 6 _ E _ x 0 0 2 0 _ t y p e _ x 0 0 2 0 _ 3 _ x 0 0 2 0 _ a t t e n d a n c e s < / C o l u m n I D > < / S o u r c e > < / K e y C o l u m n > < / K e y C o l u m n s > < / A t t r i b u t e > < A t t r i b u t e > < A t t r i b u t e I D > A E   t o t a l   a t t e n d a n c e s < / A t t r i b u t e I D > < K e y C o l u m n s > < K e y C o l u m n > < D a t a T y p e > D o u b l e < / D a t a T y p e > < D a t a S i z e > - 1 < / D a t a S i z e > < N u l l P r o c e s s i n g > P r e s e r v e < / N u l l P r o c e s s i n g > < I n v a l i d X m l C h a r a c t e r s > R e m o v e < / I n v a l i d X m l C h a r a c t e r s > < S o u r c e   x s i : t y p e = " C o l u m n B i n d i n g " > < T a b l e I D > W i n t e r _ x 0 0 2 0 _ d a i l y _ x 0 0 2 0 _ s i t r e p s _ 1 d f 8 1 2 b b - 9 f c 3 - 4 6 7 4 - 8 d 4 1 - 6 0 c 6 7 2 6 a 8 e f 3 < / T a b l e I D > < C o l u m n I D > A _ x 0 0 2 6 _ E _ x 0 0 2 0 _ t o t a l _ x 0 0 2 0 _ a t t e n d a n c e s < / C o l u m n I D > < / S o u r c e > < / K e y C o l u m n > < / K e y C o l u m n s > < / A t t r i b u t e > < A t t r i b u t e > < A t t r i b u t e I D > E m e r g e n c y   a d m i s s i o n s < / A t t r i b u t e I D > < K e y C o l u m n s > < K e y C o l u m n > < D a t a T y p e > D o u b l e < / D a t a T y p e > < D a t a S i z e > - 1 < / D a t a S i z e > < N u l l P r o c e s s i n g > P r e s e r v e < / N u l l P r o c e s s i n g > < I n v a l i d X m l C h a r a c t e r s > R e m o v e < / I n v a l i d X m l C h a r a c t e r s > < S o u r c e   x s i : t y p e = " C o l u m n B i n d i n g " > < T a b l e I D > W i n t e r _ x 0 0 2 0 _ d a i l y _ x 0 0 2 0 _ s i t r e p s _ 1 d f 8 1 2 b b - 9 f c 3 - 4 6 7 4 - 8 d 4 1 - 6 0 c 6 7 2 6 a 8 e f 3 < / T a b l e I D > < C o l u m n I D > E m e r g e n c y _ x 0 0 2 0 _ a d m i s s i o n s < / C o l u m n I D > < / S o u r c e > < / K e y C o l u m n > < / K e y C o l u m n s > < / A t t r i b u t e > < A t t r i b u t e > < A t t r i b u t e I D > G A   c o r e 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 G _ x 0 0 2 6 _ A _ x 0 0 2 0 _ c o r e _ x 0 0 2 0 _ b e d s _ x 0 0 2 0 _ a v a i l < / C o l u m n I D > < / S o u r c e > < / K e y C o l u m n > < / K e y C o l u m n s > < / A t t r i b u t e > < A t t r i b u t e > < A t t r i b u t e I D > G A   e s c a l a t i o n 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 G _ x 0 0 2 6 _ A _ x 0 0 2 0 _ e s c a l a t i o n _ x 0 0 2 0 _ b e d s _ x 0 0 2 0 _ a v a i l < / C o l u m n I D > < / S o u r c e > < / K e y C o l u m n > < / K e y C o l u m n s > < / A t t r i b u t e > < A t t r i b u t e > < A t t r i b u t e I D > G A   t o t a l   b e d s   a v a i l < / 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 G _ x 0 0 2 6 _ A _ x 0 0 2 0 _ t o t a l _ x 0 0 2 0 _ b e d s _ x 0 0 2 0 _ a v a i l < / C o l u m n I D > < / S o u r c e > < / K e y C o l u m n > < / K e y C o l u m n s > < / A t t r i b u t e > < A t t r i b u t e > < A t t r i b u t e I D > G A   t o t a l   b e d s   o c c u p i e d < / A t t r i b u t e I D > < K e y C o l u m n s > < K e y C o l u m n > < D a t a T y p e > D o u b l e < / D a t a T y p e > < D a t a S i z e > - 1 < / D a t a S i z e > < N u l l P r o c e s s i n g > P r e s e r v e < / N u l l P r o c e s s i n g > < I n v a l i d X m l C h a r a c t e r s > R e m o v e < / I n v a l i d X m l C h a r a c t e r s > < S o u r c e   x s i : t y p e = " C o l u m n B i n d i n g " > < T a b l e I D > W i n t e r _ x 0 0 2 0 _ d a i l y _ x 0 0 2 0 _ s i t r e p s _ 1 d f 8 1 2 b b - 9 f c 3 - 4 6 7 4 - 8 d 4 1 - 6 0 c 6 7 2 6 a 8 e f 3 < / T a b l e I D > < C o l u m n I D > G _ x 0 0 2 6 _ A _ x 0 0 2 0 _ t o t a l _ x 0 0 2 0 _ b e d s _ x 0 0 2 0 _ o c c u p i e d < / C o l u m n I D > < / S o u r c e > < / K e y C o l u m n > < / K e y C o l u m n s > < / A t t r i b u t e > < A t t r i b u t e > < A t t r i b u t e I D > B e d s   c l o s e d   n o r o v i r u s < / 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 B e d s _ x 0 0 2 0 _ c l o s e d _ x 0 0 2 0 _ n o r o v i r u s < / C o l u m n I D > < / S o u r c e > < / K e y C o l u m n > < / K e y C o l u m n s > < / A t t r i b u t e > < A t t r i b u t e > < A t t r i b u t e I D > B e d s   c l o s e d   n o r o v i u s   u n o c c < / A t t r i b u t e I D > < K e y C o l u m n s > < K e y C o l u m n > < D a t a T y p e > D o u b l e < / D a t a T y p e > < D a t a S i z e > - 1 < / D a t a S i z e > < N u l l P r o c e s s i n g > P r e s e r v e < / N u l l P r o c e s s i n g > < I n v a l i d X m l C h a r a c t e r s > R e m o v e < / I n v a l i d X m l C h a r a c t e r s > < S o u r c e   x s i : t y p e = " C o l u m n B i n d i n g " > < T a b l e I D > W i n t e r _ x 0 0 2 0 _ d a i l y _ x 0 0 2 0 _ s i t r e p s _ 1 d f 8 1 2 b b - 9 f c 3 - 4 6 7 4 - 8 d 4 1 - 6 0 c 6 7 2 6 a 8 e f 3 < / T a b l e I D > < C o l u m n I D > B e d s _ x 0 0 2 0 _ c l o s e d _ x 0 0 2 0 _ n o r o v i u s _ x 0 0 2 0 _ u n o c c < / C o l u m n I D > < / S o u r c e > < / K e y C o l u m n > < / K e y C o l u m n s > < / A t t r i b u t e > < A t t r i b u t e > < A t t r i b u t e I D > A d u l t   C C   b e d s   a v a i l < / 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 A d u l t _ x 0 0 2 0 _ C C _ x 0 0 2 0 _ b e d s _ x 0 0 2 0 _ a v a i l < / C o l u m n I D > < / S o u r c e > < / K e y C o l u m n > < / K e y C o l u m n s > < / A t t r i b u t e > < A t t r i b u t e > < A t t r i b u t e I D > A d u l t   C C   b e d s   o c c < / A t t r i b u t e I D > < K e y C o l u m n s > < K e y C o l u m n > < D a t a T y p e > D o u b l e < / D a t a T y p e > < D a t a S i z e > - 1 < / D a t a S i z e > < N u l l P r o c e s s i n g > P r e s e r v e < / N u l l P r o c e s s i n g > < I n v a l i d X m l C h a r a c t e r s > R e m o v e < / I n v a l i d X m l C h a r a c t e r s > < S o u r c e   x s i : t y p e = " C o l u m n B i n d i n g " > < T a b l e I D > W i n t e r _ x 0 0 2 0 _ d a i l y _ x 0 0 2 0 _ s i t r e p s _ 1 d f 8 1 2 b b - 9 f c 3 - 4 6 7 4 - 8 d 4 1 - 6 0 c 6 7 2 6 a 8 e f 3 < / T a b l e I D > < C o l u m n I D > A d u l t _ x 0 0 2 0 _ C C _ x 0 0 2 0 _ b e d s _ x 0 0 2 0 _ o c c < / C o l u m n I D > < / S o u r c e > < / K e y C o l u m n > < / K e y C o l u m n s > < / A t t r i b u t e > < A t t r i b u t e > < A t t r i b u t e I D > P a e d 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 P a e d _ x 0 0 2 0 _ I n t _ x 0 0 2 0 _ C a r e _ x 0 0 2 0 _ A v a i l < / C o l u m n I D > < / S o u r c e > < / K e y C o l u m n > < / K e y C o l u m n s > < / A t t r i b u t e > < A t t r i b u t e > < A t t r i b u t e I D > P a e d   I n t   C a r e   O c c < / A t t r i b u t e I D > < K e y C o l u m n s > < K e y C o l u m n > < D a t a T y p e > D o u b l e < / D a t a T y p e > < D a t a S i z e > - 1 < / D a t a S i z e > < N u l l P r o c e s s i n g > P r e s e r v e < / N u l l P r o c e s s i n g > < I n v a l i d X m l C h a r a c t e r s > R e m o v e < / I n v a l i d X m l C h a r a c t e r s > < S o u r c e   x s i : t y p e = " C o l u m n B i n d i n g " > < T a b l e I D > W i n t e r _ x 0 0 2 0 _ d a i l y _ x 0 0 2 0 _ s i t r e p s _ 1 d f 8 1 2 b b - 9 f c 3 - 4 6 7 4 - 8 d 4 1 - 6 0 c 6 7 2 6 a 8 e f 3 < / T a b l e I D > < C o l u m n I D > P a e d _ x 0 0 2 0 _ I n t _ x 0 0 2 0 _ C a r e _ x 0 0 2 0 _ O c c < / C o l u m n I D > < / S o u r c e > < / K e y C o l u m n > < / K e y C o l u m n s > < / A t t r i b u t e > < A t t r i b u t e > < A t t r i b u t e I D > N e o   I n t   C a r e   A v a i l < / 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 N e o _ x 0 0 2 0 _ I n t _ x 0 0 2 0 _ C a r e _ x 0 0 2 0 _ A v a i l < / C o l u m n I D > < / S o u r c e > < / K e y C o l u m n > < / K e y C o l u m n s > < / A t t r i b u t e > < A t t r i b u t e > < A t t r i b u t e I D > N e o   I n t   C a r e   o c c < / A t t r i b u t e I D > < K e y C o l u m n s > < K e y C o l u m n > < D a t a T y p e > D o u b l e < / D a t a T y p e > < D a t a S i z e > - 1 < / D a t a S i z e > < N u l l P r o c e s s i n g > P r e s e r v e < / N u l l P r o c e s s i n g > < I n v a l i d X m l C h a r a c t e r s > R e m o v e < / I n v a l i d X m l C h a r a c t e r s > < S o u r c e   x s i : t y p e = " C o l u m n B i n d i n g " > < T a b l e I D > W i n t e r _ x 0 0 2 0 _ d a i l y _ x 0 0 2 0 _ s i t r e p s _ 1 d f 8 1 2 b b - 9 f c 3 - 4 6 7 4 - 8 d 4 1 - 6 0 c 6 7 2 6 a 8 e f 3 < / T a b l e I D > < C o l u m n I D > N e o _ x 0 0 2 0 _ I n t _ x 0 0 2 0 _ C a r e _ x 0 0 2 0 _ o c c < / C o l u m n I D > < / S o u r c e > < / K e y C o l u m n > < / K e y C o l u m n s > < / A t t r i b u t e > < A t t r i b u t e > < A t t r i b u t e I D > O P E L   3   o r   a b o v e < / A t t r i b u t e I D > < K e y C o l u m n s > < K e y C o l u m n > < D a t a T y p e > D o u b l e < / D a t a T y p e > < D a t a S i z e > - 1 < / D a t a S i z e > < N u l l P r o c e s s i n g > P r e s e r v e < / N u l l P r o c e s s i n g > < I n v a l i d X m l C h a r a c t e r s > R e m o v e < / I n v a l i d X m l C h a r a c t e r s > < S o u r c e   x s i : t y p e = " C o l u m n B i n d i n g " > < T a b l e I D > W i n t e r _ x 0 0 2 0 _ d a i l y _ x 0 0 2 0 _ s i t r e p s _ 1 d f 8 1 2 b b - 9 f c 3 - 4 6 7 4 - 8 d 4 1 - 6 0 c 6 7 2 6 a 8 e f 3 < / T a b l e I D > < C o l u m n I D > O P E L _ x 0 0 2 0 _ 3 _ x 0 0 2 0 _ o r _ x 0 0 2 0 _ a b o v e < / C o l u m n I D > < / S o u r c e > < / K e y C o l u m n > < / K e y C o l u m n s > < / A t t r i b u t e > < A t t r i b u t e > < A t t r i b u t e I D > W e e k e n d < / A t t r i b u t e I D > < K e y C o l u m n s > < K e y C o l u m n > < D a t a T y p e > D o u b l e < / D a t a T y p e > < D a t a S i z e > - 1 < / D a t a S i z e > < N u l l P r o c e s s i n g > P r e s e r v e < / N u l l P r o c e s s i n g > < I n v a l i d X m l C h a r a c t e r s > R e m o v e < / I n v a l i d X m l C h a r a c t e r s > < S o u r c e   x s i : t y p e = " C o l u m n B i n d i n g " > < T a b l e I D > W i n t e r _ x 0 0 2 0 _ d a i l y _ x 0 0 2 0 _ s i t r e p s _ 1 d f 8 1 2 b b - 9 f c 3 - 4 6 7 4 - 8 d 4 1 - 6 0 c 6 7 2 6 a 8 e f 3 < / T a b l e I D > < C o l u m n I D > W e e k e n d < / C o l u m n I D > < / S o u r c e > < / K e y C o l u m n > < / K e y C o l u m n s > < / A t t r i b u t e > < A t t r i b u t e > < A t t r i b u t e I D > R e g i o n < / A t t r i b u t e I D > < K e y C o l u m n s > < K e y C o l u m n > < D a t a T y p e > W C h a r < / D a t a T y p e > < D a t a S i z e > 1 3 1 0 7 2 < / D a t a S i z e > < N u l l P r o c e s s i n g > P r e s e r v e < / N u l l P r o c e s s i n g > < I n v a l i d X m l C h a r a c t e r s > R e m o v e < / I n v a l i d X m l C h a r a c t e r s > < S o u r c e   x s i : t y p e = " C o l u m n B i n d i n g " > < T a b l e I D > W i n t e r _ x 0 0 2 0 _ d a i l y _ x 0 0 2 0 _ s i t r e p s _ 1 d f 8 1 2 b b - 9 f c 3 - 4 6 7 4 - 8 d 4 1 - 6 0 c 6 7 2 6 a 8 e f 3 < / T a b l e I D > < C o l u m n I D > R e g i o n < / C o l u m n I D > < / S o u r c e > < / K e y C o l u m n > < / K e y C o l u m n s > < / A t t r i b u t e > < A t t r i b u t e > < A t t r i b u t e I D > Y e a r < / A t t r i b u t e I D > < K e y C o l u m n s > < K e y C o l u m n > < D a t a T y p e > W C h a r < / D a t a T y p e > < D a t a S i z e > 1 3 1 0 7 2 < / D a t a S i z e > < N u l l P r o c e s s i n g > P r e s e r v e < / N u l l P r o c e s s i n g > < I n v a l i d X m l C h a r a c t e r s > R e m o v e < / I n v a l i d X m l C h a r a c t e r s > < S o u r c e   x s i : t y p e = " C o l u m n B i n d i n g " > < T a b l e I D > W i n t e r _ x 0 0 2 0 _ d a i l y _ x 0 0 2 0 _ s i t r e p s _ 1 d f 8 1 2 b b - 9 f c 3 - 4 6 7 4 - 8 d 4 1 - 6 0 c 6 7 2 6 a 8 e f 3 < / T a b l e I D > < C o l u m n I D > Y e a r < / C o l u m n I D > < / S o u r c e > < / K e y C o l u m n > < / K e y C o l u m n s > < / A t t r i b u t e > < A t t r i b u t e > < A t t r i b u t e I D > B e d s   o c c   o v e r   7 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 B e d s _ x 0 0 2 0 _ o c c _ x 0 0 2 0 _ o v e r _ x 0 0 2 0 _ 7 _ x 0 0 2 0 _ d a y s < / C o l u m n I D > < / S o u r c e > < / K e y C o l u m n > < / K e y C o l u m n s > < / A t t r i b u t e > < A t t r i b u t e > < A t t r i b u t e I D > B e d s   o c c   o v e r   2 1   d a y s < / A t t r i b u t e I D > < K e y C o l u m n s > < K e y C o l u m n > < D a t a T y p e > D o u b l e < / D a t a T y p e > < D a t a S i z e > - 1 < / D a t a S i z e > < N u l l P r o c e s s i n g > P r e s e r v e < / N u l l P r o c e s s i n g > < I n v a l i d X m l C h a r a c t e r s > R e m o v e < / I n v a l i d X m l C h a r a c t e r s > < S o u r c e   x s i : t y p e = " C o l u m n B i n d i n g " > < T a b l e I D > W i n t e r _ x 0 0 2 0 _ d a i l y _ x 0 0 2 0 _ s i t r e p s _ 1 d f 8 1 2 b b - 9 f c 3 - 4 6 7 4 - 8 d 4 1 - 6 0 c 6 7 2 6 a 8 e f 3 < / T a b l e I D > < C o l u m n I D > B e d s _ x 0 0 2 0 _ o c c _ x 0 0 2 0 _ o v e r _ x 0 0 2 0 _ 2 1 _ x 0 0 2 0 _ d a y s < / C o l u m n I D > < / S o u r c e > < / K e y C o l u m n > < / K e y C o l u m n s > < / A t t r i b u t e > < A t t r i b u t e > < A t t r i b u t e I D > A m b   a r r i v a l s < / A t t r i b u t e I D > < K e y C o l u m n s > < K e y C o l u m n > < D a t a T y p e > D o u b l e < / D a t a T y p e > < D a t a S i z e > - 1 < / D a t a S i z e > < N u l l P r o c e s s i n g > P r e s e r v e < / N u l l P r o c e s s i n g > < I n v a l i d X m l C h a r a c t e r s > R e m o v e < / I n v a l i d X m l C h a r a c t e r s > < S o u r c e   x s i : t y p e = " C o l u m n B i n d i n g " > < T a b l e I D > W i n t e r _ x 0 0 2 0 _ d a i l y _ x 0 0 2 0 _ s i t r e p s _ 1 d f 8 1 2 b b - 9 f c 3 - 4 6 7 4 - 8 d 4 1 - 6 0 c 6 7 2 6 a 8 e f 3 < / T a b l e I D > < C o l u m n I D > A m b _ x 0 0 2 0 _ a r r i v a l s < / C o l u m n I D > < / S o u r c e > < / K e y C o l u m n > < / K e y C o l u m n s > < / A t t r i b u t e > < A t t r i b u t e > < A t t r i b u t e I D > A m b   d e l a y s   3 0 - 6 0 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 A m b _ x 0 0 2 0 _ d e l a y s _ x 0 0 2 0 _ 3 0 - 6 0 _ x 0 0 2 0 _ m i n s < / C o l u m n I D > < / S o u r c e > < / K e y C o l u m n > < / K e y C o l u m n s > < / A t t r i b u t e > < A t t r i b u t e > < A t t r i b u t e I D > A m b   d e l a y s   o v e r   6 0   m i n s < / A t t r i b u t e I D > < K e y C o l u m n s > < K e y C o l u m n > < D a t a T y p e > D o u b l e < / D a t a T y p e > < D a t a S i z e > - 1 < / D a t a S i z e > < N u l l P r o c e s s i n g > P r e s e r v e < / N u l l P r o c e s s i n g > < I n v a l i d X m l C h a r a c t e r s > R e m o v e < / I n v a l i d X m l C h a r a c t e r s > < S o u r c e   x s i : t y p e = " C o l u m n B i n d i n g " > < T a b l e I D > W i n t e r _ x 0 0 2 0 _ d a i l y _ x 0 0 2 0 _ s i t r e p s _ 1 d f 8 1 2 b b - 9 f c 3 - 4 6 7 4 - 8 d 4 1 - 6 0 c 6 7 2 6 a 8 e f 3 < / T a b l e I D > < C o l u m n I D > A m b _ x 0 0 2 0 _ d e l a y s _ x 0 0 2 0 _ o v e r _ x 0 0 2 0 _ 6 0 _ x 0 0 2 0 _ m i n s < / C o l u m n I D > < / S o u r c e > < / K e y C o l u m n > < / K e y C o l u m n s > < / A t t r i b u t e > < A t t r i b u t e > < A t t r i b u t e I D > C a l c u l a t e d C o l u m n 1 < / A t t r i b u t e I D > < K e y C o l u m n s > < K e y C o l u m n > < D a t a T y p e > E m p t y < / D a t a T y p e > < S o u r c e   x s i : t y p e = " d d l 2 0 0 _ 2 0 0 : E x p r e s s i o n B i n d i n g " > < E x p r e s s i o n > < / E x p r e s s i o n > < / S o u r c e > < / K e y C o l u m n > < / K e y C o l u m n s > < / A t t r i b u t e > < A t t r i b u t e > < A t t r i b u t e I D > C a l c u l a t e d C o l u m n 1   1 < / A t t r i b u t e I D > < K e y C o l u m n s > < K e y C o l u m n > < D a t a T y p e > E m p t y < / D a t a T y p e > < S o u r c e   x s i : t y p e = " d d l 2 0 0 _ 2 0 0 : E x p r e s s i o n B i n d i n g " > < E x p r e s s i o n > < / E x p r e s s i o n > < / S o u r c e > < / K e y C o l u m n > < / K e y C o l u m n s > < / A t t r i b u t e > < / A t t r i b u t e s > < d d l 2 0 0 _ 2 0 0 : S h a r e D i m e n s i o n S t o r a g e > S h a r e d < / d d l 2 0 0 _ 2 0 0 : S h a r e D i m e n s i o n S t o r a g e > < / D i m e n s i o n > < / D i m e n s i o n s > < P a r t i t i o n s > < P a r t i t i o n > < I D > W i n t e r   d a i l y   s i t r e p s _ 1 d f 8 1 2 b b - 9 f c 3 - 4 6 7 4 - 8 d 4 1 - 6 0 c 6 7 2 6 a 8 e f 3 < / I D > < N a m e > W i n t e r   d a i l y   s i t r e p s < / N a m e > < A n n o t a t i o n s > < A n n o t a t i o n > < N a m e > I s Q u e r y E d i t o r U s e d < / N a m e > < V a l u e > F a l s e < / V a l u e > < / A n n o t a t i o n > < A n n o t a t i o n > < N a m e > Q u e r y E d i t o r S e r i a l i z a t i o n < / N a m e > < / A n n o t a t i o n > < A n n o t a t i o n > < N a m e > T a b l e W i d g e t S e r i a l i z a t i o n < / N a m e > < / A n n o t a t i o n > < / A n n o t a t i o n s > < S o u r c e   x s i : t y p e = " Q u e r y B i n d i n g " > < D a t a S o u r c e I D > 2 5 c f a f c b - a 9 8 0 - 4 1 4 2 - 8 7 8 c - 1 d a d 5 9 5 7 9 3 4 c < / D a t a S o u r c e I D > < Q u e r y D e f i n i t i o n > S E L E C T   [ a d b ] . [ W i n t e r   d a i l y   s i t r e p s ] . *   	 	 F R O M   [ a d b ] . [ W i n t e r   d a i l y   s i t r e p s ] < / Q u e r y D e f i n i t i o n > < / S o u r c e > < S t o r a g e M o d e   v a l u e n s = " d d l 2 0 0 _ 2 0 0 " > I n M e m o r y < / S t o r a g e M o d e > < P r o c e s s i n g M o d e > R e g u l a r < / P r o c e s s i n g M o d e > < E r r o r C o n f i g u r a t i o n > < K e y N o t F o u n d > I g n o r e E r r o r < / K e y N o t F o u n d > < K e y D u p l i c a t e > R e p o r t A n d S t o p < / K e y D u p l i c a t e > < N u l l K e y N o t A l l o w e d > R e p o r t A n d S t o p < / N u l l K e y N o t A l l o w e d > < / E r r o r C o n f i g u r a t i o n > < 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 W i n t e r   b e d   o c c   o v e r   1 4   d a y s < / I D > < N a m e > W i n t e r   b e d   o c c   o v e r   1 4   d a y s < / N a m e > < M e a s u r e s > < M e a s u r e > < I D > W i n t e r   b e d   o c c   o v e r   1 4   d a y s < / I D > < N a m e > _ C o u n t   W i n t e r   b e d   o c c   o v e r   1 4   d a y s < / N a m e > < A g g r e g a t e F u n c t i o n > C o u n t < / A g g r e g a t e F u n c t i o n > < D a t a T y p e > B i g I n t < / D a t a T y p e > < S o u r c e > < D a t a T y p e > B i g I n t < / D a t a T y p e > < D a t a S i z e > 8 < / D a t a S i z e > < S o u r c e   x s i : t y p e = " R o w B i n d i n g " > < T a b l e I D > T a b l e I D < / T a b l e I D > < / S o u r c e > < / S o u r c e > < V i s i b l e > f a l s e < / V i s i b l 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 W i n t e r   b e d   o c c   o v e r   1 4   d a y s < / C u b e D i m e n s i o n I D > < A t t r i b u t e s > < A t t r i b u t e > < A t t r i b u t e I D > R e g i o n < / A t t r i b u t e I D > < K e y C o l u m n s > < K e y C o l u m n > < D a t a T y p e > W C h a r < / D a t a T y p e > < N u l l P r o c e s s i n g > P r e s e r v e < / N u l l P r o c e s s i n g > < / K e y C o l u m n > < / K e y C o l u m n s > < / A t t r i b u t e > < A t t r i b u t e > < A t t r i b u t e I D > C o d e < / A t t r i b u t e I D > < K e y C o l u m n s > < K e y C o l u m n > < D a t a T y p e > W C h a r < / D a t a T y p e > < N u l l P r o c e s s i n g > P r e s e r v e < / N u l l P r o c e s s i n g > < / K e y C o l u m n > < / K e y C o l u m n s > < / A t t r i b u t e > < A t t r i b u t e > < A t t r i b u t e I D > N a m e < / A t t r i b u t e I D > < K e y C o l u m n s > < K e y C o l u m n > < D a t a T y p e > W C h a r < / D a t a T y p e > < N u l l P r o c e s s i n g > P r e s e r v e < / N u l l P r o c e s s i n g > < / K e y C o l u m n > < / K e y C o l u m n s > < / A t t r i b u t e > < A t t r i b u t e > < A t t r i b u t e I D > Y e a r < / A t t r i b u t e I D > < K e y C o l u m n s > < K e y C o l u m n > < D a t a T y p e > W C h a r < / D a t a T y p e > < N u l l P r o c e s s i n g > P r e s e r v e < / N u l l P r o c e s s i n g > < / K e y C o l u m n > < / K e y C o l u m n s > < / A t t r i b u t e > < A t t r i b u t e > < A t t r i b u t e I D > D a t e < / A t t r i b u t e I D > < K e y C o l u m n s > < K e y C o l u m n > < D a t a T y p e > D a t e < / D a t a T y p e > < N u l l P r o c e s s i n g > P r e s e r v e < / N u l l P r o c e s s i n g > < / K e y C o l u m n > < / K e y C o l u m n s > < / A t t r i b u t e > < A t t r i b u t e > < A t t r i b u t e I D > W e e k < / A t t r i b u t e I D > < K e y C o l u m n s > < K e y C o l u m n > < D a t a T y p e > B i g I n t < / D a t a T y p e > < N u l l P r o c e s s i n g > P r e s e r v e < / N u l l P r o c e s s i n g > < / K e y C o l u m n > < / K e y C o l u m n s > < / A t t r i b u t e > < A t t r i b u t e > < A t t r i b u t e I D > D a y < / A t t r i b u t e I D > < K e y C o l u m n s > < K e y C o l u m n > < D a t a T y p e > W C h a r < / D a t a T y p e > < N u l l P r o c e s s i n g > P r e s e r v e < / N u l l P r o c e s s i n g > < / K e y C o l u m n > < / K e y C o l u m n s > < / A t t r i b u t e > < A t t r i b u t e > < A t t r i b u t e I D > W e e k e n d < / A t t r i b u t e I D > < K e y C o l u m n s > < K e y C o l u m n > < D a t a T y p e > B i g I n t < / D a t a T y p e > < N u l l P r o c e s s i n g > P r e s e r v e < / N u l l P r o c e s s i n g > < / K e y C o l u m n > < / K e y C o l u m n s > < / A t t r i b u t e > < A t t r i b u t e > < A t t r i b u t e I D > B a n k   h o l i d a y < / A t t r i b u t e I D > < K e y C o l u m n s > < K e y C o l u m n > < D a t a T y p e > W C h a r < / D a t a T y p e > < N u l l P r o c e s s i n g > P r e s e r v e < / N u l l P r o c e s s i n g > < / K e y C o l u m n > < / K e y C o l u m n s > < / A t t r i b u t e > < A t t r i b u t e > < A t t r i b u t e I D > A   E   c l o s u r e s < / A t t r i b u t e I D > < K e y C o l u m n s > < K e y C o l u m n > < D a t a T y p e > B i g I n t < / D a t a T y p e > < N u l l P r o c e s s i n g > P r e s e r v e < / N u l l P r o c e s s i n g > < / K e y C o l u m n > < / K e y C o l u m n s > < / A t t r i b u t e > < A t t r i b u t e > < A t t r i b u t e I D > A   E   d i v e r t s < / A t t r i b u t e I D > < K e y C o l u m n s > < K e y C o l u m n > < D a t a T y p e > B i g I n t < / D a t a T y p e > < N u l l P r o c e s s i n g > P r e s e r v e < / N u l l P r o c e s s i n g > < / K e y C o l u m n > < / K e y C o l u m n s > < / A t t r i b u t e > < A t t r i b u t e > < A t t r i b u t e I D > G   A   c o r e   b e d s   a v a i l < / A t t r i b u t e I D > < K e y C o l u m n s > < K e y C o l u m n > < D a t a T y p e > B i g I n t < / D a t a T y p e > < N u l l P r o c e s s i n g > P r e s e r v e < / N u l l P r o c e s s i n g > < / K e y C o l u m n > < / K e y C o l u m n s > < / A t t r i b u t e > < A t t r i b u t e > < A t t r i b u t e I D > G   A   e s c a l a t i o n   b e d s   a v a i l < / A t t r i b u t e I D > < K e y C o l u m n s > < K e y C o l u m n > < D a t a T y p e > B i g I n t < / D a t a T y p e > < N u l l P r o c e s s i n g > P r e s e r v e < / N u l l P r o c e s s i n g > < / K e y C o l u m n > < / K e y C o l u m n s > < / A t t r i b u t e > < A t t r i b u t e > < A t t r i b u t e I D > G   A   t o t a l   b e d s   a v a i l < / A t t r i b u t e I D > < K e y C o l u m n s > < K e y C o l u m n > < D a t a T y p e > B i g I n t < / D a t a T y p e > < N u l l P r o c e s s i n g > P r e s e r v e < / N u l l P r o c e s s i n g > < / K e y C o l u m n > < / K e y C o l u m n s > < / A t t r i b u t e > < A t t r i b u t e > < A t t r i b u t e I D > G   A   t o t a l   b e d s   o c c u p i e d < / A t t r i b u t e I D > < K e y C o l u m n s > < K e y C o l u m n > < D a t a T y p e > B i g I n t < / D a t a T y p e > < N u l l P r o c e s s i n g > P r e s e r v e < / N u l l P r o c e s s i n g > < / K e y C o l u m n > < / K e y C o l u m n s > < / A t t r i b u t e > < A t t r i b u t e > < A t t r i b u t e I D > B e d s   o c c   o v e r   7   d a y s < / A t t r i b u t e I D > < K e y C o l u m n s > < K e y C o l u m n > < D a t a T y p e > B i g I n t < / D a t a T y p e > < N u l l P r o c e s s i n g > P r e s e r v e < / N u l l P r o c e s s i n g > < / K e y C o l u m n > < / K e y C o l u m n s > < / A t t r i b u t e > < A t t r i b u t e > < A t t r i b u t e I D > B e d s   o c c   o v e r   2 1   d a y s < / A t t r i b u t e I D > < K e y C o l u m n s > < K e y C o l u m n > < D a t a T y p e > B i g I n t < / D a t a T y p e > < N u l l P r o c e s s i n g > P r e s e r v e < / N u l l P r o c e s s i n g > < / K e y C o l u m n > < / K e y C o l u m n s > < / A t t r i b u t e > < A t t r i b u t e > < A t t r i b u t e I D > B e d s   c l o s e d   n o r o v i r u s < / A t t r i b u t e I D > < K e y C o l u m n s > < K e y C o l u m n > < D a t a T y p e > B i g I n t < / D a t a T y p e > < N u l l P r o c e s s i n g > P r e s e r v e < / N u l l P r o c e s s i n g > < / K e y C o l u m n > < / K e y C o l u m n s > < / A t t r i b u t e > < A t t r i b u t e > < A t t r i b u t e I D > B e d s   c l o s e d   n o r o v i u s   u n o c c < / A t t r i b u t e I D > < K e y C o l u m n s > < K e y C o l u m n > < D a t a T y p e > B i g I n t < / D a t a T y p e > < N u l l P r o c e s s i n g > P r e s e r v e < / N u l l P r o c e s s i n g > < / K e y C o l u m n > < / K e y C o l u m n s > < / A t t r i b u t e > < A t t r i b u t e > < A t t r i b u t e I D > A d u l t   C C   b e d s   a v a i l < / A t t r i b u t e I D > < K e y C o l u m n s > < K e y C o l u m n > < D a t a T y p e > B i g I n t < / D a t a T y p e > < N u l l P r o c e s s i n g > P r e s e r v e < / N u l l P r o c e s s i n g > < / K e y C o l u m n > < / K e y C o l u m n s > < / A t t r i b u t e > < A t t r i b u t e > < A t t r i b u t e I D > A d u l t   C C   b e d s   o c c < / A t t r i b u t e I D > < K e y C o l u m n s > < K e y C o l u m n > < D a t a T y p e > B i g I n t < / D a t a T y p e > < N u l l P r o c e s s i n g > P r e s e r v e < / N u l l P r o c e s s i n g > < / K e y C o l u m n > < / K e y C o l u m n s > < / A t t r i b u t e > < A t t r i b u t e > < A t t r i b u t e I D > P a e d   I n t   C a r e   A v a i l < / A t t r i b u t e I D > < K e y C o l u m n s > < K e y C o l u m n > < D a t a T y p e > B i g I n t < / D a t a T y p e > < N u l l P r o c e s s i n g > P r e s e r v e < / N u l l P r o c e s s i n g > < / K e y C o l u m n > < / K e y C o l u m n s > < / A t t r i b u t e > < A t t r i b u t e > < A t t r i b u t e I D > P a e d   I n t   C a r e   O c c < / A t t r i b u t e I D > < K e y C o l u m n s > < K e y C o l u m n > < D a t a T y p e > B i g I n t < / D a t a T y p e > < N u l l P r o c e s s i n g > P r e s e r v e < / N u l l P r o c e s s i n g > < / K e y C o l u m n > < / K e y C o l u m n s > < / A t t r i b u t e > < A t t r i b u t e > < A t t r i b u t e I D > N e o   I n t   C a r e   A v a i l < / A t t r i b u t e I D > < K e y C o l u m n s > < K e y C o l u m n > < D a t a T y p e > B i g I n t < / D a t a T y p e > < N u l l P r o c e s s i n g > P r e s e r v e < / N u l l P r o c e s s i n g > < / K e y C o l u m n > < / K e y C o l u m n s > < / A t t r i b u t e > < A t t r i b u t e > < A t t r i b u t e I D > N e o   I n t   C a r e   o c c < / A t t r i b u t e I D > < K e y C o l u m n s > < K e y C o l u m n > < D a t a T y p e > B i g I n t < / D a t a T y p e > < N u l l P r o c e s s i n g > P r e s e r v e < / N u l l P r o c e s s i n g > < / K e y C o l u m n > < / K e y C o l u m n s > < / A t t r i b u t e > < A t t r i b u t e > < A t t r i b u t e I D > A m b   a r r i v a l s < / A t t r i b u t e I D > < K e y C o l u m n s > < K e y C o l u m n > < D a t a T y p e > B i g I n t < / D a t a T y p e > < N u l l P r o c e s s i n g > P r e s e r v e < / N u l l P r o c e s s i n g > < / K e y C o l u m n > < / K e y C o l u m n s > < / A t t r i b u t e > < A t t r i b u t e > < A t t r i b u t e I D > A m b   d e l a y s   3 0 - 6 0   m i n s < / A t t r i b u t e I D > < K e y C o l u m n s > < K e y C o l u m n > < D a t a T y p e > B i g I n t < / D a t a T y p e > < N u l l P r o c e s s i n g > P r e s e r v e < / N u l l P r o c e s s i n g > < / K e y C o l u m n > < / K e y C o l u m n s > < / A t t r i b u t e > < A t t r i b u t e > < A t t r i b u t e I D > A m b   d e l a y s   o v e r   6 0   m i n s < / A t t r i b u t e I D > < K e y C o l u m n s > < K e y C o l u m n > < D a t a T y p e > B i g I n t < / D a t a T y p e > < N u l l P r o c e s s i n g > P r e s e r v e < / N u l l P r o c e s s i n g > < / K e y C o l u m n > < / K e y C o l u m n s > < / A t t r i b u t e > < A t t r i b u t e > < A t t r i b u t e I D > B e d s   o c c   o v e r   1 4   d a y s < / A t t r i b u t e I D > < K e y C o l u m n s > < K e y C o l u m n > < D a t a T y p e > B i g I n t < / D a t a T y p e > < N u l l P r o c e s s i n g > P r e s e r v e < / N u l l P r o c e s s i n g > < / K e y C o l u m n > < / K e y C o l u m n s > < / A t t r i b u t e > < A t t r i b u t e > < A t t r i b u t e I D > R o w N u m b e r < / A t t r i b u t e I D > < K e y C o l u m n s > < K e y C o l u m n > < D a t a T y p e > I n t e g e r < / D a t a T y p e > < S o u r c e   x s i : t y p e = " C o l u m n B i n d i n g " > < T a b l e I D > W i n t e r _ x 0 0 2 0 _ b e d _ x 0 0 2 0 _ o c c _ x 0 0 2 0 _ o v e r _ x 0 0 2 0 _ 1 4 _ x 0 0 2 0 _ d a y s < / T a b l e I D > < C o l u m n I D > R o w N u m b e r < / C o l u m n I D > < / S o u r c e > < / K e y C o l u m n > < / K e y C o l u m n s > < T y p e > G r a n u l a r i t y < / T y p e > < / A t t r i b u t e > < / A t t r i b u t e s > < d d l 2 0 0 _ 2 0 0 : S h a r e D i m e n s i o n S t o r a g e > S h a r e d < / d d l 2 0 0 _ 2 0 0 : S h a r e D i m e n s i o n S t o r a g e > < / D i m e n s i o n > < / D i m e n s i o n s > < P a r t i t i o n s > < P a r t i t i o n > < I D > W i n t e r   b e d   o c c   o v e r   1 4   d a y s < / I D > < N a m e > W i n t e r   b e d   o c c   o v e r   1 4   d a y s < / 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S o u r c e > < D a t a S o u r c e V i e w I D > S a n d b o x < / D a t a S o u r c e V i e w I D > < / S o u r c e > < M d x S c r i p t s > < M d x S c r i p t > < I D > M d x S c r i p t < / I D > < N a m e > M d x S c r i p t < / N a m e > < C o m m a n d s > < C o m m a n d > < T e x t > C A L C U L A T E ;    
 C R E A T E   M E M B E R   C U R R E N T C U B E . M e a s u r e s . [ _ _ N o   m e a s u r e s   d e f i n e d ]   A S   1 ;    
 A L T E R   C U B E   C U R R E N T C U B E   U P D A T E   D I M E N S I O N   M e a s u r e s ,   D e f a u l t _ M e m b e r   =   [ _ _ N o   m e a s u r e s   d e f i n e d ] ;   < / T e x t > < / C o m m a n d > < C o m m a n d > < T e x t > - - - - - - - - - - - - - - - - - - - - - - - - - - - - - - - - - - - - - - - - - - - - - - - - - - - - - - - - - -  
 - -   P o w e r P i v o t   m e a s u r e s   c o m m a n d   ( d o   n o t   m o d i f y   m a n u a l l y )   - -  
 - - - - - - - - - - - - - - - - - - - - - - - - - - - - - - - - - - - - - - - - - - - - - - - - - - - - - - - - - -  
  
  
 C R E A T E   M E A S U R E   ' W i n t e r   d a i l y   s i t r e p s ' [ S u m   o f   A E   d i v e r t s ] = S U M ( ' W i n t e r   d a i l y   s i t r e p s ' [ A E   d i v e r t s ] ) ;  
 C R E A T E   M E A S U R E   ' W i n t e r   d a i l y   s i t r e p s ' [ S u m   o f   G A   t o t a l   b e d s   o c c u p i e d ] = S U M ( ' W i n t e r   d a i l y   s i t r e p s ' [ G A   t o t a l   b e d s   o c c u p i e d ] ) ;  
 C R E A T E   M E A S U R E   ' W i n t e r   d a i l y   s i t r e p s ' [ A v e r a g e   o f   G A   t o t a l   b e d s   o c c u p i e d ] = A V E R A G E ( ' W i n t e r   d a i l y   s i t r e p s ' [ G A   t o t a l   b e d s   o c c u p i e d ] ) ;  
 C R E A T E   M E A S U R E   ' W i n t e r   d a i l y   s i t r e p s ' [ S u m   o f   G A   t o t a l   b e d s   a v a i l ] = S U M ( ' W i n t e r   d a i l y   s i t r e p s ' [ G A   t o t a l   b e d s   a v a i l ] ) ;  
 C R E A T E   M E A S U R E   ' W i n t e r   d a i l y   s i t r e p s ' [ S u m   o f   B e d s   o c c   o v e r   7   d a y s ] = S U M ( ' W i n t e r   d a i l y   s i t r e p s ' [ B e d s   o c c   o v e r   7   d a y s ] ) ;  
 C R E A T E   M E A S U R E   ' W i n t e r   d a i l y   s i t r e p s ' [ S u m   o f   B e d s   o c c   o v e r   2 1   d a y s ] = S U M ( ' W i n t e r   d a i l y   s i t r e p s ' [ B e d s   o c c   o v e r   2 1   d a y s ] ) ;  
 C R E A T E   M E A S U R E   ' W i n t e r   d a i l y   s i t r e p s ' [ A v e r a g e   o f   B e d s   o c c   o v e r   2 1   d a y s ] = A V E R A G E ( ' W i n t e r   d a i l y   s i t r e p s ' [ B e d s   o c c   o v e r   2 1   d a y s ] ) ;  
 C R E A T E   M E A S U R E   ' W i n t e r   d a i l y   s i t r e p s ' [ S u m   o f   B e d s   c l o s e d   n o r o v i r u s ] = S U M ( ' W i n t e r   d a i l y   s i t r e p s ' [ B e d s   c l o s e d   n o r o v i r u s ] ) ;  
 C R E A T E   M E A S U R E   ' W i n t e r   d a i l y   s i t r e p s ' [ A v e r a g e   o f   B e d s   c l o s e d   n o r o v i r u s ] = A V E R A G E ( ' W i n t e r   d a i l y   s i t r e p s ' [ B e d s   c l o s e d   n o r o v i r u s ] ) ;  
 C R E A T E   M E A S U R E   ' W i n t e r   d a i l y   s i t r e p s ' [ S u m   o f   B e d s   c l o s e d   n o r o v i u s   u n o c c ] = S U M ( ' W i n t e r   d a i l y   s i t r e p s ' [ B e d s   c l o s e d   n o r o v i u s   u n o c c ] ) ;  
 C R E A T E   M E A S U R E   ' W i n t e r   d a i l y   s i t r e p s ' [ S u m   o f   A m b   a r r i v a l s ] = S U M ( ' W i n t e r   d a i l y   s i t r e p s ' [ A m b   a r r i v a l s ] ) ;  
 C R E A T E   M E A S U R E   ' W i n t e r   d a i l y   s i t r e p s ' [ S u m   o f   A m b   d e l a y s   3 0 - 6 0   m i n s ] = S U M ( ' W i n t e r   d a i l y   s i t r e p s ' [ A m b   d e l a y s   3 0 - 6 0   m i n s ] ) ;  
 C R E A T E   M E A S U R E   ' W i n t e r   d a i l y   s i t r e p s ' [ S u m   o f   A m b   d e l a y s   o v e r   6 0   m i n s ] = S U M ( ' W i n t e r   d a i l y   s i t r e p s ' [ A m b   d e l a y s   o v e r   6 0   m i n s ] ) ;  
 C R E A T E   M E A S U R E   ' W i n t e r   d a i l y   s i t r e p s ' [ S u m   o f   A d u l t   C C   b e d s   a v a i l ] = S U M ( ' W i n t e r   d a i l y   s i t r e p s ' [ A d u l t   C C   b e d s   a v a i l ] ) ;  
 C R E A T E   M E A S U R E   ' W i n t e r   d a i l y   s i t r e p s ' [ S u m   o f   A d u l t   C C   b e d s   o c c ] = S U M ( ' W i n t e r   d a i l y   s i t r e p s ' [ A d u l t   C C   b e d s   o c c ] ) ;  
 C R E A T E   M E A S U R E   ' W i n t e r   d a i l y   s i t r e p s ' [ S u m   o f   P a e d   I n t   C a r e   A v a i l ] = S U M ( ' W i n t e r   d a i l y   s i t r e p s ' [ P a e d   I n t   C a r e   A v a i l ] ) ;  
 C R E A T E   M E A S U R E   ' W i n t e r   d a i l y   s i t r e p s ' [ S u m   o f   P a e d   I n t   C a r e   O c c ] = S U M ( ' W i n t e r   d a i l y   s i t r e p s ' [ P a e d   I n t   C a r e   O c c ] ) ;  
 C R E A T E   M E A S U R E   ' W i n t e r   d a i l y   s i t r e p s ' [ S u m   o f   N e o   I n t   C a r e   A v a i l ] = S U M ( ' W i n t e r   d a i l y   s i t r e p s ' [ N e o   I n t   C a r e   A v a i l ] ) ;  
 C R E A T E   M E A S U R E   ' W i n t e r   d a i l y   s i t r e p s ' [ S u m   o f   N e o   I n t   C a r e   o c c ] = S U M ( ' W i n t e r   d a i l y   s i t r e p s ' [ N e o   I n t   C a r e   o c c ] ) ;  
 C R E A T E   M E A S U R E   ' W i n t e r   d a i l y   s i t r e p s ' [ A v e r a g e   o f   N e o   I n t   C a r e   A v a i l ] = A V E R A G E ( ' W i n t e r   d a i l y   s i t r e p s ' [ N e o   I n t   C a r e   A v a i l ] ) ;  
 C R E A T E   M E A S U R E   ' W i n t e r   d a i l y   s i t r e p s ' [ A v e r a g e   o f   N e o   I n t   C a r e   o c c ] = A V E R A G E ( ' W i n t e r   d a i l y   s i t r e p s ' [ N e o   I n t   C a r e   o c c ] ) ;  
 C R E A T E   M E A S U R E   ' W i n t e r   d a i l y   s i t r e p s ' [ S u m   o f   G A   b e d   o c c u p a n c y ] = S U M ( ' W i n t e r   d a i l y   s i t r e p s ' [ G A   b e d   o c c u p a n c y ] ) ;  
 C R E A T E   M E A S U R E   ' W i n t e r   d a i l y   s i t r e p s ' [ A v e r a g e   o f   G A   b e d   o c c u p a n c y ] = A V E R A G E ( ' W i n t e r   d a i l y   s i t r e p s ' [ G A   b e d   o c c u p a n c y ] ) ;  
 C R E A T E   M E A S U R E   ' W i n t e r   d a i l y   s i t r e p s ' [ S u m   o f   G A   c o r e   b e d s   a v a i l ] = S U M ( ' W i n t e r   d a i l y   s i t r e p s ' [ G A   c o r e   b e d s   a v a i l ] ) ;  
 C R E A T E   M E A S U R E   ' W i n t e r   d a i l y   s i t r e p s ' [ S u m   o f   G A   e s c a l a t i o n   b e d s   a v a i l ] = S U M ( ' W i n t e r   d a i l y   s i t r e p s ' [ G A   e s c a l a t i o n   b e d s   a v a i l ] ) ;  
 C R E A T E   M E A S U R E   ' W i n t e r   b e d   o c c   o v e r   1 4   d a y s ' [ S u m   o f   B e d s   o c c   o v e r   1 4   d a y s ] = S U M ( ' W i n t e r   b e d   o c c   o v e r   1 4   d a y s ' [ B e d s   o c c   o v e r   1 4   d a y s ] ) ;  
 < / T e x t > < / C o m m a n d > < / C o m m a n d s > < C a l c u l a t i o n P r o p e r t i e s > < C a l c u l a t i o n P r o p e r t y > < A n n o t a t i o n s > < A n n o t a t i o n > < N a m e > T y p e < / N a m e > < V a l u e > I m p l i c i t < / V a l u e > < / A n n o t a t i o n > < A n n o t a t i o n > < N a m e > I s P r i v a t e < / N a m e > < V a l u e > F a l s e < / V a l u e > < / A n n o t a t i o n > < A n n o t a t i o n > < N a m e > F o r m a t < / N a m e > < V a l u e > < F o r m a t   F o r m a t = " G e n e r a l "   x m l n s = " "   / > < / V a l u e > < / A n n o t a t i o n > < A n n o t a t i o n > < N a m e > R e f C o u n t < / N a m e > < V a l u e > 5 < / V a l u e > < / A n n o t a t i o n > < A n n o t a t i o n > < N a m e > C o l u m n < / N a m e > < V a l u e > A E   d i v e r t s < / V a l u e > < / A n n o t a t i o n > < A n n o t a t i o n > < N a m e > A g g r e g a t i o n < / N a m e > < V a l u e > S u m < / V a l u e > < / A n n o t a t i o n > < / A n n o t a t i o n s > < C a l c u l a t i o n R e f e r e n c e > [ S u m   o f   A E   d i v e r t s ] 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 S u m < / V a l u e > < / A n n o t a t i o n > < / A n n o t a t i o n s > < C a l c u l a t i o n R e f e r e n c e > [ S u m 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 t o t a l   b e d s   o c c u p i e d < / V a l u e > < / A n n o t a t i o n > < A n n o t a t i o n > < N a m e > A g g r e g a t i o n < / N a m e > < V a l u e > A v e r a g e < / V a l u e > < / A n n o t a t i o n > < / A n n o t a t i o n s > < C a l c u l a t i o n R e f e r e n c e > [ A v e r a g e   o f   G A   t o t a l   b e d s   o c c u p i e d ] < / 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 t o t a l   b e d s   a v a i l < / V a l u e > < / A n n o t a t i o n > < A n n o t a t i o n > < N a m e > A g g r e g a t i o n < / N a m e > < V a l u e > S u m < / V a l u e > < / A n n o t a t i o n > < / A n n o t a t i o n s > < C a l c u l a t i o n R e f e r e n c e > [ S u m   o f   G A   t o t a l 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 7   d a y s < / V a l u e > < / A n n o t a t i o n > < A n n o t a t i o n > < N a m e > A g g r e g a t i o n < / N a m e > < V a l u e > S u m < / V a l u e > < / A n n o t a t i o n > < / A n n o t a t i o n s > < C a l c u l a t i o n R e f e r e n c e > [ S u m   o f   B e d s   o c c   o v e r   7 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 S u m < / V a l u e > < / A n n o t a t i o n > < / A n n o t a t i o n s > < C a l c u l a t i o n R e f e r e n c e > [ S u m 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 o c c   o v e r   2 1   d a y s < / V a l u e > < / A n n o t a t i o n > < A n n o t a t i o n > < N a m e > A g g r e g a t i o n < / N a m e > < V a l u e > A v e r a g e < / V a l u e > < / A n n o t a t i o n > < / A n n o t a t i o n s > < C a l c u l a t i o n R e f e r e n c e > [ A v e r a g e   o f   B e d s   o c c   o v e r   2 1   d a y s ] 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 2 < / V a l u e > < / A n n o t a t i o n > < A n n o t a t i o n > < N a m e > C o l u m n < / N a m e > < V a l u e > B e d s   c l o s e d   n o r o v i r u s < / V a l u e > < / A n n o t a t i o n > < A n n o t a t i o n > < N a m e > A g g r e g a t i o n < / N a m e > < V a l u e > S u m < / V a l u e > < / A n n o t a t i o n > < / A n n o t a t i o n s > < C a l c u l a t i o n R e f e r e n c e > [ S u m   o f   B e d s   c l o s e d   n o r o v i r u s ] 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 B e d s   c l o s e d   n o r o v i r u s < / V a l u e > < / A n n o t a t i o n > < A n n o t a t i o n > < N a m e > A g g r e g a t i o n < / N a m e > < V a l u e > A v e r a g e < / V a l u e > < / A n n o t a t i o n > < / A n n o t a t i o n s > < C a l c u l a t i o n R e f e r e n c e > [ A v e r a g e   o f   B e d s   c l o s e d   n o r o v i r u s ] 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 B e d s   c l o s e d   n o r o v i u s   u n o c c < / V a l u e > < / A n n o t a t i o n > < A n n o t a t i o n > < N a m e > A g g r e g a t i o n < / N a m e > < V a l u e > S u m < / V a l u e > < / A n n o t a t i o n > < / A n n o t a t i o n s > < C a l c u l a t i o n R e f e r e n c e > [ S u m   o f   B e d s   c l o s e d   n o r o v i u s   u n o c c ] 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 a r r i v a l s < / V a l u e > < / A n n o t a t i o n > < A n n o t a t i o n > < N a m e > A g g r e g a t i o n < / N a m e > < V a l u e > S u m < / V a l u e > < / A n n o t a t i o n > < / A n n o t a t i o n s > < C a l c u l a t i o n R e f e r e n c e > [ S u m   o f   A m b   a r r i v a l s ] 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 A m b   d e l a y s   3 0 - 6 0   m i n s < / V a l u e > < / A n n o t a t i o n > < A n n o t a t i o n > < N a m e > A g g r e g a t i o n < / N a m e > < V a l u e > S u m < / V a l u e > < / A n n o t a t i o n > < / A n n o t a t i o n s > < C a l c u l a t i o n R e f e r e n c e > [ S u m   o f   A m b   d e l a y s   3 0 - 6 0   m i n s ] < / 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 A m b   d e l a y s   o v e r   6 0   m i n s < / V a l u e > < / A n n o t a t i o n > < A n n o t a t i o n > < N a m e > A g g r e g a t i o n < / N a m e > < V a l u e > S u m < / V a l u e > < / A n n o t a t i o n > < / A n n o t a t i o n s > < C a l c u l a t i o n R e f e r e n c e > [ S u m   o f   A m b   d e l a y s   o v e r   6 0   m i n s ] < / 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 a v a i l < / V a l u e > < / A n n o t a t i o n > < A n n o t a t i o n > < N a m e > A g g r e g a t i o n < / N a m e > < V a l u e > S u m < / V a l u e > < / A n n o t a t i o n > < / A n n o t a t i o n s > < C a l c u l a t i o n R e f e r e n c e > [ S u m   o f   A d u l t   C C 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 3 < / V a l u e > < / A n n o t a t i o n > < A n n o t a t i o n > < N a m e > C o l u m n < / N a m e > < V a l u e > A d u l t   C C   b e d s   o c c < / V a l u e > < / A n n o t a t i o n > < A n n o t a t i o n > < N a m e > A g g r e g a t i o n < / N a m e > < V a l u e > S u m < / V a l u e > < / A n n o t a t i o n > < / A n n o t a t i o n s > < C a l c u l a t i o n R e f e r e n c e > [ S u m   o f   A d u l t   C C   b e d s 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 A v a i l < / V a l u e > < / A n n o t a t i o n > < A n n o t a t i o n > < N a m e > A g g r e g a t i o n < / N a m e > < V a l u e > S u m < / V a l u e > < / A n n o t a t i o n > < / A n n o t a t i o n s > < C a l c u l a t i o n R e f e r e n c e > [ S u m   o f   P a e d 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 P a e d   I n t   C a r e   O c c < / V a l u e > < / A n n o t a t i o n > < A n n o t a t i o n > < N a m e > A g g r e g a t i o n < / N a m e > < V a l u e > S u m < / V a l u e > < / A n n o t a t i o n > < / A n n o t a t i o n s > < C a l c u l a t i o n R e f e r e n c e > [ S u m   o f   P a e d 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 A v a i l < / V a l u e > < / A n n o t a t i o n > < A n n o t a t i o n > < N a m e > A g g r e g a t i o n < / N a m e > < V a l u e > S u m < / V a l u e > < / A n n o t a t i o n > < / A n n o t a t i o n s > < C a l c u l a t i o n R e f e r e n c e > [ S u m   o f   N e o   I n t   C a r e 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 N e o   I n t   C a r e   o c c < / V a l u e > < / A n n o t a t i o n > < A n n o t a t i o n > < N a m e > A g g r e g a t i o n < / N a m e > < V a l u e > S u m < / V a l u e > < / A n n o t a t i o n > < / A n n o t a t i o n s > < C a l c u l a t i o n R e f e r e n c e > [ S u m   o f   N e o   I n t   C a r e   o c c ] < / 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 A v a i l < / V a l u e > < / A n n o t a t i o n > < A n n o t a t i o n > < N a m e > A g g r e g a t i o n < / N a m e > < V a l u e > A v e r a g e < / V a l u e > < / A n n o t a t i o n > < / A n n o t a t i o n s > < C a l c u l a t i o n R e f e r e n c e > [ A v e r a g e   o f   N e o   I n t   C a r e   A v a i l ] < / 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 N e o   I n t   C a r e   o c c < / V a l u e > < / A n n o t a t i o n > < A n n o t a t i o n > < N a m e > A g g r e g a t i o n < / N a m e > < V a l u e > A v e r a g e < / V a l u e > < / A n n o t a t i o n > < / A n n o t a t i o n s > < C a l c u l a t i o n R e f e r e n c e > [ A v e r a g e   o f   N e o   I n t   C a r e   o c c ] < / 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 T r u e < / V a l u e > < / A n n o t a t i o n > < A n n o t a t i o n > < N a m e > F o r m a t < / N a m e > < V a l u e > < F o r m a t   F o r m a t = " G e n e r a l "   x m l n s = " "   / > < / V a l u e > < / A n n o t a t i o n > < A n n o t a t i o n > < N a m e > R e f C o u n t < / N a m e > < V a l u e > 0 < / V a l u e > < / A n n o t a t i o n > < A n n o t a t i o n > < N a m e > C o l u m n < / N a m e > < V a l u e > G A   b e d   o c c u p a n c y < / V a l u e > < / A n n o t a t i o n > < A n n o t a t i o n > < N a m e > A g g r e g a t i o n < / N a m e > < V a l u e > S u m < / V a l u e > < / A n n o t a t i o n > < / A n n o t a t i o n s > < C a l c u l a t i o n R e f e r e n c e > [ S u m   o f   G A   b e d   o c c u p a n c y ] < / C a l c u l a t i o n R e f e r e n c e > < C a l c u l a t i o n T y p e > M e m b e r < / C a l c u l a t i o n T y p e > < V i s i b l e > f a l s e < / V i s i b l 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 G A   b e d   o c c u p a n c y < / V a l u e > < / A n n o t a t i o n > < A n n o t a t i o n > < N a m e > A g g r e g a t i o n < / N a m e > < V a l u e > A v e r a g e < / V a l u e > < / A n n o t a t i o n > < / A n n o t a t i o n s > < C a l c u l a t i o n R e f e r e n c e > [ A v e r a g e   o f   G A   b e d   o c c u p a n c y ] < / 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 c o r e   b e d s   a v a i l < / V a l u e > < / A n n o t a t i o n > < A n n o t a t i o n > < N a m e > A g g r e g a t i o n < / N a m e > < V a l u e > S u m < / V a l u e > < / A n n o t a t i o n > < / A n n o t a t i o n s > < C a l c u l a t i o n R e f e r e n c e > [ S u m   o f   G A   c o r e 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 4 < / V a l u e > < / A n n o t a t i o n > < A n n o t a t i o n > < N a m e > C o l u m n < / N a m e > < V a l u e > G A   e s c a l a t i o n   b e d s   a v a i l < / V a l u e > < / A n n o t a t i o n > < A n n o t a t i o n > < N a m e > A g g r e g a t i o n < / N a m e > < V a l u e > S u m < / V a l u e > < / A n n o t a t i o n > < / A n n o t a t i o n s > < C a l c u l a t i o n R e f e r e n c e > [ S u m   o f   G A   e s c a l a t i o n   b e d s   a v a i l ] < / C a l c u l a t i o n R e f e r e n c e > < C a l c u l a t i o n T y p e > M e m b e r < / C a l c u l a t i o n T y p e > < F o r m a t S t r i n g > ' ' < / F o r m a t S t r i n g > < d d l 3 0 0 : V i s u a l i z a t i o n P r o p e r t i e s > < d d l 3 0 0 : I s S i m p l e M e a s u r e > t r u e < / d d l 3 0 0 : I s S i m p l e M e a s u r e > < / d d l 3 0 0 : V i s u a l i z a t i o n P r o p e r t i e s > < / C a l c u l a t i o n P r o p e r t y > < C a l c u l a t i o n P r o p e r t y > < A n n o t a t i o n s > < A n n o t a t i o n > < N a m e > T y p e < / N a m e > < V a l u e > I m p l i c i t < / V a l u e > < / A n n o t a t i o n > < A n n o t a t i o n > < N a m e > I s P r i v a t e < / N a m e > < V a l u e > F a l s e < / V a l u e > < / A n n o t a t i o n > < A n n o t a t i o n > < N a m e > F o r m a t < / N a m e > < V a l u e > < F o r m a t   F o r m a t = " G e n e r a l "   x m l n s = " "   / > < / V a l u e > < / A n n o t a t i o n > < A n n o t a t i o n > < N a m e > R e f C o u n t < / N a m e > < V a l u e > 1 < / V a l u e > < / A n n o t a t i o n > < A n n o t a t i o n > < N a m e > C o l u m n < / N a m e > < V a l u e > B e d s   o c c   o v e r   1 4   d a y s < / V a l u e > < / A n n o t a t i o n > < A n n o t a t i o n > < N a m e > A g g r e g a t i o n < / N a m e > < V a l u e > S u m < / V a l u e > < / A n n o t a t i o n > < / A n n o t a t i o n s > < C a l c u l a t i o n R e f e r e n c e > [ S u m   o f   B e d s   o c c   o v e r   1 4   d a y s ] < / C a l c u l a t i o n R e f e r e n c e > < C a l c u l a t i o n T y p e > M e m b e r < / C a l c u l a t i o n T y p e > < F o r m a t S t r i n g > ' ' < / F o r m a t S t r i n g > < d d l 3 0 0 : V i s u a l i z a t i o n P r o p e r t i e s > < d d l 3 0 0 : I s S i m p l e M e a s u r e > t r u e < / d d l 3 0 0 : I s S i m p l e M e a s u r e > < / d d l 3 0 0 : V i s u a l i z a t i o n P r o p e r t i e s > < / C a l c u l a t i o n P r o p e r t y > < C a l c u l a t i o n P r o p e r t y > < C a l c u l a t i o n R e f e r e n c e > M e a s u r e s . [ _ _ N o   m e a s u r e s   d e f i n e d ] < / C a l c u l a t i o n R e f e r e n c e > < C a l c u l a t i o n T y p e > M e m b e r < / C a l c u l a t i o n T y p e > < V i s i b l e > f a l s e < / V i s i b l 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a t a S o u r c e s > < D a t a S o u r c e   x s i : t y p e = " R e l a t i o n a l D a t a S o u r c e " > < I D > 2 5 c f a f c b - a 9 8 0 - 4 1 4 2 - 8 7 8 c - 1 d a d 5 9 5 7 9 3 4 c < / I D > < N a m e > e - b a s e . n h s p r o v i d e r s . o r g < / N a m e > < A n n o t a t i o n s > < A n n o t a t i o n > < N a m e > C o n n e c t i o n E d i t U I S o u r c e < / N a m e > < V a l u e > S q l S e r v e r < / V a l u e > < / A n n o t a t i o n > < / A n n o t a t i o n s > < C o n n e c t i o n S t r i n g > P r o v i d e r = S Q L N C L I 1 0 ; D a t a   S o u r c e = e - b a s e . n h s p r o v i d e r s . o r g ; I n i t i a l   C a t a l o g = F T N ; U s e r   I D = c l a i r e . h e l m @ n h s p r o v i d e r s . o r g ; P e r s i s t   S e c u r i t y   I n f o = f a l s e < / C o n n e c t i o n S t r i n g > < I m p e r s o n a t i o n I n f o > < I m p e r s o n a t i o n M o d e > I m p e r s o n a t e C u r r e n t U s e r < / I m p e r s o n a t i o n M o d e > < / I m p e r s o n a t i o n I n f o > < T i m e o u t > P T 0 S < / T i m e o u t > < / D a t a S o u r c e > < / D a t a S o u r c e s > < D a t a S o u r c e V i e w s > < D a t a S o u r c e V i e w > < I D > S a n d b o x < / I D > < N a m e > S a n d b o x < / N a m e > < D a t a S o u r c e I D > 2 5 c f a f c b - a 9 8 0 - 4 1 4 2 - 8 7 8 c - 1 d a d 5 9 5 7 9 3 4 c < / D a t a S o u r c e I D > < S c h e m a > < x s : s c h e m a   i d = " N e w D a t a S e t "   x m l n s = " "   x m l n s : x s = " h t t p : / / w w w . w 3 . o r g / 2 0 0 1 / X M L S c h e m a "   x m l n s : m s d a t a = " u r n : s c h e m a s - m i c r o s o f t - c o m : x m l - m s d a t a "   x m l n s : m s p r o p = " u r n : s c h e m a s - m i c r o s o f t - c o m : x m l - m s p r o p " > < x s : e l e m e n t   n a m e = " N e w D a t a S e t "   m s d a t a : I s D a t a S e t = " t r u e "   m s d a t a : L o c a l e = " e n - G B " > < x s : c o m p l e x T y p e > < x s : c h o i c e   m i n O c c u r s = " 0 "   m a x O c c u r s = " u n b o u n d e d " > < x s : e l e m e n t   n a m e = " W i n t e r _ x 0 0 2 0 _ d a i l y _ x 0 0 2 0 _ s i t r e p s _ 1 d f 8 1 2 b b - 9 f c 3 - 4 6 7 4 - 8 d 4 1 - 6 0 c 6 7 2 6 a 8 e f 3 "   m s d a t a : L o c a l e = " "   m s p r o p : I s L o g i c a l = " T r u e "   m s p r o p : F r i e n d l y N a m e = " W i n t e r   d a i l y   s i t r e p s "   m s p r o p : D b S c h e m a N a m e = " a d b "   m s p r o p : D b T a b l e N a m e = " W i n t e r   d a i l y   s i t r e p s "   m s p r o p : T a b l e T y p e = " V i e w "   m s p r o p : D e s c r i p t i o n = " W i n t e r   d a i l y   s i t r e p s "   m s p r o p : Q u e r y D e f i n i t i o n = "             S E L E C T   [ a d b ] . [ W i n t e r   d a i l y   s i t r e p s ] . *       F R O M   [ a d b ] . [ W i n t e r   d a i l y   s i t r e p s ]   " > < x s : c o m p l e x T y p e > < x s : s e q u e n c e > < x s : e l e m e n t   n a m e = " I D "   m s p r o p : D b C o l u m n N a m e = " I D "   m s p r o p : F r i e n d l y N a m e = " I D "   t y p e = " x s : l o n g "   / > < x s : e l e m e n t   n a m e = " c r i _ i d "   m s p r o p : D b C o l u m n N a m e = " c r i _ i d "   m s p r o p : F r i e n d l y N a m e = " c r i _ i d "   t y p e = " x s : l o n g "   m i n O c c u r s = " 0 "   / > < x s : e l e m e n t   n a m e = " d r _ i d "   m s p r o p : D b C o l u m n N a m e = " d r _ i d "   m s p r o p : F r i e n d l y N a m e = " d r _ i d "   t y p e = " x s : l o n g "   m i n O c c u r s = " 0 "   / > < x s : e l e m e n t   n a m e = " o r g _ i d "   m s p r o p : D b C o l u m n N a m e = " o r g _ i d "   m s p r o p : F r i e n d l y N a m e = " o r g _ i d "   t y p e = " x s : l o n g "   m i n O c c u r s = " 0 "   / > < x s : e l e m e n t   n a m e = " c r i _ d a t a p e r i o d s t a r t "   m s p r o p : D b C o l u m n N a m e = " c r i _ d a t a p e r i o d s t a r t "   m s p r o p : F r i e n d l y N a m e = " c r i _ d a t a p e r i o d s t a r t "   t y p e = " x s : d a t e T i m e "   m i n O c c u r s = " 0 "   / > < x s : e l e m e n t   n a m e = " C o d e "   m s p r o p : D b C o l u m n N a m e = " C o d e "   m s p r o p : F r i e n d l y N a m e = " C o d e "   m i n O c c u r s = " 0 " > < x s : s i m p l e T y p e > < x s : r e s t r i c t i o n   b a s e = " x s : s t r i n g " > < x s : m a x L e n g t h   v a l u e = " 1 3 1 0 7 2 "   / > < / x s : r e s t r i c t i o n > < / x s : s i m p l e T y p e > < / x s : e l e m e n t > < x s : e l e m e n t   n a m e = " N a m e "   m s p r o p : D b C o l u m n N a m e = " N a m e "   m s p r o p : F r i e n d l y N a m e = " N a m e "   m i n O c c u r s = " 0 " > < x s : s i m p l e T y p e > < x s : r e s t r i c t i o n   b a s e = " x s : s t r i n g " > < x s : m a x L e n g t h   v a l u e = " 1 3 1 0 7 2 "   / > < / x s : r e s t r i c t i o n > < / x s : s i m p l e T y p e > < / x s : e l e m e n t > < x s : e l e m e n t   n a m e = " D a t e "   m s p r o p : D b C o l u m n N a m e = " D a t e "   m s p r o p : F r i e n d l y N a m e = " D a t e "   m i n O c c u r s = " 0 " > < x s : s i m p l e T y p e > < x s : r e s t r i c t i o n   b a s e = " x s : s t r i n g " > < x s : m a x L e n g t h   v a l u e = " 1 3 1 0 7 2 "   / > < / x s : r e s t r i c t i o n > < / x s : s i m p l e T y p e > < / x s : e l e m e n t > < x s : e l e m e n t   n a m e = " W e e k "   m s p r o p : D b C o l u m n N a m e = " W e e k "   m s p r o p : F r i e n d l y N a m e = " W e e k "   t y p e = " x s : d o u b l e "   m i n O c c u r s = " 0 "   / > < x s : e l e m e n t   n a m e = " D a y "   m s p r o p : D b C o l u m n N a m e = " D a y "   m s p r o p : F r i e n d l y N a m e = " D a y "   m i n O c c u r s = " 0 " > < x s : s i m p l e T y p e > < x s : r e s t r i c t i o n   b a s e = " x s : s t r i n g " > < x s : m a x L e n g t h   v a l u e = " 1 3 1 0 7 2 "   / > < / x s : r e s t r i c t i o n > < / x s : s i m p l e T y p e > < / x s : e l e m e n t > < x s : e l e m e n t   n a m e = " B a n k _ x 0 0 2 0 _ h o l i d a y "   m s p r o p : D b C o l u m n N a m e = " B a n k   h o l i d a y "   m s p r o p : F r i e n d l y N a m e = " B a n k   h o l i d a y "   t y p e = " x s : d o u b l e "   m i n O c c u r s = " 0 "   / > < x s : e l e m e n t   n a m e = " A _ x 0 0 2 6 _ E _ x 0 0 2 0 _ c l o s u r e s "   m s p r o p : D b C o l u m n N a m e = " A & a m p ; E   c l o s u r e s "   m s p r o p : F r i e n d l y N a m e = " A E   c l o s u r e s "   t y p e = " x s : d o u b l e "   m i n O c c u r s = " 0 "   / > < x s : e l e m e n t   n a m e = " A _ x 0 0 2 6 _ E _ x 0 0 2 0 _ d i v e r t s "   m s p r o p : D b C o l u m n N a m e = " A & a m p ; E   d i v e r t s "   m s p r o p : F r i e n d l y N a m e = " A E   d i v e r t s "   t y p e = " x s : d o u b l e "   m i n O c c u r s = " 0 "   / > < x s : e l e m e n t   n a m e = " A _ x 0 0 2 6 _ E _ x 0 0 2 0 _ t y p e _ x 0 0 2 0 _ 1 _ x 0 0 2 0 _ a t t e n d a n c e s "   m s p r o p : D b C o l u m n N a m e = " A & a m p ; E   t y p e   1   a t t e n d a n c e s "   m s p r o p : F r i e n d l y N a m e = " A E   t y p e   1   a t t e n d a n c e s "   t y p e = " x s : d o u b l e "   m i n O c c u r s = " 0 "   / > < x s : e l e m e n t   n a m e = " A _ x 0 0 2 6 _ E _ x 0 0 2 0 _ t y p e _ x 0 0 2 0 _ 2 _ x 0 0 2 0 _ a t t e n d a n c e s "   m s p r o p : D b C o l u m n N a m e = " A & a m p ; E   t y p e   2   a t t e n d a n c e s "   m s p r o p : F r i e n d l y N a m e = " A E   t y p e   2   a t t e n d a n c e s "   t y p e = " x s : d o u b l e "   m i n O c c u r s = " 0 "   / > < x s : e l e m e n t   n a m e = " A _ x 0 0 2 6 _ E _ x 0 0 2 0 _ t y p e _ x 0 0 2 0 _ 3 _ x 0 0 2 0 _ a t t e n d a n c e s "   m s p r o p : D b C o l u m n N a m e = " A & a m p ; E   t y p e   3   a t t e n d a n c e s "   m s p r o p : F r i e n d l y N a m e = " A E   t y p e   3   a t t e n d a n c e s "   t y p e = " x s : d o u b l e "   m i n O c c u r s = " 0 "   / > < x s : e l e m e n t   n a m e = " A _ x 0 0 2 6 _ E _ x 0 0 2 0 _ t o t a l _ x 0 0 2 0 _ a t t e n d a n c e s "   m s p r o p : D b C o l u m n N a m e = " A & a m p ; E   t o t a l   a t t e n d a n c e s "   m s p r o p : F r i e n d l y N a m e = " A E   t o t a l   a t t e n d a n c e s "   t y p e = " x s : d o u b l e "   m i n O c c u r s = " 0 "   / > < x s : e l e m e n t   n a m e = " E m e r g e n c y _ x 0 0 2 0 _ a d m i s s i o n s "   m s p r o p : D b C o l u m n N a m e = " E m e r g e n c y   a d m i s s i o n s "   m s p r o p : F r i e n d l y N a m e = " E m e r g e n c y   a d m i s s i o n s "   t y p e = " x s : d o u b l e "   m i n O c c u r s = " 0 "   / > < x s : e l e m e n t   n a m e = " G _ x 0 0 2 6 _ A _ x 0 0 2 0 _ c o r e _ x 0 0 2 0 _ b e d s _ x 0 0 2 0 _ a v a i l "   m s p r o p : D b C o l u m n N a m e = " G & a m p ; A   c o r e   b e d s   a v a i l "   m s p r o p : F r i e n d l y N a m e = " G A   c o r e   b e d s   a v a i l "   t y p e = " x s : d o u b l e "   m i n O c c u r s = " 0 "   / > < x s : e l e m e n t   n a m e = " G _ x 0 0 2 6 _ A _ x 0 0 2 0 _ e s c a l a t i o n _ x 0 0 2 0 _ b e d s _ x 0 0 2 0 _ a v a i l "   m s p r o p : D b C o l u m n N a m e = " G & a m p ; A   e s c a l a t i o n   b e d s   a v a i l "   m s p r o p : F r i e n d l y N a m e = " G A   e s c a l a t i o n   b e d s   a v a i l "   t y p e = " x s : d o u b l e "   m i n O c c u r s = " 0 "   / > < x s : e l e m e n t   n a m e = " G _ x 0 0 2 6 _ A _ x 0 0 2 0 _ t o t a l _ x 0 0 2 0 _ b e d s _ x 0 0 2 0 _ a v a i l "   m s p r o p : D b C o l u m n N a m e = " G & a m p ; A   t o t a l   b e d s   a v a i l "   m s p r o p : F r i e n d l y N a m e = " G A   t o t a l   b e d s   a v a i l "   t y p e = " x s : d o u b l e "   m i n O c c u r s = " 0 "   / > < x s : e l e m e n t   n a m e = " G _ x 0 0 2 6 _ A _ x 0 0 2 0 _ t o t a l _ x 0 0 2 0 _ b e d s _ x 0 0 2 0 _ o c c u p i e d "   m s p r o p : D b C o l u m n N a m e = " G & a m p ; A   t o t a l   b e d s   o c c u p i e d "   m s p r o p : F r i e n d l y N a m e = " G A   t o t a l   b e d s   o c c u p i e d "   t y p e = " x s : d o u b l e "   m i n O c c u r s = " 0 "   / > < x s : e l e m e n t   n a m e = " B e d s _ x 0 0 2 0 _ c l o s e d _ x 0 0 2 0 _ n o r o v i r u s "   m s p r o p : D b C o l u m n N a m e = " B e d s   c l o s e d   n o r o v i r u s "   m s p r o p : F r i e n d l y N a m e = " B e d s   c l o s e d   n o r o v i r u s "   t y p e = " x s : d o u b l e "   m i n O c c u r s = " 0 "   / > < x s : e l e m e n t   n a m e = " B e d s _ x 0 0 2 0 _ c l o s e d _ x 0 0 2 0 _ n o r o v i u s _ x 0 0 2 0 _ u n o c c "   m s p r o p : D b C o l u m n N a m e = " B e d s   c l o s e d   n o r o v i u s   u n o c c "   m s p r o p : F r i e n d l y N a m e = " B e d s   c l o s e d   n o r o v i u s   u n o c c "   t y p e = " x s : d o u b l e "   m i n O c c u r s = " 0 "   / > < x s : e l e m e n t   n a m e = " A d u l t _ x 0 0 2 0 _ C C _ x 0 0 2 0 _ b e d s _ x 0 0 2 0 _ a v a i l "   m s p r o p : D b C o l u m n N a m e = " A d u l t   C C   b e d s   a v a i l "   m s p r o p : F r i e n d l y N a m e = " A d u l t   C C   b e d s   a v a i l "   t y p e = " x s : d o u b l e "   m i n O c c u r s = " 0 "   / > < x s : e l e m e n t   n a m e = " A d u l t _ x 0 0 2 0 _ C C _ x 0 0 2 0 _ b e d s _ x 0 0 2 0 _ o c c "   m s p r o p : D b C o l u m n N a m e = " A d u l t   C C   b e d s   o c c "   m s p r o p : F r i e n d l y N a m e = " A d u l t   C C   b e d s   o c c "   t y p e = " x s : d o u b l e "   m i n O c c u r s = " 0 "   / > < x s : e l e m e n t   n a m e = " P a e d _ x 0 0 2 0 _ I n t _ x 0 0 2 0 _ C a r e _ x 0 0 2 0 _ A v a i l "   m s p r o p : D b C o l u m n N a m e = " P a e d   I n t   C a r e   A v a i l "   m s p r o p : F r i e n d l y N a m e = " P a e d   I n t   C a r e   A v a i l "   t y p e = " x s : d o u b l e "   m i n O c c u r s = " 0 "   / > < x s : e l e m e n t   n a m e = " P a e d _ x 0 0 2 0 _ I n t _ x 0 0 2 0 _ C a r e _ x 0 0 2 0 _ O c c "   m s p r o p : D b C o l u m n N a m e = " P a e d   I n t   C a r e   O c c "   m s p r o p : F r i e n d l y N a m e = " P a e d   I n t   C a r e   O c c "   t y p e = " x s : d o u b l e "   m i n O c c u r s = " 0 "   / > < x s : e l e m e n t   n a m e = " N e o _ x 0 0 2 0 _ I n t _ x 0 0 2 0 _ C a r e _ x 0 0 2 0 _ A v a i l "   m s p r o p : D b C o l u m n N a m e = " N e o   I n t   C a r e   A v a i l "   m s p r o p : F r i e n d l y N a m e = " N e o   I n t   C a r e   A v a i l "   t y p e = " x s : d o u b l e "   m i n O c c u r s = " 0 "   / > < x s : e l e m e n t   n a m e = " N e o _ x 0 0 2 0 _ I n t _ x 0 0 2 0 _ C a r e _ x 0 0 2 0 _ o c c "   m s p r o p : D b C o l u m n N a m e = " N e o   I n t   C a r e   o c c "   m s p r o p : F r i e n d l y N a m e = " N e o   I n t   C a r e   o c c "   t y p e = " x s : d o u b l e "   m i n O c c u r s = " 0 "   / > < x s : e l e m e n t   n a m e = " O P E L _ x 0 0 2 0 _ 3 _ x 0 0 2 0 _ o r _ x 0 0 2 0 _ a b o v e "   m s p r o p : D b C o l u m n N a m e = " O P E L   3   o r   a b o v e "   m s p r o p : F r i e n d l y N a m e = " O P E L   3   o r   a b o v e "   t y p e = " x s : d o u b l e "   m i n O c c u r s = " 0 "   / > < x s : e l e m e n t   n a m e = " W e e k e n d "   m s p r o p : D b C o l u m n N a m e = " W e e k e n d "   m s p r o p : F r i e n d l y N a m e = " W e e k e n d "   t y p e = " x s : d o u b l e "   m i n O c c u r s = " 0 "   / > < x s : e l e m e n t   n a m e = " R e g i o n "   m s p r o p : D b C o l u m n N a m e = " R e g i o n "   m s p r o p : F r i e n d l y N a m e = " R e g i o n "   m i n O c c u r s = " 0 " > < x s : s i m p l e T y p e > < x s : r e s t r i c t i o n   b a s e = " x s : s t r i n g " > < x s : m a x L e n g t h   v a l u e = " 1 3 1 0 7 2 "   / > < / x s : r e s t r i c t i o n > < / x s : s i m p l e T y p e > < / x s : e l e m e n t > < x s : e l e m e n t   n a m e = " Y e a r "   m s p r o p : D b C o l u m n N a m e = " Y e a r "   m s p r o p : F r i e n d l y N a m e = " Y e a r "   m i n O c c u r s = " 0 " > < x s : s i m p l e T y p e > < x s : r e s t r i c t i o n   b a s e = " x s : s t r i n g " > < x s : m a x L e n g t h   v a l u e = " 1 3 1 0 7 2 "   / > < / x s : r e s t r i c t i o n > < / x s : s i m p l e T y p e > < / x s : e l e m e n t > < x s : e l e m e n t   n a m e = " B e d s _ x 0 0 2 0 _ o c c _ x 0 0 2 0 _ o v e r _ x 0 0 2 0 _ 7 _ x 0 0 2 0 _ d a y s "   m s p r o p : D b C o l u m n N a m e = " B e d s   o c c   o v e r   7   d a y s "   m s p r o p : F r i e n d l y N a m e = " B e d s   o c c   o v e r   7   d a y s "   t y p e = " x s : d o u b l e "   m i n O c c u r s = " 0 "   / > < x s : e l e m e n t   n a m e = " B e d s _ x 0 0 2 0 _ o c c _ x 0 0 2 0 _ o v e r _ x 0 0 2 0 _ 2 1 _ x 0 0 2 0 _ d a y s "   m s p r o p : D b C o l u m n N a m e = " B e d s   o c c   o v e r   2 1   d a y s "   m s p r o p : F r i e n d l y N a m e = " B e d s   o c c   o v e r   2 1   d a y s "   t y p e = " x s : d o u b l e "   m i n O c c u r s = " 0 "   / > < x s : e l e m e n t   n a m e = " A m b _ x 0 0 2 0 _ a r r i v a l s "   m s p r o p : D b C o l u m n N a m e = " A m b   a r r i v a l s "   m s p r o p : F r i e n d l y N a m e = " A m b   a r r i v a l s "   t y p e = " x s : d o u b l e "   m i n O c c u r s = " 0 "   / > < x s : e l e m e n t   n a m e = " A m b _ x 0 0 2 0 _ d e l a y s _ x 0 0 2 0 _ 3 0 - 6 0 _ x 0 0 2 0 _ m i n s "   m s p r o p : D b C o l u m n N a m e = " A m b   d e l a y s   3 0 - 6 0   m i n s "   m s p r o p : F r i e n d l y N a m e = " A m b   d e l a y s   3 0 - 6 0   m i n s "   t y p e = " x s : d o u b l e "   m i n O c c u r s = " 0 "   / > < x s : e l e m e n t   n a m e = " A m b _ x 0 0 2 0 _ d e l a y s _ x 0 0 2 0 _ o v e r _ x 0 0 2 0 _ 6 0 _ x 0 0 2 0 _ m i n s "   m s p r o p : D b C o l u m n N a m e = " A m b   d e l a y s   o v e r   6 0   m i n s "   m s p r o p : F r i e n d l y N a m e = " A m b   d e l a y s   o v e r   6 0   m i n s "   t y p e = " x s : d o u b l e "   m i n O c c u r s = " 0 "   / > < / x s : s e q u e n c e > < / x s : c o m p l e x T y p e > < / x s : e l e m e n t > < / x s : c h o i c e > < / x s : c o m p l e x T y p e > < x s : u n i q u e   n a m e = " C o n s t r a i n t 1 "   m s d a t a : P r i m a r y K e y = " t r u e " > < x s : s e l e c t o r   x p a t h = " . / / W i n t e r _ x 0 0 2 0 _ d a i l y _ x 0 0 2 0 _ s i t r e p s _ 1 d f 8 1 2 b b - 9 f c 3 - 4 6 7 4 - 8 d 4 1 - 6 0 c 6 7 2 6 a 8 e f 3 "   / > < x s : f i e l d   x p a t h = " I D "   / > < / x s : u n i q u e > < / x s : e l e m e n t > < / x s : s c h e m a > < N e w D a t a S e t   x m l n s = " "   / > < / S c h e m a > < / D a t a S o u r c e V i e w > < / D a t a S o u r c e V i e w s > < / D a t a b a s e > < / O b j e c t D e f i n i t i o n > < / C r e a t e > ] ] > < / C u s t o m C o n t e n t > < / G e m i n i > 
</file>

<file path=customXml/item57.xml>��< ? x m l   v e r s i o n = " 1 . 0 "   e n c o d i n g = " U T F - 1 6 " ? > < G e m i n i   x m l n s = " h t t p : / / g e m i n i / p i v o t c u s t o m i z a t i o n / 4 c 2 2 a 1 4 f - 6 2 e f - 4 5 5 b - 9 7 2 d - 9 1 4 7 2 9 2 2 3 0 5 8 " > < 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 1 1 2 0 2 6 0 1 3 8 < / S A H o s t H a s h > < G e m i n i F i e l d L i s t V i s i b l e > T r u e < / G e m i n i F i e l d L i s t V i s i b l e > < / S e t t i n g s > ] ] > < / C u s t o m C o n t e n t > < / G e m i n i > 
</file>

<file path=customXml/item58.xml>��< ? x m l   v e r s i o n = " 1 . 0 "   e n c o d i n g = " U T F - 1 6 " ? > < G e m i n i   x m l n s = " h t t p : / / g e m i n i / p i v o t c u s t o m i z a t i o n / P r e v i o u s D i a g r a m " > < C u s t o m C o n t e n t > & l t ; S a n d b o x E d i t o r D i a g r a m K e y   x m l n s = " h t t p : / / s c h e m a s . d a t a c o n t r a c t . o r g / 2 0 0 4 / 0 7 / M i c r o s o f t . A n a l y s i s S e r v i c e s . C o m m o n "   x m l n s : i = " h t t p : / / w w w . w 3 . o r g / 2 0 0 1 / X M L S c h e m a - i n s t a n c e " & g t ; & l t ; P e r s p e c t i v e / & g t ; & l t ; / S a n d b o x E d i t o r D i a g r a m K e y & g t ; < / C u s t o m C o n t e n t > < / G e m i n i > 
</file>

<file path=customXml/item59.xml>��< ? x m l   v e r s i o n = " 1 . 0 "   e n c o d i n g = " U T F - 1 6 " ? > < G e m i n i   x m l n s = " h t t p : / / g e m i n i / p i v o t c u s t o m i z a t i o n / 9 7 b 7 7 5 4 3 - 1 b 1 d - 4 3 2 f - 8 c 1 2 - 8 6 d 5 d 6 1 2 6 7 b b " > < C u s t o m C o n t e n t > < ! [ C D A T A [ < ? x m l   v e r s i o n = " 1 . 0 "   e n c o d i n g = " u t f - 1 6 " ? > < S e t t i n g s > < C a l c u l a t e d F i e l d s > < i t e m > < M e a s u r e N a m e > S u m   o f   B e d s   c l o s e d   n o r o v i r u s < / M e a s u r e N a m e > < D i s p l a y N a m e > S u m   o f   B e d s   c l o s e d   n o r o v i r u s < / D i s p l a y N a m e > < V i s i b l e > T r u e < / V i s i b l e > < / i t e m > < / C a l c u l a t e d F i e l d s > < H S l i c e r s S h a p e > 0 ; 0 ; 0 ; 0 < / H S l i c e r s S h a p e > < V S l i c e r s S h a p e > 0 ; 0 ; 0 ; 0 < / V S l i c e r s S h a p e > < S l i c e r S h e e t N a m e > L o n g   s t a y < / S l i c e r S h e e t N a m e > < S A H o s t H a s h > 5 8 8 7 0 7 4 2 6 < / S A H o s t H a s h > < G e m i n i F i e l d L i s t V i s i b l e > T r u e < / G e m i n i F i e l d L i s t V i s i b l e > < / S e t t i n g s > ] ] > < / C u s t o m C o n t e n t > < / G e m i n i > 
</file>

<file path=customXml/item6.xml>��< ? x m l   v e r s i o n = " 1 . 0 "   e n c o d i n g = " U T F - 1 6 " ? > < G e m i n i   x m l n s = " h t t p : / / g e m i n i / p i v o t c u s t o m i z a t i o n / b a 0 b 1 b 6 b - 2 5 3 c - 4 a f 3 - 8 d a 1 - 4 0 f 0 3 6 5 4 e 8 8 9 " > < 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 1 8 9 0 7 8 8 0 6 6 < / S A H o s t H a s h > < G e m i n i F i e l d L i s t V i s i b l e > F a l s e < / G e m i n i F i e l d L i s t V i s i b l e > < / S e t t i n g s > ] ] > < / C u s t o m C o n t e n t > < / G e m i n i > 
</file>

<file path=customXml/item60.xml>��< ? x m l   v e r s i o n = " 1 . 0 "   e n c o d i n g = " U T F - 1 6 " ? > < G e m i n i   x m l n s = " h t t p : / / g e m i n i / p i v o t c u s t o m i z a t i o n / c 1 f a 9 d 3 7 - c a f a - 4 c 6 c - b d 2 9 - 4 5 5 c c 7 c e a 9 b 3 " > < 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 1 6 5 8 9 0 3 7 8 3 < / S A H o s t H a s h > < G e m i n i F i e l d L i s t V i s i b l e > T r u e < / G e m i n i F i e l d L i s t V i s i b l e > < / S e t t i n g s > ] ] > < / C u s t o m C o n t e n t > < / G e m i n i > 
</file>

<file path=customXml/item61.xml>��< ? x m l   v e r s i o n = " 1 . 0 "   e n c o d i n g = " U T F - 1 6 " ? > < G e m i n i   x m l n s = " h t t p : / / g e m i n i / p i v o t c u s t o m i z a t i o n / 3 c b 5 c d c a - 3 6 b 5 - 4 8 6 f - a 2 0 e - 3 9 c e 4 9 e 1 e 4 4 d " > < C u s t o m C o n t e n t > < ! [ C D A T A [ < ? x m l   v e r s i o n = " 1 . 0 "   e n c o d i n g = " u t f - 1 6 " ? > < S e t t i n g s > < C a l c u l a t e d F i e l d s > < i t e m > < M e a s u r e N a m e > S u m   o f   A m b   d e l a y s   o v e r   6 0   m i n s < / M e a s u r e N a m e > < D i s p l a y N a m e > S u m   o f   A m b   d e l a y s   o v e r   6 0   m i n s < / D i s p l a y N a m e > < V i s i b l e > T r u e < / V i s i b l e > < / i t e m > < / C a l c u l a t e d F i e l d s > < H S l i c e r s S h a p e > 0 ; 0 ; 0 ; 0 < / H S l i c e r s S h a p e > < V S l i c e r s S h a p e > 0 ; 0 ; 0 ; 0 < / V S l i c e r s S h a p e > < S l i c e r S h e e t N a m e > N I C U < / S l i c e r S h e e t N a m e > < S A H o s t H a s h > 3 9 4 3 4 4 7 3 9 < / S A H o s t H a s h > < G e m i n i F i e l d L i s t V i s i b l e > T r u e < / G e m i n i F i e l d L i s t V i s i b l e > < / S e t t i n g s > ] ] > < / C u s t o m C o n t e n t > < / G e m i n i > 
</file>

<file path=customXml/item62.xml>��< ? x m l   v e r s i o n = " 1 . 0 "   e n c o d i n g = " U T F - 1 6 " ? > < G e m i n i   x m l n s = " h t t p : / / g e m i n i / w o r k b o o k c u s t o m i z a t i o n / P o w e r P i v o t V e r s i o n " > < C u s t o m C o n t e n t > < ! [ C D A T A [ 1 1 . 0 . 3 0 0 0 . 0 ] ] > < / C u s t o m C o n t e n t > < / G e m i n i > 
</file>

<file path=customXml/item63.xml>��< ? x m l   v e r s i o n = " 1 . 0 "   e n c o d i n g = " U T F - 1 6 " ? > < G e m i n i   x m l n s = " h t t p : / / g e m i n i / p i v o t c u s t o m i z a t i o n / 5 b 1 1 5 f 7 2 - c b 9 1 - 4 2 b 2 - 9 a 3 1 - 5 2 d 9 5 5 8 f 7 5 f 3 " > < C u s t o m C o n t e n t > < ! [ C D A T A [ < ? x m l   v e r s i o n = " 1 . 0 "   e n c o d i n g = " u t f - 1 6 " ? > < S e t t i n g s > < H S l i c e r s S h a p e > 0 ; 0 ; 0 ; 0 < / H S l i c e r s S h a p e > < V S l i c e r s S h a p e > 0 ; 0 ; 0 ; 0 < / V S l i c e r s S h a p e > < S l i c e r S h e e t N a m e > G & a m p ; A   b e d s < / S l i c e r S h e e t N a m e > < S A H o s t H a s h > 6 7 9 0 1 9 0 8 2 < / S A H o s t H a s h > < G e m i n i F i e l d L i s t V i s i b l e > T r u e < / G e m i n i F i e l d L i s t V i s i b l e > < / S e t t i n g s > ] ] > < / C u s t o m C o n t e n t > < / G e m i n i > 
</file>

<file path=customXml/item64.xml>��< ? x m l   v e r s i o n = " 1 . 0 "   e n c o d i n g = " U T F - 1 6 " ? > < G e m i n i   x m l n s = " h t t p : / / g e m i n i / p i v o t c u s t o m i z a t i o n / a 3 5 2 a a 7 b - 4 6 c 6 - 4 6 3 0 - a 5 0 5 - e 6 5 d d 9 6 5 d 2 5 a " > < C u s t o m C o n t e n t > < ! [ C D A T A [ < ? x m l   v e r s i o n = " 1 . 0 "   e n c o d i n g = " u t f - 1 6 " ? > < S e t t i n g s > < C a l c u l a t e d F i e l d s > < i t e m > < M e a s u r e N a m e > S u m   o f   G A   t o t a l   b e d s   a v a i l < / M e a s u r e N a m e > < D i s p l a y N a m e > A v a i l a b l e < / D i s p l a y N a m e > < V i s i b l e > T r u e < / V i s i b l e > < / i t e m > < i t e m > < M e a s u r e N a m e > S u m   o f   G A   t o t a l   b e d s   o c c u p i e d < / M e a s u r e N a m e > < D i s p l a y N a m e > O c c u p i e d < / D i s p l a y N a m e > < V i s i b l e > T r u e < / V i s i b l e > < / i t e m > < / C a l c u l a t e d F i e l d s > < H S l i c e r s S h a p e > 0 ; 0 ; 0 ; 0 < / H S l i c e r s S h a p e > < V S l i c e r s S h a p e > 0 ; 0 ; 0 ; 0 < / V S l i c e r s S h a p e > < S l i c e r S h e e t N a m e > G & a m p ; A   b e d   o c c . < / S l i c e r S h e e t N a m e > < S A H o s t H a s h > 1 8 9 7 8 7 8 9 9 9 < / S A H o s t H a s h > < G e m i n i F i e l d L i s t V i s i b l e > T r u e < / G e m i n i F i e l d L i s t V i s i b l e > < / S e t t i n g s > ] ] > < / C u s t o m C o n t e n t > < / G e m i n i > 
</file>

<file path=customXml/item65.xml>��< ? x m l   v e r s i o n = " 1 . 0 "   e n c o d i n g = " U T F - 1 6 " ? > < G e m i n i   x m l n s = " h t t p : / / g e m i n i / p i v o t c u s t o m i z a t i o n / S h o w H i d d e n " > < C u s t o m C o n t e n t > < ! [ C D A T A [ T r u e ] ] > < / C u s t o m C o n t e n t > < / G e m i n i > 
</file>

<file path=customXml/item66.xml>��< ? x m l   v e r s i o n = " 1 . 0 "   e n c o d i n g = " U T F - 1 6 " ? > < G e m i n i   x m l n s = " h t t p : / / g e m i n i / p i v o t c u s t o m i z a t i o n / e d 6 4 2 6 2 9 - 0 1 c e - 4 1 a 1 - 8 9 d c - 5 d c f a 0 2 1 9 d 0 f " > < C u s t o m C o n t e n t > < ! [ C D A T A [ < ? x m l   v e r s i o n = " 1 . 0 "   e n c o d i n g = " u t f - 1 6 " ? > < S e t t i n g s > < C a l c u l a t e d F i e l d s > < i t e m > < M e a s u r e N a m e > S u m   o f   G A   t o t a l   b e d s   a v a i l < / M e a s u r e N a m e > < D i s p l a y N a m e > T o t a l < / D i s p l a y N a m e > < V i s i b l e > T r u e < / V i s i b l e > < / i t e m > < i t e m > < M e a s u r e N a m e > S u m   o f   G A   c o r e   b e d s   a v a i l < / M e a s u r e N a m e > < D i s p l a y N a m e > C o r e < / D i s p l a y N a m e > < V i s i b l e > T r u e < / V i s i b l e > < / i t e m > < i t e m > < M e a s u r e N a m e > S u m   o f   G A   e s c a l a t i o n   b e d s   a v a i l < / M e a s u r e N a m e > < D i s p l a y N a m e > E s c a l a t i o n < / D i s p l a y N a m e > < V i s i b l e > T r u e < / V i s i b l e > < / i t e m > < / C a l c u l a t e d F i e l d s > < H S l i c e r s S h a p e > 0 ; 0 ; 0 ; 0 < / H S l i c e r s S h a p e > < V S l i c e r s S h a p e > 0 ; 0 ; 0 ; 0 < / V S l i c e r s S h a p e > < S l i c e r S h e e t N a m e > G & a m p ; A   b e d   a v a i l . < / S l i c e r S h e e t N a m e > < S A H o s t H a s h > 1 4 7 8 7 2 2 9 6 2 < / S A H o s t H a s h > < G e m i n i F i e l d L i s t V i s i b l e > F a l s e < / G e m i n i F i e l d L i s t V i s i b l e > < / S e t t i n g s > ] ] > < / C u s t o m C o n t e n t > < / G e m i n i > 
</file>

<file path=customXml/item67.xml>��< ? x m l   v e r s i o n = " 1 . 0 "   e n c o d i n g = " U T F - 1 6 " ? > < G e m i n i   x m l n s = " h t t p : / / g e m i n i / p i v o t c u s t o m i z a t i o n / f 7 3 5 e 7 c 4 - c 9 1 7 - 4 7 7 e - b 7 1 c - 9 7 e 3 7 3 0 8 f 1 6 d " > < C u s t o m C o n t e n t > < ! [ C D A T A [ < ? x m l   v e r s i o n = " 1 . 0 "   e n c o d i n g = " u t f - 1 6 " ? > < S e t t i n g s > < H S l i c e r s S h a p e > 0 ; 0 ; 0 ; 0 < / H S l i c e r s S h a p e > < V S l i c e r s S h a p e > 0 ; 0 ; 0 ; 0 < / V S l i c e r s S h a p e > < S l i c e r S h e e t N a m e > P I C U < / S l i c e r S h e e t N a m e > < S A H o s t H a s h > 1 8 9 0 7 8 8 0 6 6 < / S A H o s t H a s h > < G e m i n i F i e l d L i s t V i s i b l e > T r u e < / G e m i n i F i e l d L i s t V i s i b l e > < / S e t t i n g s > ] ] > < / C u s t o m C o n t e n t > < / G e m i n i > 
</file>

<file path=customXml/item68.xml>��< ? x m l   v e r s i o n = " 1 . 0 "   e n c o d i n g = " U T F - 1 6 " ? > < G e m i n i   x m l n s = " h t t p : / / g e m i n i / p i v o t c u s t o m i z a t i o n / 4 4 2 b e 5 3 0 - 2 b b 4 - 4 0 2 f - 8 e 5 2 - c b 6 0 f a 2 7 6 0 7 6 " > < C u s t o m C o n t e n t > < ! [ C D A T A [ < ? x m l   v e r s i o n = " 1 . 0 "   e n c o d i n g = " u t f - 1 6 " ? > < S e t t i n g s > < C a l c u l a t e d F i e l d s > < i t e m > < M e a s u r e N a m e > S u m   o f   P a e d   I n t   C a r e   A v a i l < / M e a s u r e N a m e > < D i s p l a y N a m e > S u m   o f   P a e d   I n t   C a r e   A v a i l < / D i s p l a y N a m e > < V i s i b l e > T r u e < / V i s i b l e > < / i t e m > < i t e m > < M e a s u r e N a m e > S u m   o f   P a e d   I n t   C a r e   O c c < / M e a s u r e N a m e > < D i s p l a y N a m e > S u m   o f   P a e d   I n t   C a r e   O c c < / D i s p l a y N a m e > < V i s i b l e > T r u e < / V i s i b l e > < / i t e m > < / C a l c u l a t e d F i e l d s > < H S l i c e r s S h a p e > 0 ; 0 ; 0 ; 0 < / H S l i c e r s S h a p e > < V S l i c e r s S h a p e > 0 ; 0 ; 0 ; 0 < / V S l i c e r s S h a p e > < S l i c e r S h e e t N a m e > P I C U < / S l i c e r S h e e t N a m e > < S A H o s t H a s h > 1 3 5 2 1 4 4 4 2 1 < / S A H o s t H a s h > < G e m i n i F i e l d L i s t V i s i b l e > F a l s e < / G e m i n i F i e l d L i s t V i s i b l e > < / S e t t i n g s > ] ] > < / C u s t o m C o n t e n t > < / G e m i n i > 
</file>

<file path=customXml/item69.xml>��< ? x m l   v e r s i o n = " 1 . 0 "   e n c o d i n g = " U T F - 1 6 " ? > < G e m i n i   x m l n s = " h t t p : / / g e m i n i / w o r k b o o k 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 2 0 1 9 - 0 1 - 1 0 T 1 2 : 5 6 : 1 8 . 5 5 2 2 5 4 7 + 0 0 : 0 0 < / L a s t P r o c e s s e d T i m e > < / D a t a M o d e l i n g S a n d b o x . S e r i a l i z e d S a n d b o x E r r o r C a c h e > ] ] > < / C u s t o m C o n t e n t > < / G e m i n i > 
</file>

<file path=customXml/item7.xml>��< ? x m l   v e r s i o n = " 1 . 0 "   e n c o d i n g = " U T F - 1 6 " ? > < G e m i n i   x m l n s = " h t t p : / / g e m i n i / p i v o t c u s t o m i z a t i o n / b 9 5 7 5 0 1 2 - 0 5 e f - 4 6 3 2 - b e d e - b 8 7 d 0 5 a 4 d 4 8 9 " > < C u s t o m C o n t e n t > < ! [ C D A T A [ < ? x m l   v e r s i o n = " 1 . 0 "   e n c o d i n g = " u t f - 1 6 " ? > < S e t t i n g s > < C a l c u l a t e d F i e l d s > < i t e m > < M e a s u r e N a m e > S u m   o f   A d u l t   C C   b e d s   a v a i l < / M e a s u r e N a m e > < D i s p l a y N a m e > A v a i l < / D i s p l a y N a m e > < V i s i b l e > T r u e < / V i s i b l e > < / i t e m > < i t e m > < M e a s u r e N a m e > S u m   o f   A d u l t   C C   b e d s   o c c < / M e a s u r e N a m e > < D i s p l a y N a m e > O c c < / D i s p l a y N a m e > < V i s i b l e > T r u e < / V i s i b l e > < / i t e m > < / C a l c u l a t e d F i e l d s > < H S l i c e r s S h a p e > 0 ; 0 ; 0 ; 0 < / H S l i c e r s S h a p e > < V S l i c e r s S h a p e > 0 ; 0 ; 0 ; 0 < / V S l i c e r s S h a p e > < S l i c e r S h e e t N a m e > C r i t i c a l   c a r e < / S l i c e r S h e e t N a m e > < S A H o s t H a s h > 7 0 1 1 0 4 1 0 1 < / S A H o s t H a s h > < G e m i n i F i e l d L i s t V i s i b l e > T r u e < / G e m i n i F i e l d L i s t V i s i b l e > < / S e t t i n g s > ] ] > < / C u s t o m C o n t e n t > < / G e m i n i > 
</file>

<file path=customXml/item70.xml>��< ? x m l   v e r s i o n = " 1 . 0 "   e n c o d i n g = " U T F - 1 6 " ? > < G e m i n i   x m l n s = " h t t p : / / g e m i n i / p i v o t c u s t o m i z a t i o n / 9 d 0 6 c d 8 0 - 1 8 a b - 4 9 7 0 - a a b 5 - c 7 e c a 7 1 e b 3 d b " > < C u s t o m C o n t e n t > < ! [ C D A T A [ < ? x m l   v e r s i o n = " 1 . 0 "   e n c o d i n g = " u t f - 1 6 " ? > < S e t t i n g s > < C a l c u l a t e d F i e l d s > < i t e m > < M e a s u r e N a m e > S u m   o f   A E   d i v e r t s < / M e a s u r e N a m e > < D i s p l a y N a m e > S u m   o f   A E   d i v e r t s < / D i s p l a y N a m e > < V i s i b l e > T r u e < / V i s i b l e > < / i t e m > < / C a l c u l a t e d F i e l d s > < H S l i c e r s S h a p e > 0 ; 0 ; 0 ; 0 < / H S l i c e r s S h a p e > < V S l i c e r s S h a p e > 0 ; 0 ; 0 ; 0 < / V S l i c e r s S h a p e > < S l i c e r S h e e t N a m e > A & a m p ; E   d i v e r t s < / S l i c e r S h e e t N a m e > < S A H o s t H a s h > 2 0 1 7 3 6 6 6 0 7 < / S A H o s t H a s h > < G e m i n i F i e l d L i s t V i s i b l e > F a l s e < / G e m i n i F i e l d L i s t V i s i b l e > < / S e t t i n g s > ] ] > < / C u s t o m C o n t e n t > < / G e m i n i > 
</file>

<file path=customXml/item8.xml>��< ? x m l   v e r s i o n = " 1 . 0 "   e n c o d i n g = " U T F - 1 6 " ? > < G e m i n i   x m l n s = " h t t p : / / g e m i n i / p i v o t c u s t o m i z a t i o n / T a b l e X M L _ W i n t e r   d a i l y   s i t r e p s _ 1 d f 8 1 2 b b - 9 f c 3 - 4 6 7 4 - 8 d 4 1 - 6 0 c 6 7 2 6 a 8 e f 3 " > < C u s t o m C o n t e n t > & l t ; T a b l e W i d g e t G r i d S e r i a l i z a t i o n   x m l n s : x s i = " h t t p : / / w w w . w 3 . o r g / 2 0 0 1 / X M L S c h e m a - i n s t a n c e "   x m l n s : x s d = " h t t p : / / w w w . w 3 . o r g / 2 0 0 1 / X M L S c h e m a " & 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I D & l t ; / s t r i n g & g t ; & l t ; / k e y & g t ; & l t ; v a l u e & g t ; & l t ; i n t & g t ; 5 4 & l t ; / i n t & g t ; & l t ; / v a l u e & g t ; & l t ; / i t e m & g t ; & l t ; i t e m & g t ; & l t ; k e y & g t ; & l t ; s t r i n g & g t ; c r i _ i d & l t ; / s t r i n g & g t ; & l t ; / k e y & g t ; & l t ; v a l u e & g t ; & l t ; i n t & g t ; 7 5 & l t ; / i n t & g t ; & l t ; / v a l u e & g t ; & l t ; / i t e m & g t ; & l t ; i t e m & g t ; & l t ; k e y & g t ; & l t ; s t r i n g & g t ; d r _ i d & l t ; / s t r i n g & g t ; & l t ; / k e y & g t ; & l t ; v a l u e & g t ; & l t ; i n t & g t ; 7 3 & l t ; / i n t & g t ; & l t ; / v a l u e & g t ; & l t ; / i t e m & g t ; & l t ; i t e m & g t ; & l t ; k e y & g t ; & l t ; s t r i n g & g t ; o r g _ i d & l t ; / s t r i n g & g t ; & l t ; / k e y & g t ; & l t ; v a l u e & g t ; & l t ; i n t & g t ; 8 0 & l t ; / i n t & g t ; & l t ; / v a l u e & g t ; & l t ; / i t e m & g t ; & l t ; i t e m & g t ; & l t ; k e y & g t ; & l t ; s t r i n g & g t ; c r i _ d a t a p e r i o d s t a r t & l t ; / s t r i n g & g t ; & l t ; / k e y & g t ; & l t ; v a l u e & g t ; & l t ; i n t & g t ; 1 5 9 & l t ; / i n t & g t ; & l t ; / v a l u e & g t ; & l t ; / i t e m & g t ; & l t ; i t e m & g t ; & l t ; k e y & g t ; & l t ; s t r i n g & g t ; C o d e & l t ; / s t r i n g & g t ; & l t ; / k e y & g t ; & l t ; v a l u e & g t ; & l t ; i n t & g t ; 7 3 & l t ; / i n t & g t ; & l t ; / v a l u e & g t ; & l t ; / i t e m & g t ; & l t ; i t e m & g t ; & l t ; k e y & g t ; & l t ; s t r i n g & g t ; N a m e & l t ; / s t r i n g & g t ; & l t ; / k e y & g t ; & l t ; v a l u e & g t ; & l t ; i n t & g t ; 7 8 & l t ; / i n t & g t ; & l t ; / v a l u e & g t ; & l t ; / i t e m & g t ; & l t ; i t e m & g t ; & l t ; k e y & g t ; & l t ; s t r i n g & g t ; D a t e & l t ; / s t r i n g & g t ; & l t ; / k e y & g t ; & l t ; v a l u e & g t ; & l t ; i n t & g t ; 7 0 & l t ; / i n t & g t ; & l t ; / v a l u e & g t ; & l t ; / i t e m & g t ; & l t ; i t e m & g t ; & l t ; k e y & g t ; & l t ; s t r i n g & g t ; W e e k & l t ; / s t r i n g & g t ; & l t ; / k e y & g t ; & l t ; v a l u e & g t ; & l t ; i n t & g t ; 7 6 & l t ; / i n t & g t ; & l t ; / v a l u e & g t ; & l t ; / i t e m & g t ; & l t ; i t e m & g t ; & l t ; k e y & g t ; & l t ; s t r i n g & g t ; D a y & l t ; / s t r i n g & g t ; & l t ; / k e y & g t ; & l t ; v a l u e & g t ; & l t ; i n t & g t ; 6 4 & l t ; / i n t & g t ; & l t ; / v a l u e & g t ; & l t ; / i t e m & g t ; & l t ; i t e m & g t ; & l t ; k e y & g t ; & l t ; s t r i n g & g t ; B a n k   h o l i d a y & l t ; / s t r i n g & g t ; & l t ; / k e y & g t ; & l t ; v a l u e & g t ; & l t ; i n t & g t ; 1 2 0 & l t ; / i n t & g t ; & l t ; / v a l u e & g t ; & l t ; / i t e m & g t ; & l t ; i t e m & g t ; & l t ; k e y & g t ; & l t ; s t r i n g & g t ; A E   c l o s u r e s & l t ; / s t r i n g & g t ; & l t ; / k e y & g t ; & l t ; v a l u e & g t ; & l t ; i n t & g t ; 1 1 1 & l t ; / i n t & g t ; & l t ; / v a l u e & g t ; & l t ; / i t e m & g t ; & l t ; i t e m & g t ; & l t ; k e y & g t ; & l t ; s t r i n g & g t ; A E   d i v e r t s & l t ; / s t r i n g & g t ; & l t ; / k e y & g t ; & l t ; v a l u e & g t ; & l t ; i n t & g t ; 1 0 3 & l t ; / i n t & g t ; & l t ; / v a l u e & g t ; & l t ; / i t e m & g t ; & l t ; i t e m & g t ; & l t ; k e y & g t ; & l t ; s t r i n g & g t ; A E   t y p e   1   a t t e n d a n c e s & l t ; / s t r i n g & g t ; & l t ; / k e y & g t ; & l t ; v a l u e & g t ; & l t ; i n t & g t ; 1 7 7 & l t ; / i n t & g t ; & l t ; / v a l u e & g t ; & l t ; / i t e m & g t ; & l t ; i t e m & g t ; & l t ; k e y & g t ; & l t ; s t r i n g & g t ; A E   t y p e   2   a t t e n d a n c e s & l t ; / s t r i n g & g t ; & l t ; / k e y & g t ; & l t ; v a l u e & g t ; & l t ; i n t & g t ; 1 7 7 & l t ; / i n t & g t ; & l t ; / v a l u e & g t ; & l t ; / i t e m & g t ; & l t ; i t e m & g t ; & l t ; k e y & g t ; & l t ; s t r i n g & g t ; A E   t y p e   3   a t t e n d a n c e s & l t ; / s t r i n g & g t ; & l t ; / k e y & g t ; & l t ; v a l u e & g t ; & l t ; i n t & g t ; 1 7 7 & l t ; / i n t & g t ; & l t ; / v a l u e & g t ; & l t ; / i t e m & g t ; & l t ; i t e m & g t ; & l t ; k e y & g t ; & l t ; s t r i n g & g t ; A E   t o t a l   a t t e n d a n c e s & l t ; / s t r i n g & g t ; & l t ; / k e y & g t ; & l t ; v a l u e & g t ; & l t ; i n t & g t ; 1 6 8 & l t ; / i n t & g t ; & l t ; / v a l u e & g t ; & l t ; / i t e m & g t ; & l t ; i t e m & g t ; & l t ; k e y & g t ; & l t ; s t r i n g & g t ; E m e r g e n c y   a d m i s s i o n s & l t ; / s t r i n g & g t ; & l t ; / k e y & g t ; & l t ; v a l u e & g t ; & l t ; i n t & g t ; 1 8 1 & l t ; / i n t & g t ; & l t ; / v a l u e & g t ; & l t ; / i t e m & g t ; & l t ; i t e m & g t ; & l t ; k e y & g t ; & l t ; s t r i n g & g t ; G A   c o r e   b e d s   a v a i l & l t ; / s t r i n g & g t ; & l t ; / k e y & g t ; & l t ; v a l u e & g t ; & l t ; i n t & g t ; 1 5 4 & l t ; / i n t & g t ; & l t ; / v a l u e & g t ; & l t ; / i t e m & g t ; & l t ; i t e m & g t ; & l t ; k e y & g t ; & l t ; s t r i n g & g t ; G A   e s c a l a t i o n   b e d s   a v a i l & l t ; / s t r i n g & g t ; & l t ; / k e y & g t ; & l t ; v a l u e & g t ; & l t ; i n t & g t ; 1 8 9 & l t ; / i n t & g t ; & l t ; / v a l u e & g t ; & l t ; / i t e m & g t ; & l t ; i t e m & g t ; & l t ; k e y & g t ; & l t ; s t r i n g & g t ; G A   t o t a l   b e d s   a v a i l & l t ; / s t r i n g & g t ; & l t ; / k e y & g t ; & l t ; v a l u e & g t ; & l t ; i n t & g t ; 1 5 6 & l t ; / i n t & g t ; & l t ; / v a l u e & g t ; & l t ; / i t e m & g t ; & l t ; i t e m & g t ; & l t ; k e y & g t ; & l t ; s t r i n g & g t ; G A   t o t a l   b e d s   o c c u p i e d & l t ; / s t r i n g & g t ; & l t ; / k e y & g t ; & l t ; v a l u e & g t ; & l t ; i n t & g t ; 1 8 3 & l t ; / i n t & g t ; & l t ; / v a l u e & g t ; & l t ; / i t e m & g t ; & l t ; i t e m & g t ; & l t ; k e y & g t ; & l t ; s t r i n g & g t ; B e d s   c l o s e d   n o r o v i r u s & l t ; / s t r i n g & g t ; & l t ; / k e y & g t ; & l t ; v a l u e & g t ; & l t ; i n t & g t ; 1 7 6 & l t ; / i n t & g t ; & l t ; / v a l u e & g t ; & l t ; / i t e m & g t ; & l t ; i t e m & g t ; & l t ; k e y & g t ; & l t ; s t r i n g & g t ; B e d s   c l o s e d   n o r o v i u s   u n o c c & l t ; / s t r i n g & g t ; & l t ; / k e y & g t ; & l t ; v a l u e & g t ; & l t ; i n t & g t ; 2 1 0 & l t ; / i n t & g t ; & l t ; / v a l u e & g t ; & l t ; / i t e m & g t ; & l t ; i t e m & g t ; & l t ; k e y & g t ; & l t ; s t r i n g & g t ; A d u l t   C C   b e d s   a v a i l & l t ; / s t r i n g & g t ; & l t ; / k e y & g t ; & l t ; v a l u e & g t ; & l t ; i n t & g t ; 1 5 9 & l t ; / i n t & g t ; & l t ; / v a l u e & g t ; & l t ; / i t e m & g t ; & l t ; i t e m & g t ; & l t ; k e y & g t ; & l t ; s t r i n g & g t ; A d u l t   C C   b e d s   o c c & l t ; / s t r i n g & g t ; & l t ; / k e y & g t ; & l t ; v a l u e & g t ; & l t ; i n t & g t ; 1 5 0 & l t ; / i n t & g t ; & l t ; / v a l u e & g t ; & l t ; / i t e m & g t ; & l t ; i t e m & g t ; & l t ; k e y & g t ; & l t ; s t r i n g & g t ; P a e d   I n t   C a r e   A v a i l & l t ; / s t r i n g & g t ; & l t ; / k e y & g t ; & l t ; v a l u e & g t ; & l t ; i n t & g t ; 1 5 7 & l t ; / i n t & g t ; & l t ; / v a l u e & g t ; & l t ; / i t e m & g t ; & l t ; i t e m & g t ; & l t ; k e y & g t ; & l t ; s t r i n g & g t ; P a e d   I n t   C a r e   O c c & l t ; / s t r i n g & g t ; & l t ; / k e y & g t ; & l t ; v a l u e & g t ; & l t ; i n t & g t ; 1 4 8 & l t ; / i n t & g t ; & l t ; / v a l u e & g t ; & l t ; / i t e m & g t ; & l t ; i t e m & g t ; & l t ; k e y & g t ; & l t ; s t r i n g & g t ; N e o   I n t   C a r e   A v a i l & l t ; / s t r i n g & g t ; & l t ; / k e y & g t ; & l t ; v a l u e & g t ; & l t ; i n t & g t ; 1 5 2 & l t ; / i n t & g t ; & l t ; / v a l u e & g t ; & l t ; / i t e m & g t ; & l t ; i t e m & g t ; & l t ; k e y & g t ; & l t ; s t r i n g & g t ; N e o   I n t   C a r e   o c c & l t ; / s t r i n g & g t ; & l t ; / k e y & g t ; & l t ; v a l u e & g t ; & l t ; i n t & g t ; 1 4 1 & l t ; / i n t & g t ; & l t ; / v a l u e & g t ; & l t ; / i t e m & g t ; & l t ; i t e m & g t ; & l t ; k e y & g t ; & l t ; s t r i n g & g t ; O P E L   3   o r   a b o v e & l t ; / s t r i n g & g t ; & l t ; / k e y & g t ; & l t ; v a l u e & g t ; & l t ; i n t & g t ; 1 3 9 & l t ; / i n t & g t ; & l t ; / v a l u e & g t ; & l t ; / i t e m & g t ; & l t ; i t e m & g t ; & l t ; k e y & g t ; & l t ; s t r i n g & g t ; W e e k e n d & l t ; / s t r i n g & g t ; & l t ; / k e y & g t ; & l t ; v a l u e & g t ; & l t ; i n t & g t ; 1 0 0 & l t ; / i n t & g t ; & l t ; / v a l u e & g t ; & l t ; / i t e m & g t ; & l t ; i t e m & g t ; & l t ; k e y & g t ; & l t ; s t r i n g & g t ; R e g i o n & l t ; / s t r i n g & g t ; & l t ; / k e y & g t ; & l t ; v a l u e & g t ; & l t ; i n t & g t ; 8 4 & l t ; / i n t & g t ; & l t ; / v a l u e & g t ; & l t ; / i t e m & g t ; & l t ; i t e m & g t ; & l t ; k e y & g t ; & l t ; s t r i n g & g t ; Y e a r & l t ; / s t r i n g & g t ; & l t ; / k e y & g t ; & l t ; v a l u e & g t ; & l t ; i n t & g t ; 6 7 & l t ; / i n t & g t ; & l t ; / v a l u e & g t ; & l t ; / i t e m & g t ; & l t ; i t e m & g t ; & l t ; k e y & g t ; & l t ; s t r i n g & g t ; B e d s   o c c   o v e r   7   d a y s & l t ; / s t r i n g & g t ; & l t ; / k e y & g t ; & l t ; v a l u e & g t ; & l t ; i n t & g t ; 1 6 6 & l t ; / i n t & g t ; & l t ; / v a l u e & g t ; & l t ; / i t e m & g t ; & l t ; i t e m & g t ; & l t ; k e y & g t ; & l t ; s t r i n g & g t ; B e d s   o c c   o v e r   2 1   d a y s & l t ; / s t r i n g & g t ; & l t ; / k e y & g t ; & l t ; v a l u e & g t ; & l t ; i n t & g t ; 1 7 3 & l t ; / i n t & g t ; & l t ; / v a l u e & g t ; & l t ; / i t e m & g t ; & l t ; i t e m & g t ; & l t ; k e y & g t ; & l t ; s t r i n g & g t ; A m b   a r r i v a l s & l t ; / s t r i n g & g t ; & l t ; / k e y & g t ; & l t ; v a l u e & g t ; & l t ; i n t & g t ; 1 1 8 & l t ; / i n t & g t ; & l t ; / v a l u e & g t ; & l t ; / i t e m & g t ; & l t ; i t e m & g t ; & l t ; k e y & g t ; & l t ; s t r i n g & g t ; A m b   d e l a y s   3 0 - 6 0   m i n s & l t ; / s t r i n g & g t ; & l t ; / k e y & g t ; & l t ; v a l u e & g t ; & l t ; i n t & g t ; 1 8 2 & l t ; / i n t & g t ; & l t ; / v a l u e & g t ; & l t ; / i t e m & g t ; & l t ; i t e m & g t ; & l t ; k e y & g t ; & l t ; s t r i n g & g t ; A m b   d e l a y s   o v e r   6 0   m i n s & l t ; / s t r i n g & g t ; & l t ; / k e y & g t ; & l t ; v a l u e & g t ; & l t ; i n t & g t ; 1 9 4 & l t ; / i n t & g t ; & l t ; / v a l u e & g t ; & l t ; / i t e m & g t ; & l t ; i t e m & g t ; & l t ; k e y & g t ; & l t ; s t r i n g & g t ; W e e k   l o n g & l t ; / s t r i n g & g t ; & l t ; / k e y & g t ; & l t ; v a l u e & g t ; & l t ; i n t & g t ; 1 6 1 & l t ; / i n t & g t ; & l t ; / v a l u e & g t ; & l t ; / i t e m & g t ; & l t ; i t e m & g t ; & l t ; k e y & g t ; & l t ; s t r i n g & g t ; G A   b e d   o c c u p a n c y & l t ; / s t r i n g & g t ; & l t ; / k e y & g t ; & l t ; v a l u e & g t ; & l t ; i n t & g t ; 1 6 1 & l t ; / i n t & g t ; & l t ; / v a l u e & g t ; & l t ; / i t e m & g t ; & l t ; / C o l u m n W i d t h s & g t ; & l t ; C o l u m n D i s p l a y I n d e x & g t ; & l t ; i t e m & g t ; & l t ; k e y & g t ; & l t ; s t r i n g & g t ; I D & l t ; / s t r i n g & g t ; & l t ; / k e y & g t ; & l t ; v a l u e & g t ; & l t ; i n t & g t ; 0 & l t ; / i n t & g t ; & l t ; / v a l u e & g t ; & l t ; / i t e m & g t ; & l t ; i t e m & g t ; & l t ; k e y & g t ; & l t ; s t r i n g & g t ; c r i _ i d & l t ; / s t r i n g & g t ; & l t ; / k e y & g t ; & l t ; v a l u e & g t ; & l t ; i n t & g t ; 1 & l t ; / i n t & g t ; & l t ; / v a l u e & g t ; & l t ; / i t e m & g t ; & l t ; i t e m & g t ; & l t ; k e y & g t ; & l t ; s t r i n g & g t ; d r _ i d & l t ; / s t r i n g & g t ; & l t ; / k e y & g t ; & l t ; v a l u e & g t ; & l t ; i n t & g t ; 2 & l t ; / i n t & g t ; & l t ; / v a l u e & g t ; & l t ; / i t e m & g t ; & l t ; i t e m & g t ; & l t ; k e y & g t ; & l t ; s t r i n g & g t ; o r g _ i d & l t ; / s t r i n g & g t ; & l t ; / k e y & g t ; & l t ; v a l u e & g t ; & l t ; i n t & g t ; 3 & l t ; / i n t & g t ; & l t ; / v a l u e & g t ; & l t ; / i t e m & g t ; & l t ; i t e m & g t ; & l t ; k e y & g t ; & l t ; s t r i n g & g t ; c r i _ d a t a p e r i o d s t a r t & l t ; / s t r i n g & g t ; & l t ; / k e y & g t ; & l t ; v a l u e & g t ; & l t ; i n t & g t ; 4 & l t ; / i n t & g t ; & l t ; / v a l u e & g t ; & l t ; / i t e m & g t ; & l t ; i t e m & g t ; & l t ; k e y & g t ; & l t ; s t r i n g & g t ; C o d e & l t ; / s t r i n g & g t ; & l t ; / k e y & g t ; & l t ; v a l u e & g t ; & l t ; i n t & g t ; 5 & l t ; / i n t & g t ; & l t ; / v a l u e & g t ; & l t ; / i t e m & g t ; & l t ; i t e m & g t ; & l t ; k e y & g t ; & l t ; s t r i n g & g t ; N a m e & l t ; / s t r i n g & g t ; & l t ; / k e y & g t ; & l t ; v a l u e & g t ; & l t ; i n t & g t ; 6 & l t ; / i n t & g t ; & l t ; / v a l u e & g t ; & l t ; / i t e m & g t ; & l t ; i t e m & g t ; & l t ; k e y & g t ; & l t ; s t r i n g & g t ; D a t e & l t ; / s t r i n g & g t ; & l t ; / k e y & g t ; & l t ; v a l u e & g t ; & l t ; i n t & g t ; 7 & l t ; / i n t & g t ; & l t ; / v a l u e & g t ; & l t ; / i t e m & g t ; & l t ; i t e m & g t ; & l t ; k e y & g t ; & l t ; s t r i n g & g t ; W e e k & l t ; / s t r i n g & g t ; & l t ; / k e y & g t ; & l t ; v a l u e & g t ; & l t ; i n t & g t ; 8 & l t ; / i n t & g t ; & l t ; / v a l u e & g t ; & l t ; / i t e m & g t ; & l t ; i t e m & g t ; & l t ; k e y & g t ; & l t ; s t r i n g & g t ; D a y & l t ; / s t r i n g & g t ; & l t ; / k e y & g t ; & l t ; v a l u e & g t ; & l t ; i n t & g t ; 1 0 & l t ; / i n t & g t ; & l t ; / v a l u e & g t ; & l t ; / i t e m & g t ; & l t ; i t e m & g t ; & l t ; k e y & g t ; & l t ; s t r i n g & g t ; B a n k   h o l i d a y & l t ; / s t r i n g & g t ; & l t ; / k e y & g t ; & l t ; v a l u e & g t ; & l t ; i n t & g t ; 1 1 & l t ; / i n t & g t ; & l t ; / v a l u e & g t ; & l t ; / i t e m & g t ; & l t ; i t e m & g t ; & l t ; k e y & g t ; & l t ; s t r i n g & g t ; A E   c l o s u r e s & l t ; / s t r i n g & g t ; & l t ; / k e y & g t ; & l t ; v a l u e & g t ; & l t ; i n t & g t ; 1 2 & l t ; / i n t & g t ; & l t ; / v a l u e & g t ; & l t ; / i t e m & g t ; & l t ; i t e m & g t ; & l t ; k e y & g t ; & l t ; s t r i n g & g t ; A E   d i v e r t s & l t ; / s t r i n g & g t ; & l t ; / k e y & g t ; & l t ; v a l u e & g t ; & l t ; i n t & g t ; 1 3 & l t ; / i n t & g t ; & l t ; / v a l u e & g t ; & l t ; / i t e m & g t ; & l t ; i t e m & g t ; & l t ; k e y & g t ; & l t ; s t r i n g & g t ; A E   t y p e   1   a t t e n d a n c e s & l t ; / s t r i n g & g t ; & l t ; / k e y & g t ; & l t ; v a l u e & g t ; & l t ; i n t & g t ; 1 4 & l t ; / i n t & g t ; & l t ; / v a l u e & g t ; & l t ; / i t e m & g t ; & l t ; i t e m & g t ; & l t ; k e y & g t ; & l t ; s t r i n g & g t ; A E   t y p e   2   a t t e n d a n c e s & l t ; / s t r i n g & g t ; & l t ; / k e y & g t ; & l t ; v a l u e & g t ; & l t ; i n t & g t ; 1 5 & l t ; / i n t & g t ; & l t ; / v a l u e & g t ; & l t ; / i t e m & g t ; & l t ; i t e m & g t ; & l t ; k e y & g t ; & l t ; s t r i n g & g t ; A E   t y p e   3   a t t e n d a n c e s & l t ; / s t r i n g & g t ; & l t ; / k e y & g t ; & l t ; v a l u e & g t ; & l t ; i n t & g t ; 1 6 & l t ; / i n t & g t ; & l t ; / v a l u e & g t ; & l t ; / i t e m & g t ; & l t ; i t e m & g t ; & l t ; k e y & g t ; & l t ; s t r i n g & g t ; A E   t o t a l   a t t e n d a n c e s & l t ; / s t r i n g & g t ; & l t ; / k e y & g t ; & l t ; v a l u e & g t ; & l t ; i n t & g t ; 1 7 & l t ; / i n t & g t ; & l t ; / v a l u e & g t ; & l t ; / i t e m & g t ; & l t ; i t e m & g t ; & l t ; k e y & g t ; & l t ; s t r i n g & g t ; E m e r g e n c y   a d m i s s i o n s & l t ; / s t r i n g & g t ; & l t ; / k e y & g t ; & l t ; v a l u e & g t ; & l t ; i n t & g t ; 1 8 & l t ; / i n t & g t ; & l t ; / v a l u e & g t ; & l t ; / i t e m & g t ; & l t ; i t e m & g t ; & l t ; k e y & g t ; & l t ; s t r i n g & g t ; G A   c o r e   b e d s   a v a i l & l t ; / s t r i n g & g t ; & l t ; / k e y & g t ; & l t ; v a l u e & g t ; & l t ; i n t & g t ; 1 9 & l t ; / i n t & g t ; & l t ; / v a l u e & g t ; & l t ; / i t e m & g t ; & l t ; i t e m & g t ; & l t ; k e y & g t ; & l t ; s t r i n g & g t ; G A   e s c a l a t i o n   b e d s   a v a i l & l t ; / s t r i n g & g t ; & l t ; / k e y & g t ; & l t ; v a l u e & g t ; & l t ; i n t & g t ; 2 0 & l t ; / i n t & g t ; & l t ; / v a l u e & g t ; & l t ; / i t e m & g t ; & l t ; i t e m & g t ; & l t ; k e y & g t ; & l t ; s t r i n g & g t ; G A   t o t a l   b e d s   a v a i l & l t ; / s t r i n g & g t ; & l t ; / k e y & g t ; & l t ; v a l u e & g t ; & l t ; i n t & g t ; 2 1 & l t ; / i n t & g t ; & l t ; / v a l u e & g t ; & l t ; / i t e m & g t ; & l t ; i t e m & g t ; & l t ; k e y & g t ; & l t ; s t r i n g & g t ; G A   t o t a l   b e d s   o c c u p i e d & l t ; / s t r i n g & g t ; & l t ; / k e y & g t ; & l t ; v a l u e & g t ; & l t ; i n t & g t ; 2 2 & l t ; / i n t & g t ; & l t ; / v a l u e & g t ; & l t ; / i t e m & g t ; & l t ; i t e m & g t ; & l t ; k e y & g t ; & l t ; s t r i n g & g t ; B e d s   c l o s e d   n o r o v i r u s & l t ; / s t r i n g & g t ; & l t ; / k e y & g t ; & l t ; v a l u e & g t ; & l t ; i n t & g t ; 2 4 & l t ; / i n t & g t ; & l t ; / v a l u e & g t ; & l t ; / i t e m & g t ; & l t ; i t e m & g t ; & l t ; k e y & g t ; & l t ; s t r i n g & g t ; B e d s   c l o s e d   n o r o v i u s   u n o c c & l t ; / s t r i n g & g t ; & l t ; / k e y & g t ; & l t ; v a l u e & g t ; & l t ; i n t & g t ; 2 5 & l t ; / i n t & g t ; & l t ; / v a l u e & g t ; & l t ; / i t e m & g t ; & l t ; i t e m & g t ; & l t ; k e y & g t ; & l t ; s t r i n g & g t ; A d u l t   C C   b e d s   a v a i l & l t ; / s t r i n g & g t ; & l t ; / k e y & g t ; & l t ; v a l u e & g t ; & l t ; i n t & g t ; 2 6 & l t ; / i n t & g t ; & l t ; / v a l u e & g t ; & l t ; / i t e m & g t ; & l t ; i t e m & g t ; & l t ; k e y & g t ; & l t ; s t r i n g & g t ; A d u l t   C C   b e d s   o c c & l t ; / s t r i n g & g t ; & l t ; / k e y & g t ; & l t ; v a l u e & g t ; & l t ; i n t & g t ; 2 7 & l t ; / i n t & g t ; & l t ; / v a l u e & g t ; & l t ; / i t e m & g t ; & l t ; i t e m & g t ; & l t ; k e y & g t ; & l t ; s t r i n g & g t ; P a e d   I n t   C a r e   A v a i l & l t ; / s t r i n g & g t ; & l t ; / k e y & g t ; & l t ; v a l u e & g t ; & l t ; i n t & g t ; 2 8 & l t ; / i n t & g t ; & l t ; / v a l u e & g t ; & l t ; / i t e m & g t ; & l t ; i t e m & g t ; & l t ; k e y & g t ; & l t ; s t r i n g & g t ; P a e d   I n t   C a r e   O c c & l t ; / s t r i n g & g t ; & l t ; / k e y & g t ; & l t ; v a l u e & g t ; & l t ; i n t & g t ; 2 9 & l t ; / i n t & g t ; & l t ; / v a l u e & g t ; & l t ; / i t e m & g t ; & l t ; i t e m & g t ; & l t ; k e y & g t ; & l t ; s t r i n g & g t ; N e o   I n t   C a r e   A v a i l & l t ; / s t r i n g & g t ; & l t ; / k e y & g t ; & l t ; v a l u e & g t ; & l t ; i n t & g t ; 3 0 & l t ; / i n t & g t ; & l t ; / v a l u e & g t ; & l t ; / i t e m & g t ; & l t ; i t e m & g t ; & l t ; k e y & g t ; & l t ; s t r i n g & g t ; N e o   I n t   C a r e   o c c & l t ; / s t r i n g & g t ; & l t ; / k e y & g t ; & l t ; v a l u e & g t ; & l t ; i n t & g t ; 3 1 & l t ; / i n t & g t ; & l t ; / v a l u e & g t ; & l t ; / i t e m & g t ; & l t ; i t e m & g t ; & l t ; k e y & g t ; & l t ; s t r i n g & g t ; O P E L   3   o r   a b o v e & l t ; / s t r i n g & g t ; & l t ; / k e y & g t ; & l t ; v a l u e & g t ; & l t ; i n t & g t ; 3 2 & l t ; / i n t & g t ; & l t ; / v a l u e & g t ; & l t ; / i t e m & g t ; & l t ; i t e m & g t ; & l t ; k e y & g t ; & l t ; s t r i n g & g t ; W e e k e n d & l t ; / s t r i n g & g t ; & l t ; / k e y & g t ; & l t ; v a l u e & g t ; & l t ; i n t & g t ; 3 3 & l t ; / i n t & g t ; & l t ; / v a l u e & g t ; & l t ; / i t e m & g t ; & l t ; i t e m & g t ; & l t ; k e y & g t ; & l t ; s t r i n g & g t ; R e g i o n & l t ; / s t r i n g & g t ; & l t ; / k e y & g t ; & l t ; v a l u e & g t ; & l t ; i n t & g t ; 3 4 & l t ; / i n t & g t ; & l t ; / v a l u e & g t ; & l t ; / i t e m & g t ; & l t ; i t e m & g t ; & l t ; k e y & g t ; & l t ; s t r i n g & g t ; Y e a r & l t ; / s t r i n g & g t ; & l t ; / k e y & g t ; & l t ; v a l u e & g t ; & l t ; i n t & g t ; 3 5 & l t ; / i n t & g t ; & l t ; / v a l u e & g t ; & l t ; / i t e m & g t ; & l t ; i t e m & g t ; & l t ; k e y & g t ; & l t ; s t r i n g & g t ; B e d s   o c c   o v e r   7   d a y s & l t ; / s t r i n g & g t ; & l t ; / k e y & g t ; & l t ; v a l u e & g t ; & l t ; i n t & g t ; 3 6 & l t ; / i n t & g t ; & l t ; / v a l u e & g t ; & l t ; / i t e m & g t ; & l t ; i t e m & g t ; & l t ; k e y & g t ; & l t ; s t r i n g & g t ; B e d s   o c c   o v e r   2 1   d a y s & l t ; / s t r i n g & g t ; & l t ; / k e y & g t ; & l t ; v a l u e & g t ; & l t ; i n t & g t ; 3 7 & l t ; / i n t & g t ; & l t ; / v a l u e & g t ; & l t ; / i t e m & g t ; & l t ; i t e m & g t ; & l t ; k e y & g t ; & l t ; s t r i n g & g t ; A m b   a r r i v a l s & l t ; / s t r i n g & g t ; & l t ; / k e y & g t ; & l t ; v a l u e & g t ; & l t ; i n t & g t ; 3 8 & l t ; / i n t & g t ; & l t ; / v a l u e & g t ; & l t ; / i t e m & g t ; & l t ; i t e m & g t ; & l t ; k e y & g t ; & l t ; s t r i n g & g t ; A m b   d e l a y s   3 0 - 6 0   m i n s & l t ; / s t r i n g & g t ; & l t ; / k e y & g t ; & l t ; v a l u e & g t ; & l t ; i n t & g t ; 3 9 & l t ; / i n t & g t ; & l t ; / v a l u e & g t ; & l t ; / i t e m & g t ; & l t ; i t e m & g t ; & l t ; k e y & g t ; & l t ; s t r i n g & g t ; A m b   d e l a y s   o v e r   6 0   m i n s & l t ; / s t r i n g & g t ; & l t ; / k e y & g t ; & l t ; v a l u e & g t ; & l t ; i n t & g t ; 4 0 & l t ; / i n t & g t ; & l t ; / v a l u e & g t ; & l t ; / i t e m & g t ; & l t ; i t e m & g t ; & l t ; k e y & g t ; & l t ; s t r i n g & g t ; W e e k   l o n g & l t ; / s t r i n g & g t ; & l t ; / k e y & g t ; & l t ; v a l u e & g t ; & l t ; i n t & g t ; 9 & l t ; / i n t & g t ; & l t ; / v a l u e & g t ; & l t ; / i t e m & g t ; & l t ; i t e m & g t ; & l t ; k e y & g t ; & l t ; s t r i n g & g t ; G A   b e d   o c c u p a n c y & l t ; / s t r i n g & g t ; & l t ; / k e y & g t ; & l t ; v a l u e & g t ; & l t ; i n t & g t ; 2 3 & l t ; / i n t & g t ; & l t ; / v a l u e & g t ; & l t ; / i t e m & g t ; & l t ; / C o l u m n D i s p l a y I n d e x & g t ; & l t ; C o l u m n F r o z e n   / & g t ; & l t ; C o l u m n C h e c k e d   / & g t ; & l t ; C o l u m n F i l t e r   / & g t ; & l t ; S e l e c t i o n F i l t e r   / & g t ; & l t ; F i l t e r P a r a m e t e r s   / & g t ; & l t ; S o r t B y C o l u m n   / & g t ; & l t ; I s S o r t D e s c e n d i n g & g t ; f a l s e & l t ; / I s S o r t D e s c e n d i n g & g t ; & l t ; / T a b l e W i d g e t G r i d S e r i a l i z a t i o n & g t ; < / C u s t o m C o n t e n t > < / G e m i n i > 
</file>

<file path=customXml/item9.xml>��< ? x m l   v e r s i o n = " 1 . 0 "   e n c o d i n g = " U T F - 1 6 " ? > < G e m i n i   x m l n s = " h t t p : / / g e m i n i / p i v o t c u s t o m i z a t i o n / f 1 c 6 0 2 a d - 3 3 3 d - 4 d 3 a - b 1 c c - e e 3 0 1 9 4 1 3 7 6 f " > < C u s t o m C o n t e n t > < ! [ C D A T A [ < ? x m l   v e r s i o n = " 1 . 0 "   e n c o d i n g = " u t f - 1 6 " ? > < S e t t i n g s > < H S l i c e r s S h a p e > 0 ; 0 ; 0 ; 0 < / H S l i c e r s S h a p e > < V S l i c e r s S h a p e > 0 ; 0 ; 0 ; 0 < / V S l i c e r s S h a p e > < S l i c e r S h e e t N a m e > S h e e t 3 < / S l i c e r S h e e t N a m e > < S A H o s t H a s h > 6 6 3 1 4 7 3 8 0 < / S A H o s t H a s h > < G e m i n i F i e l d L i s t V i s i b l e > T r u e < / G e m i n i F i e l d L i s t V i s i b l e > < / S e t t i n g s > ] ] > < / C u s t o m C o n t e n t > < / G e m i n i > 
</file>

<file path=customXml/itemProps1.xml><?xml version="1.0" encoding="utf-8"?>
<ds:datastoreItem xmlns:ds="http://schemas.openxmlformats.org/officeDocument/2006/customXml" ds:itemID="{64EEA02F-A83C-4AA1-8671-3A2E966C86AF}">
  <ds:schemaRefs/>
</ds:datastoreItem>
</file>

<file path=customXml/itemProps10.xml><?xml version="1.0" encoding="utf-8"?>
<ds:datastoreItem xmlns:ds="http://schemas.openxmlformats.org/officeDocument/2006/customXml" ds:itemID="{41FB6501-FA76-49F1-876F-6467D293E6E2}">
  <ds:schemaRefs/>
</ds:datastoreItem>
</file>

<file path=customXml/itemProps11.xml><?xml version="1.0" encoding="utf-8"?>
<ds:datastoreItem xmlns:ds="http://schemas.openxmlformats.org/officeDocument/2006/customXml" ds:itemID="{B21EBABD-90F3-4C4D-9633-3245802AE1A8}">
  <ds:schemaRefs/>
</ds:datastoreItem>
</file>

<file path=customXml/itemProps12.xml><?xml version="1.0" encoding="utf-8"?>
<ds:datastoreItem xmlns:ds="http://schemas.openxmlformats.org/officeDocument/2006/customXml" ds:itemID="{CCB6BFA1-8ECF-41C1-94CB-08623B36AD67}">
  <ds:schemaRefs/>
</ds:datastoreItem>
</file>

<file path=customXml/itemProps13.xml><?xml version="1.0" encoding="utf-8"?>
<ds:datastoreItem xmlns:ds="http://schemas.openxmlformats.org/officeDocument/2006/customXml" ds:itemID="{A949D929-B185-4E98-9328-C7881878F0BB}">
  <ds:schemaRefs/>
</ds:datastoreItem>
</file>

<file path=customXml/itemProps14.xml><?xml version="1.0" encoding="utf-8"?>
<ds:datastoreItem xmlns:ds="http://schemas.openxmlformats.org/officeDocument/2006/customXml" ds:itemID="{42811A32-6956-4E72-A544-AA0FCF03874A}">
  <ds:schemaRefs/>
</ds:datastoreItem>
</file>

<file path=customXml/itemProps15.xml><?xml version="1.0" encoding="utf-8"?>
<ds:datastoreItem xmlns:ds="http://schemas.openxmlformats.org/officeDocument/2006/customXml" ds:itemID="{A1D259D3-1480-4DD1-B5D9-19847D5426C2}">
  <ds:schemaRefs/>
</ds:datastoreItem>
</file>

<file path=customXml/itemProps16.xml><?xml version="1.0" encoding="utf-8"?>
<ds:datastoreItem xmlns:ds="http://schemas.openxmlformats.org/officeDocument/2006/customXml" ds:itemID="{1C62CF1C-E25F-40EE-86C9-8DFBD79FB4FA}">
  <ds:schemaRefs/>
</ds:datastoreItem>
</file>

<file path=customXml/itemProps17.xml><?xml version="1.0" encoding="utf-8"?>
<ds:datastoreItem xmlns:ds="http://schemas.openxmlformats.org/officeDocument/2006/customXml" ds:itemID="{1F3DD5EA-BDB2-4E3C-BBBB-55CE313924FA}">
  <ds:schemaRefs/>
</ds:datastoreItem>
</file>

<file path=customXml/itemProps18.xml><?xml version="1.0" encoding="utf-8"?>
<ds:datastoreItem xmlns:ds="http://schemas.openxmlformats.org/officeDocument/2006/customXml" ds:itemID="{AFDEE218-B693-4E13-A0B3-CEAD011D4DDC}">
  <ds:schemaRefs/>
</ds:datastoreItem>
</file>

<file path=customXml/itemProps19.xml><?xml version="1.0" encoding="utf-8"?>
<ds:datastoreItem xmlns:ds="http://schemas.openxmlformats.org/officeDocument/2006/customXml" ds:itemID="{DCBE2822-20DF-4D25-AE75-4BF0138512F6}">
  <ds:schemaRefs/>
</ds:datastoreItem>
</file>

<file path=customXml/itemProps2.xml><?xml version="1.0" encoding="utf-8"?>
<ds:datastoreItem xmlns:ds="http://schemas.openxmlformats.org/officeDocument/2006/customXml" ds:itemID="{8C8C4E15-CAC5-4EF0-8D3C-0FBD8813F237}">
  <ds:schemaRefs/>
</ds:datastoreItem>
</file>

<file path=customXml/itemProps20.xml><?xml version="1.0" encoding="utf-8"?>
<ds:datastoreItem xmlns:ds="http://schemas.openxmlformats.org/officeDocument/2006/customXml" ds:itemID="{FDF5D28E-34BA-48C4-8C9B-CBCC6DF73619}">
  <ds:schemaRefs/>
</ds:datastoreItem>
</file>

<file path=customXml/itemProps21.xml><?xml version="1.0" encoding="utf-8"?>
<ds:datastoreItem xmlns:ds="http://schemas.openxmlformats.org/officeDocument/2006/customXml" ds:itemID="{89C2A237-81AD-4480-AD49-54B158F3BB04}">
  <ds:schemaRefs/>
</ds:datastoreItem>
</file>

<file path=customXml/itemProps22.xml><?xml version="1.0" encoding="utf-8"?>
<ds:datastoreItem xmlns:ds="http://schemas.openxmlformats.org/officeDocument/2006/customXml" ds:itemID="{A665CFAB-5C41-4F21-9A9B-E5469D405A1B}">
  <ds:schemaRefs/>
</ds:datastoreItem>
</file>

<file path=customXml/itemProps23.xml><?xml version="1.0" encoding="utf-8"?>
<ds:datastoreItem xmlns:ds="http://schemas.openxmlformats.org/officeDocument/2006/customXml" ds:itemID="{E995AB3D-7D22-40B6-B4BA-21BCFFD8566B}">
  <ds:schemaRefs/>
</ds:datastoreItem>
</file>

<file path=customXml/itemProps24.xml><?xml version="1.0" encoding="utf-8"?>
<ds:datastoreItem xmlns:ds="http://schemas.openxmlformats.org/officeDocument/2006/customXml" ds:itemID="{6379C2C1-D136-44AA-869B-0E59851CE42B}">
  <ds:schemaRefs/>
</ds:datastoreItem>
</file>

<file path=customXml/itemProps25.xml><?xml version="1.0" encoding="utf-8"?>
<ds:datastoreItem xmlns:ds="http://schemas.openxmlformats.org/officeDocument/2006/customXml" ds:itemID="{4A8430E5-1EF8-4D94-9A9D-A27BDD158409}">
  <ds:schemaRefs/>
</ds:datastoreItem>
</file>

<file path=customXml/itemProps26.xml><?xml version="1.0" encoding="utf-8"?>
<ds:datastoreItem xmlns:ds="http://schemas.openxmlformats.org/officeDocument/2006/customXml" ds:itemID="{B300B563-52C3-4127-B074-7959E84E170B}">
  <ds:schemaRefs/>
</ds:datastoreItem>
</file>

<file path=customXml/itemProps27.xml><?xml version="1.0" encoding="utf-8"?>
<ds:datastoreItem xmlns:ds="http://schemas.openxmlformats.org/officeDocument/2006/customXml" ds:itemID="{29F8E830-3523-40C2-A2AD-840D87BDD2D7}">
  <ds:schemaRefs/>
</ds:datastoreItem>
</file>

<file path=customXml/itemProps28.xml><?xml version="1.0" encoding="utf-8"?>
<ds:datastoreItem xmlns:ds="http://schemas.openxmlformats.org/officeDocument/2006/customXml" ds:itemID="{EADE8E19-D080-4E4E-BF02-8668C06CF4BB}">
  <ds:schemaRefs/>
</ds:datastoreItem>
</file>

<file path=customXml/itemProps29.xml><?xml version="1.0" encoding="utf-8"?>
<ds:datastoreItem xmlns:ds="http://schemas.openxmlformats.org/officeDocument/2006/customXml" ds:itemID="{DBF36359-22C8-4604-9928-2EF808425E2B}">
  <ds:schemaRefs/>
</ds:datastoreItem>
</file>

<file path=customXml/itemProps3.xml><?xml version="1.0" encoding="utf-8"?>
<ds:datastoreItem xmlns:ds="http://schemas.openxmlformats.org/officeDocument/2006/customXml" ds:itemID="{59FBDDC5-50D9-40F9-AF4E-D9AA0362860A}">
  <ds:schemaRefs/>
</ds:datastoreItem>
</file>

<file path=customXml/itemProps30.xml><?xml version="1.0" encoding="utf-8"?>
<ds:datastoreItem xmlns:ds="http://schemas.openxmlformats.org/officeDocument/2006/customXml" ds:itemID="{086907C2-1C3B-453B-AEB1-E4BF2C7B7BA8}">
  <ds:schemaRefs/>
</ds:datastoreItem>
</file>

<file path=customXml/itemProps31.xml><?xml version="1.0" encoding="utf-8"?>
<ds:datastoreItem xmlns:ds="http://schemas.openxmlformats.org/officeDocument/2006/customXml" ds:itemID="{C1008079-5EC6-47B0-8986-7E506382A1E0}">
  <ds:schemaRefs/>
</ds:datastoreItem>
</file>

<file path=customXml/itemProps32.xml><?xml version="1.0" encoding="utf-8"?>
<ds:datastoreItem xmlns:ds="http://schemas.openxmlformats.org/officeDocument/2006/customXml" ds:itemID="{C9574E71-F57B-4400-80CB-95A26D386AEF}">
  <ds:schemaRefs/>
</ds:datastoreItem>
</file>

<file path=customXml/itemProps33.xml><?xml version="1.0" encoding="utf-8"?>
<ds:datastoreItem xmlns:ds="http://schemas.openxmlformats.org/officeDocument/2006/customXml" ds:itemID="{6F210C07-4460-4FCA-AACC-60694575514C}">
  <ds:schemaRefs/>
</ds:datastoreItem>
</file>

<file path=customXml/itemProps34.xml><?xml version="1.0" encoding="utf-8"?>
<ds:datastoreItem xmlns:ds="http://schemas.openxmlformats.org/officeDocument/2006/customXml" ds:itemID="{33E107E6-1891-4F02-A0F9-441815E41FCD}">
  <ds:schemaRefs/>
</ds:datastoreItem>
</file>

<file path=customXml/itemProps35.xml><?xml version="1.0" encoding="utf-8"?>
<ds:datastoreItem xmlns:ds="http://schemas.openxmlformats.org/officeDocument/2006/customXml" ds:itemID="{BA89D337-DC9F-4C61-85D5-58CC31EAFBA9}">
  <ds:schemaRefs/>
</ds:datastoreItem>
</file>

<file path=customXml/itemProps36.xml><?xml version="1.0" encoding="utf-8"?>
<ds:datastoreItem xmlns:ds="http://schemas.openxmlformats.org/officeDocument/2006/customXml" ds:itemID="{F541C5FF-6EFB-405B-802F-58C18BF20A51}">
  <ds:schemaRefs/>
</ds:datastoreItem>
</file>

<file path=customXml/itemProps37.xml><?xml version="1.0" encoding="utf-8"?>
<ds:datastoreItem xmlns:ds="http://schemas.openxmlformats.org/officeDocument/2006/customXml" ds:itemID="{5AD0F297-F222-4337-B0A4-930FC8D21309}">
  <ds:schemaRefs/>
</ds:datastoreItem>
</file>

<file path=customXml/itemProps38.xml><?xml version="1.0" encoding="utf-8"?>
<ds:datastoreItem xmlns:ds="http://schemas.openxmlformats.org/officeDocument/2006/customXml" ds:itemID="{B4677BD9-85FF-4909-A49E-4EBD59C63CD0}">
  <ds:schemaRefs/>
</ds:datastoreItem>
</file>

<file path=customXml/itemProps39.xml><?xml version="1.0" encoding="utf-8"?>
<ds:datastoreItem xmlns:ds="http://schemas.openxmlformats.org/officeDocument/2006/customXml" ds:itemID="{E26BB317-D837-4D70-AB39-E7C4967EEA55}">
  <ds:schemaRefs/>
</ds:datastoreItem>
</file>

<file path=customXml/itemProps4.xml><?xml version="1.0" encoding="utf-8"?>
<ds:datastoreItem xmlns:ds="http://schemas.openxmlformats.org/officeDocument/2006/customXml" ds:itemID="{508F7BD6-DFAC-4776-BA8D-2E6A40DDA580}">
  <ds:schemaRefs/>
</ds:datastoreItem>
</file>

<file path=customXml/itemProps40.xml><?xml version="1.0" encoding="utf-8"?>
<ds:datastoreItem xmlns:ds="http://schemas.openxmlformats.org/officeDocument/2006/customXml" ds:itemID="{52A3D5F8-14E3-4652-8CD7-D757E5C5F432}">
  <ds:schemaRefs/>
</ds:datastoreItem>
</file>

<file path=customXml/itemProps41.xml><?xml version="1.0" encoding="utf-8"?>
<ds:datastoreItem xmlns:ds="http://schemas.openxmlformats.org/officeDocument/2006/customXml" ds:itemID="{C7E056D7-375D-49F1-8718-5FE8CE1CBB71}">
  <ds:schemaRefs/>
</ds:datastoreItem>
</file>

<file path=customXml/itemProps42.xml><?xml version="1.0" encoding="utf-8"?>
<ds:datastoreItem xmlns:ds="http://schemas.openxmlformats.org/officeDocument/2006/customXml" ds:itemID="{4737F781-3D19-4989-85AD-D5AB4578D617}">
  <ds:schemaRefs/>
</ds:datastoreItem>
</file>

<file path=customXml/itemProps43.xml><?xml version="1.0" encoding="utf-8"?>
<ds:datastoreItem xmlns:ds="http://schemas.openxmlformats.org/officeDocument/2006/customXml" ds:itemID="{009EC5B1-699E-422F-8277-E1D8D14A6953}">
  <ds:schemaRefs/>
</ds:datastoreItem>
</file>

<file path=customXml/itemProps44.xml><?xml version="1.0" encoding="utf-8"?>
<ds:datastoreItem xmlns:ds="http://schemas.openxmlformats.org/officeDocument/2006/customXml" ds:itemID="{E62C4474-D004-425F-B75B-D0286D4F82AE}">
  <ds:schemaRefs/>
</ds:datastoreItem>
</file>

<file path=customXml/itemProps45.xml><?xml version="1.0" encoding="utf-8"?>
<ds:datastoreItem xmlns:ds="http://schemas.openxmlformats.org/officeDocument/2006/customXml" ds:itemID="{A0E9FC27-CA8A-4E01-9F78-684C2DEEB749}">
  <ds:schemaRefs/>
</ds:datastoreItem>
</file>

<file path=customXml/itemProps46.xml><?xml version="1.0" encoding="utf-8"?>
<ds:datastoreItem xmlns:ds="http://schemas.openxmlformats.org/officeDocument/2006/customXml" ds:itemID="{BBAA7887-B030-4EF4-B53D-8954DB6B5D90}">
  <ds:schemaRefs/>
</ds:datastoreItem>
</file>

<file path=customXml/itemProps47.xml><?xml version="1.0" encoding="utf-8"?>
<ds:datastoreItem xmlns:ds="http://schemas.openxmlformats.org/officeDocument/2006/customXml" ds:itemID="{78949F69-DFFB-4D15-AF67-40DAD897909C}">
  <ds:schemaRefs/>
</ds:datastoreItem>
</file>

<file path=customXml/itemProps48.xml><?xml version="1.0" encoding="utf-8"?>
<ds:datastoreItem xmlns:ds="http://schemas.openxmlformats.org/officeDocument/2006/customXml" ds:itemID="{B38AC1E6-271A-4899-8B11-588DD299E884}">
  <ds:schemaRefs/>
</ds:datastoreItem>
</file>

<file path=customXml/itemProps49.xml><?xml version="1.0" encoding="utf-8"?>
<ds:datastoreItem xmlns:ds="http://schemas.openxmlformats.org/officeDocument/2006/customXml" ds:itemID="{C76E9BF4-C4A5-435D-BC37-457A5B05CAC9}">
  <ds:schemaRefs/>
</ds:datastoreItem>
</file>

<file path=customXml/itemProps5.xml><?xml version="1.0" encoding="utf-8"?>
<ds:datastoreItem xmlns:ds="http://schemas.openxmlformats.org/officeDocument/2006/customXml" ds:itemID="{8F6E9E50-7D3E-469C-B4FB-22D6F456BEB5}">
  <ds:schemaRefs/>
</ds:datastoreItem>
</file>

<file path=customXml/itemProps50.xml><?xml version="1.0" encoding="utf-8"?>
<ds:datastoreItem xmlns:ds="http://schemas.openxmlformats.org/officeDocument/2006/customXml" ds:itemID="{88092EC8-170F-4AFC-9276-62D75E374037}">
  <ds:schemaRefs/>
</ds:datastoreItem>
</file>

<file path=customXml/itemProps51.xml><?xml version="1.0" encoding="utf-8"?>
<ds:datastoreItem xmlns:ds="http://schemas.openxmlformats.org/officeDocument/2006/customXml" ds:itemID="{6BE7CEF1-E768-4124-938E-98E200F00611}">
  <ds:schemaRefs/>
</ds:datastoreItem>
</file>

<file path=customXml/itemProps52.xml><?xml version="1.0" encoding="utf-8"?>
<ds:datastoreItem xmlns:ds="http://schemas.openxmlformats.org/officeDocument/2006/customXml" ds:itemID="{58CD9E62-614E-41F4-AEC3-476B3F44272B}">
  <ds:schemaRefs/>
</ds:datastoreItem>
</file>

<file path=customXml/itemProps53.xml><?xml version="1.0" encoding="utf-8"?>
<ds:datastoreItem xmlns:ds="http://schemas.openxmlformats.org/officeDocument/2006/customXml" ds:itemID="{9C4C19EE-2CCF-436E-BEC0-BDDF8DEF4A48}">
  <ds:schemaRefs/>
</ds:datastoreItem>
</file>

<file path=customXml/itemProps54.xml><?xml version="1.0" encoding="utf-8"?>
<ds:datastoreItem xmlns:ds="http://schemas.openxmlformats.org/officeDocument/2006/customXml" ds:itemID="{F23F3EDA-D04A-4CEA-9820-61BD4810EA7C}">
  <ds:schemaRefs/>
</ds:datastoreItem>
</file>

<file path=customXml/itemProps55.xml><?xml version="1.0" encoding="utf-8"?>
<ds:datastoreItem xmlns:ds="http://schemas.openxmlformats.org/officeDocument/2006/customXml" ds:itemID="{BABF8194-CDB4-46B2-A3AC-47DB708FFD23}">
  <ds:schemaRefs/>
</ds:datastoreItem>
</file>

<file path=customXml/itemProps56.xml><?xml version="1.0" encoding="utf-8"?>
<ds:datastoreItem xmlns:ds="http://schemas.openxmlformats.org/officeDocument/2006/customXml" ds:itemID="{CD7A1F77-7617-4E92-9092-82805B25CB65}">
  <ds:schemaRefs/>
</ds:datastoreItem>
</file>

<file path=customXml/itemProps57.xml><?xml version="1.0" encoding="utf-8"?>
<ds:datastoreItem xmlns:ds="http://schemas.openxmlformats.org/officeDocument/2006/customXml" ds:itemID="{12B992F3-63EE-4E6C-B77E-EDE4D403C54E}">
  <ds:schemaRefs/>
</ds:datastoreItem>
</file>

<file path=customXml/itemProps58.xml><?xml version="1.0" encoding="utf-8"?>
<ds:datastoreItem xmlns:ds="http://schemas.openxmlformats.org/officeDocument/2006/customXml" ds:itemID="{AD08087F-C140-45CC-82A5-F01573365D30}">
  <ds:schemaRefs/>
</ds:datastoreItem>
</file>

<file path=customXml/itemProps59.xml><?xml version="1.0" encoding="utf-8"?>
<ds:datastoreItem xmlns:ds="http://schemas.openxmlformats.org/officeDocument/2006/customXml" ds:itemID="{555A2537-F8A7-48FC-AB09-9F41583F1F1D}">
  <ds:schemaRefs/>
</ds:datastoreItem>
</file>

<file path=customXml/itemProps6.xml><?xml version="1.0" encoding="utf-8"?>
<ds:datastoreItem xmlns:ds="http://schemas.openxmlformats.org/officeDocument/2006/customXml" ds:itemID="{A555872F-216A-49E1-98DF-5B676B56E86A}">
  <ds:schemaRefs/>
</ds:datastoreItem>
</file>

<file path=customXml/itemProps60.xml><?xml version="1.0" encoding="utf-8"?>
<ds:datastoreItem xmlns:ds="http://schemas.openxmlformats.org/officeDocument/2006/customXml" ds:itemID="{CEEB1B81-964B-48EA-94E7-4CE6818D0C4C}">
  <ds:schemaRefs/>
</ds:datastoreItem>
</file>

<file path=customXml/itemProps61.xml><?xml version="1.0" encoding="utf-8"?>
<ds:datastoreItem xmlns:ds="http://schemas.openxmlformats.org/officeDocument/2006/customXml" ds:itemID="{4EC5623F-C7D4-4EEB-9B4F-A408DDD6ED6A}">
  <ds:schemaRefs/>
</ds:datastoreItem>
</file>

<file path=customXml/itemProps62.xml><?xml version="1.0" encoding="utf-8"?>
<ds:datastoreItem xmlns:ds="http://schemas.openxmlformats.org/officeDocument/2006/customXml" ds:itemID="{C4EF1D17-478A-449B-B6EA-7CFAB09513B7}">
  <ds:schemaRefs/>
</ds:datastoreItem>
</file>

<file path=customXml/itemProps63.xml><?xml version="1.0" encoding="utf-8"?>
<ds:datastoreItem xmlns:ds="http://schemas.openxmlformats.org/officeDocument/2006/customXml" ds:itemID="{E719DB80-C1EE-47A5-9EFE-25270CDD6C9E}">
  <ds:schemaRefs/>
</ds:datastoreItem>
</file>

<file path=customXml/itemProps64.xml><?xml version="1.0" encoding="utf-8"?>
<ds:datastoreItem xmlns:ds="http://schemas.openxmlformats.org/officeDocument/2006/customXml" ds:itemID="{F675C6F3-C7A5-44E4-B36D-0B58396AC1B2}">
  <ds:schemaRefs/>
</ds:datastoreItem>
</file>

<file path=customXml/itemProps65.xml><?xml version="1.0" encoding="utf-8"?>
<ds:datastoreItem xmlns:ds="http://schemas.openxmlformats.org/officeDocument/2006/customXml" ds:itemID="{1CBBE10F-24BA-40AE-9FB1-71520559F77D}">
  <ds:schemaRefs/>
</ds:datastoreItem>
</file>

<file path=customXml/itemProps66.xml><?xml version="1.0" encoding="utf-8"?>
<ds:datastoreItem xmlns:ds="http://schemas.openxmlformats.org/officeDocument/2006/customXml" ds:itemID="{037AB273-FC94-4ED3-89B2-C6332A8F32D7}">
  <ds:schemaRefs/>
</ds:datastoreItem>
</file>

<file path=customXml/itemProps67.xml><?xml version="1.0" encoding="utf-8"?>
<ds:datastoreItem xmlns:ds="http://schemas.openxmlformats.org/officeDocument/2006/customXml" ds:itemID="{F03E62F8-035B-4835-9DC9-7F1C90610EFA}">
  <ds:schemaRefs/>
</ds:datastoreItem>
</file>

<file path=customXml/itemProps68.xml><?xml version="1.0" encoding="utf-8"?>
<ds:datastoreItem xmlns:ds="http://schemas.openxmlformats.org/officeDocument/2006/customXml" ds:itemID="{1FF2FC02-C022-46CD-B912-1B54596CABF6}">
  <ds:schemaRefs/>
</ds:datastoreItem>
</file>

<file path=customXml/itemProps69.xml><?xml version="1.0" encoding="utf-8"?>
<ds:datastoreItem xmlns:ds="http://schemas.openxmlformats.org/officeDocument/2006/customXml" ds:itemID="{1050CBC9-5773-4F0F-88CF-AF2C3E8CD9AB}">
  <ds:schemaRefs/>
</ds:datastoreItem>
</file>

<file path=customXml/itemProps7.xml><?xml version="1.0" encoding="utf-8"?>
<ds:datastoreItem xmlns:ds="http://schemas.openxmlformats.org/officeDocument/2006/customXml" ds:itemID="{2AE46802-9740-4BA5-8EC6-E15F48E29954}">
  <ds:schemaRefs/>
</ds:datastoreItem>
</file>

<file path=customXml/itemProps70.xml><?xml version="1.0" encoding="utf-8"?>
<ds:datastoreItem xmlns:ds="http://schemas.openxmlformats.org/officeDocument/2006/customXml" ds:itemID="{91AE4BF1-A6C4-4BD1-BB5F-68225C77542C}">
  <ds:schemaRefs/>
</ds:datastoreItem>
</file>

<file path=customXml/itemProps8.xml><?xml version="1.0" encoding="utf-8"?>
<ds:datastoreItem xmlns:ds="http://schemas.openxmlformats.org/officeDocument/2006/customXml" ds:itemID="{0AB92352-982C-42E7-A074-D80678E17F05}">
  <ds:schemaRefs/>
</ds:datastoreItem>
</file>

<file path=customXml/itemProps9.xml><?xml version="1.0" encoding="utf-8"?>
<ds:datastoreItem xmlns:ds="http://schemas.openxmlformats.org/officeDocument/2006/customXml" ds:itemID="{8814853C-F12E-4124-A187-526D0A34725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Summary</vt:lpstr>
      <vt:lpstr>A&amp;E diverts</vt:lpstr>
      <vt:lpstr>G&amp;A bed avail.</vt:lpstr>
      <vt:lpstr>G&amp;A bed occ.</vt:lpstr>
      <vt:lpstr>Long stay</vt:lpstr>
      <vt:lpstr>D&amp;V</vt:lpstr>
      <vt:lpstr>Critical care</vt:lpstr>
      <vt:lpstr>PICU</vt:lpstr>
      <vt:lpstr>NICU</vt:lpstr>
      <vt:lpstr>Ambulance</vt:lpstr>
      <vt:lpstr>Sheet1</vt:lpstr>
      <vt:lpstr>Sheet2</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Deborah Gulliver</dc:creator>
  <cp:lastModifiedBy>Claire Helm</cp:lastModifiedBy>
  <cp:lastPrinted>2017-12-11T11:22:53Z</cp:lastPrinted>
  <dcterms:created xsi:type="dcterms:W3CDTF">2017-12-11T11:20:09Z</dcterms:created>
  <dcterms:modified xsi:type="dcterms:W3CDTF">2019-01-10T16:18:27Z</dcterms:modified>
</cp:coreProperties>
</file>